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E63E1262-A5B9-4118-9964-FD9C962E214B}" xr6:coauthVersionLast="47" xr6:coauthVersionMax="47" xr10:uidLastSave="{00000000-0000-0000-0000-000000000000}"/>
  <bookViews>
    <workbookView xWindow="-25230" yWindow="3150" windowWidth="21300" windowHeight="15345" activeTab="1"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 name="OpenAI" sheetId="9" r:id="rId9"/>
    <sheet name="DeepMind" sheetId="10" r:id="rId10"/>
  </sheets>
  <externalReferences>
    <externalReference r:id="rId11"/>
  </externalReferences>
  <definedNames>
    <definedName name="_xlnm._FilterDatabase" localSheetId="1" hidden="1">Companies!$A$2:$L$398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67" i="2" l="1"/>
  <c r="G2333" i="2"/>
  <c r="F85" i="2" l="1"/>
  <c r="F1205" i="2"/>
  <c r="F1200" i="2" s="1"/>
  <c r="F1613" i="2"/>
  <c r="F1610" i="2" s="1"/>
  <c r="F3467" i="2"/>
  <c r="F1385" i="2"/>
  <c r="F2124" i="2"/>
  <c r="F3036" i="2"/>
  <c r="F1384" i="2"/>
  <c r="F358" i="2"/>
  <c r="F1753" i="2"/>
  <c r="F318" i="2"/>
  <c r="F1031" i="2"/>
  <c r="F356" i="2"/>
  <c r="F317" i="2"/>
  <c r="G1007" i="2"/>
  <c r="F1010" i="2"/>
  <c r="F970" i="2"/>
  <c r="F355" i="2"/>
  <c r="G1406" i="2"/>
  <c r="F1406" i="2"/>
  <c r="G1430" i="2"/>
  <c r="F1430" i="2"/>
  <c r="G2481" i="2"/>
  <c r="F2481" i="2"/>
  <c r="G1904" i="2"/>
  <c r="G941" i="2"/>
  <c r="F941" i="2"/>
  <c r="G2373" i="2"/>
  <c r="G867" i="2"/>
  <c r="G1355" i="2"/>
  <c r="F1355" i="2"/>
  <c r="G2028" i="2"/>
  <c r="G1566" i="2"/>
  <c r="G505" i="2"/>
  <c r="F505" i="2"/>
  <c r="G986" i="2"/>
  <c r="G2218" i="2"/>
  <c r="F1426" i="2"/>
  <c r="F3510" i="2"/>
  <c r="F2221" i="2"/>
  <c r="G1075" i="2"/>
  <c r="F1080" i="2"/>
  <c r="F1075" i="2" s="1"/>
  <c r="F1425" i="2"/>
  <c r="F2220" i="2"/>
  <c r="F2030" i="2"/>
  <c r="F2028" i="2" s="1"/>
  <c r="F2219" i="2"/>
  <c r="F1568" i="2"/>
  <c r="F1566" i="2" s="1"/>
  <c r="G915" i="2"/>
  <c r="F915" i="2"/>
  <c r="F633" i="2"/>
  <c r="F2115" i="2"/>
  <c r="F2112" i="2" s="1"/>
  <c r="G2101" i="2"/>
  <c r="F2101" i="2"/>
  <c r="G775" i="2"/>
  <c r="F775" i="2"/>
  <c r="G1721" i="2"/>
  <c r="G1675" i="2"/>
  <c r="G2408" i="2"/>
  <c r="G1341" i="2"/>
  <c r="F1341" i="2"/>
  <c r="G2579" i="2"/>
  <c r="G1695" i="2"/>
  <c r="G1985" i="2"/>
  <c r="G1996" i="2"/>
  <c r="F742" i="2"/>
  <c r="F969" i="2"/>
  <c r="G1442" i="2"/>
  <c r="F825" i="2"/>
  <c r="F1447" i="2"/>
  <c r="F1030" i="2"/>
  <c r="F1018" i="2" s="1"/>
  <c r="F824" i="2"/>
  <c r="F741" i="2"/>
  <c r="F1446" i="2"/>
  <c r="F1444" i="2"/>
  <c r="F1998" i="2"/>
  <c r="F1987" i="2"/>
  <c r="F1697" i="2"/>
  <c r="F1443" i="2"/>
  <c r="F1997" i="2"/>
  <c r="F1986" i="2"/>
  <c r="G1845" i="2"/>
  <c r="F821" i="2"/>
  <c r="F968" i="2"/>
  <c r="F1696" i="2"/>
  <c r="F2382" i="2"/>
  <c r="F2377" i="2" s="1"/>
  <c r="F619" i="2"/>
  <c r="F3506" i="2"/>
  <c r="F2581" i="2"/>
  <c r="F2396" i="2"/>
  <c r="G2396" i="2"/>
  <c r="G1836" i="2"/>
  <c r="F1836" i="2"/>
  <c r="G1615" i="2"/>
  <c r="F2256" i="2"/>
  <c r="F2254" i="2" s="1"/>
  <c r="E2256" i="2"/>
  <c r="G2254" i="2"/>
  <c r="F2580" i="2"/>
  <c r="G1536" i="2"/>
  <c r="F81" i="2"/>
  <c r="F288" i="2"/>
  <c r="F1617" i="2"/>
  <c r="F1615" i="2" s="1"/>
  <c r="F616" i="2"/>
  <c r="F421" i="2"/>
  <c r="G1473" i="2"/>
  <c r="F1473" i="2"/>
  <c r="G1691" i="2"/>
  <c r="G945" i="2"/>
  <c r="F945" i="2"/>
  <c r="G1195" i="2"/>
  <c r="G796" i="2"/>
  <c r="G1071" i="2"/>
  <c r="G1261" i="2"/>
  <c r="G1138" i="2"/>
  <c r="G708" i="2"/>
  <c r="F708" i="2"/>
  <c r="G1620" i="2"/>
  <c r="F1620" i="2"/>
  <c r="G2320" i="2"/>
  <c r="G2259" i="2"/>
  <c r="F2322" i="2"/>
  <c r="F2320" i="2" s="1"/>
  <c r="F3171" i="2"/>
  <c r="F2261" i="2"/>
  <c r="F2259" i="2" s="1"/>
  <c r="E2261" i="2"/>
  <c r="F1016" i="2"/>
  <c r="F3504" i="2"/>
  <c r="F3503" i="2"/>
  <c r="F1760" i="2"/>
  <c r="F3502" i="2"/>
  <c r="F3501" i="2"/>
  <c r="F3500" i="2"/>
  <c r="F3499" i="2"/>
  <c r="F3498" i="2"/>
  <c r="F3497" i="2"/>
  <c r="F3496" i="2"/>
  <c r="F1548" i="2"/>
  <c r="F3495" i="2"/>
  <c r="G1265" i="2"/>
  <c r="G1512" i="2"/>
  <c r="G1051" i="2"/>
  <c r="G621" i="2"/>
  <c r="F621" i="2"/>
  <c r="G661" i="2"/>
  <c r="F783" i="2"/>
  <c r="F702" i="2"/>
  <c r="G391" i="2"/>
  <c r="F2218" i="2" l="1"/>
  <c r="F2579" i="2"/>
  <c r="F1996" i="2"/>
  <c r="F1985" i="2"/>
  <c r="F1695" i="2"/>
  <c r="F1442" i="2"/>
  <c r="G2004" i="2"/>
  <c r="G1414" i="2"/>
  <c r="G1092" i="2"/>
  <c r="F1092" i="2"/>
  <c r="G712" i="2"/>
  <c r="G770" i="2"/>
  <c r="G779" i="2"/>
  <c r="G2706" i="2"/>
  <c r="G2324" i="2"/>
  <c r="F2324" i="2"/>
  <c r="G2151" i="2"/>
  <c r="G2047" i="2"/>
  <c r="G2022" i="2"/>
  <c r="G2316" i="2"/>
  <c r="G2329" i="2"/>
  <c r="G872" i="2"/>
  <c r="G2427" i="2"/>
  <c r="G1410" i="2"/>
  <c r="F1410" i="2"/>
  <c r="G2439" i="2"/>
  <c r="G2653" i="2"/>
  <c r="G2506" i="2"/>
  <c r="G1545" i="2"/>
  <c r="G2392" i="2"/>
  <c r="F2392" i="2"/>
  <c r="G2388" i="2"/>
  <c r="F2388" i="2"/>
  <c r="G2036" i="2"/>
  <c r="G1107" i="2"/>
  <c r="F1107" i="2"/>
  <c r="G2681" i="2"/>
  <c r="F2681" i="2"/>
  <c r="F2642" i="2"/>
  <c r="F2640" i="2" s="1"/>
  <c r="L2641" i="2"/>
  <c r="G2640" i="2"/>
  <c r="G2595" i="2"/>
  <c r="G2012" i="2"/>
  <c r="F2012" i="2"/>
  <c r="G1827" i="2"/>
  <c r="G1522" i="2"/>
  <c r="G2369" i="2"/>
  <c r="G1840" i="2"/>
  <c r="G1971" i="2"/>
  <c r="G2738" i="2"/>
  <c r="G1142" i="2"/>
  <c r="G2770" i="2"/>
  <c r="F2770" i="2"/>
  <c r="G2754" i="2"/>
  <c r="G1735" i="2"/>
  <c r="F1735" i="2"/>
  <c r="G2228" i="2"/>
  <c r="G1606" i="2"/>
  <c r="F1606" i="2"/>
  <c r="G1602" i="2"/>
  <c r="F1602" i="2"/>
  <c r="G2053" i="2"/>
  <c r="F2053" i="2"/>
  <c r="G1867" i="2"/>
  <c r="F1867" i="2"/>
  <c r="G2444" i="2"/>
  <c r="G2194" i="2"/>
  <c r="G223" i="2"/>
  <c r="G2147" i="2"/>
  <c r="F2147" i="2"/>
  <c r="F2361" i="2"/>
  <c r="G2361" i="2"/>
  <c r="G2357" i="2"/>
  <c r="F2357" i="2"/>
  <c r="G2353" i="2"/>
  <c r="G2032" i="2"/>
  <c r="F2032" i="2"/>
  <c r="G2718" i="2"/>
  <c r="F2718" i="2"/>
  <c r="G2067" i="2"/>
  <c r="G2203" i="2"/>
  <c r="G1857" i="2"/>
  <c r="F1857" i="2"/>
  <c r="G2239" i="2"/>
  <c r="G2477" i="2"/>
  <c r="F2477" i="2"/>
  <c r="G2345" i="2"/>
  <c r="F2345" i="2"/>
  <c r="G2244" i="2"/>
  <c r="F2244" i="2"/>
  <c r="G2550" i="2"/>
  <c r="F2550" i="2"/>
  <c r="G2435" i="2"/>
  <c r="G2524" i="2"/>
  <c r="F2524" i="2"/>
  <c r="G1940" i="2"/>
  <c r="F1940" i="2"/>
  <c r="G2041" i="2"/>
  <c r="G1916" i="2"/>
  <c r="F1916" i="2"/>
  <c r="G2714" i="2"/>
  <c r="G2541" i="2"/>
  <c r="F2541" i="2"/>
  <c r="G1171" i="2"/>
  <c r="G956" i="2"/>
  <c r="F956" i="2"/>
  <c r="G1541" i="2"/>
  <c r="F1541" i="2"/>
  <c r="G1831" i="2"/>
  <c r="G1624" i="2"/>
  <c r="G1365" i="2"/>
  <c r="F1365" i="2"/>
  <c r="G1518" i="2"/>
  <c r="F1518" i="2"/>
  <c r="G2766" i="2"/>
  <c r="F2766" i="2"/>
  <c r="G861" i="2"/>
  <c r="G1012" i="2"/>
  <c r="G2494" i="2"/>
  <c r="G2661" i="2"/>
  <c r="G2778" i="2"/>
  <c r="F2778" i="2"/>
  <c r="G1899" i="2"/>
  <c r="G2648" i="2"/>
  <c r="G2554" i="2"/>
  <c r="G2644" i="2"/>
  <c r="G2377" i="2"/>
  <c r="G2454" i="2"/>
  <c r="G2448" i="2"/>
  <c r="G2349" i="2"/>
  <c r="G802" i="2"/>
  <c r="G2567" i="2"/>
  <c r="F2567" i="2"/>
  <c r="G2722" i="2"/>
  <c r="F2722" i="2"/>
  <c r="G2155" i="2"/>
  <c r="G2063" i="2"/>
  <c r="F2063" i="2"/>
  <c r="G1981" i="2"/>
  <c r="G1685" i="2"/>
  <c r="G2179" i="2"/>
  <c r="G1594" i="2"/>
  <c r="G2085" i="2"/>
  <c r="G1881" i="2"/>
  <c r="G1725" i="2"/>
  <c r="G1814" i="2"/>
  <c r="G1056" i="2"/>
  <c r="G2758" i="2"/>
  <c r="G1064" i="2"/>
  <c r="G520" i="2"/>
  <c r="F520" i="2"/>
  <c r="G2782" i="2"/>
  <c r="F2782" i="2"/>
  <c r="G2516" i="2"/>
  <c r="F2516" i="2"/>
  <c r="G2413" i="2"/>
  <c r="F2413" i="2"/>
  <c r="G2665" i="2"/>
  <c r="G2571" i="2"/>
  <c r="G2467" i="2"/>
  <c r="F2467" i="2"/>
  <c r="G2233" i="2"/>
  <c r="G2490" i="2"/>
  <c r="F2490" i="2"/>
  <c r="G2546" i="2"/>
  <c r="G1875" i="2"/>
  <c r="F1875" i="2"/>
  <c r="G2000" i="2"/>
  <c r="F2000" i="2"/>
  <c r="G1700" i="2"/>
  <c r="G2277" i="2"/>
  <c r="F2277" i="2"/>
  <c r="G2190" i="2"/>
  <c r="F2190" i="2"/>
  <c r="G2337" i="2"/>
  <c r="F2337" i="2"/>
  <c r="G2677" i="2"/>
  <c r="F2677" i="2"/>
  <c r="G2628" i="2"/>
  <c r="F2628" i="2"/>
  <c r="G2632" i="2"/>
  <c r="F2632" i="2"/>
  <c r="G2669" i="2"/>
  <c r="F2669" i="2"/>
  <c r="G1337" i="2"/>
  <c r="G1766" i="2"/>
  <c r="G2112" i="2"/>
  <c r="G2591" i="2"/>
  <c r="G1323" i="2"/>
  <c r="F1323" i="2"/>
  <c r="G2384" i="2"/>
  <c r="G2431" i="2"/>
  <c r="F2431" i="2"/>
  <c r="G2223" i="2"/>
  <c r="F2223" i="2"/>
  <c r="G1349" i="2"/>
  <c r="G2419" i="2"/>
  <c r="F2419" i="2"/>
  <c r="G2762" i="2"/>
  <c r="G1418" i="2"/>
  <c r="G2472" i="2"/>
  <c r="G2624" i="2"/>
  <c r="F2624" i="2"/>
  <c r="F2657" i="2"/>
  <c r="G2657" i="2"/>
  <c r="G2058" i="2"/>
  <c r="F2058" i="2"/>
  <c r="G2726" i="2"/>
  <c r="F2726" i="2"/>
  <c r="G2730" i="2"/>
  <c r="F2730" i="2"/>
  <c r="G2710" i="2"/>
  <c r="F2710" i="2"/>
  <c r="G2734" i="2"/>
  <c r="F2734" i="2"/>
  <c r="G2563" i="2"/>
  <c r="F2563" i="2"/>
  <c r="G1148" i="2"/>
  <c r="G2401" i="2"/>
  <c r="G2249" i="2"/>
  <c r="F2249" i="2"/>
  <c r="G2172" i="2"/>
  <c r="F2093" i="2"/>
  <c r="F2092" i="2" s="1"/>
  <c r="G2092" i="2"/>
  <c r="G2583" i="2"/>
  <c r="G1477" i="2"/>
  <c r="G2613" i="2"/>
  <c r="G2587" i="2"/>
  <c r="G2685" i="2"/>
  <c r="G2689" i="2"/>
  <c r="G2693"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086" i="2"/>
  <c r="G2673" i="2"/>
  <c r="G1571" i="2"/>
  <c r="F1573" i="2"/>
  <c r="F1571" i="2" s="1"/>
  <c r="F1449" i="2"/>
  <c r="G1361" i="2"/>
  <c r="F1361" i="2"/>
  <c r="G2537" i="2"/>
  <c r="G1740" i="2"/>
  <c r="F1740" i="2"/>
  <c r="G2774" i="2"/>
  <c r="F2776" i="2"/>
  <c r="F2774" i="2" s="1"/>
  <c r="F1667" i="2"/>
  <c r="G2604" i="2"/>
  <c r="F1729" i="2"/>
  <c r="F2410" i="2"/>
  <c r="F1923" i="2"/>
  <c r="G1667" i="2"/>
  <c r="G2264" i="2"/>
  <c r="F2264" i="2"/>
  <c r="F2409" i="2"/>
  <c r="G1920" i="2"/>
  <c r="F1922" i="2"/>
  <c r="G1729" i="2"/>
  <c r="G582" i="2"/>
  <c r="F1266" i="2"/>
  <c r="F1265" i="2" s="1"/>
  <c r="E1266" i="2"/>
  <c r="F3489" i="2"/>
  <c r="E3489" i="2"/>
  <c r="G1282" i="2"/>
  <c r="F1921" i="2"/>
  <c r="E1921" i="2"/>
  <c r="F3488" i="2"/>
  <c r="E3488" i="2"/>
  <c r="F3487" i="2"/>
  <c r="E3487" i="2"/>
  <c r="F3486" i="2"/>
  <c r="E3486" i="2"/>
  <c r="G990" i="2"/>
  <c r="F49" i="3"/>
  <c r="E3485" i="2"/>
  <c r="E3484" i="2"/>
  <c r="E916" i="2"/>
  <c r="D59" i="3"/>
  <c r="D1" i="3" s="1"/>
  <c r="F59" i="3"/>
  <c r="F3290" i="2"/>
  <c r="F471" i="2"/>
  <c r="F3482" i="2"/>
  <c r="F1538" i="2"/>
  <c r="F3480" i="2"/>
  <c r="F1723" i="2"/>
  <c r="F1721" i="2" s="1"/>
  <c r="F1677" i="2"/>
  <c r="F1675" i="2" s="1"/>
  <c r="F3479" i="2"/>
  <c r="F3478" i="2"/>
  <c r="F3477" i="2"/>
  <c r="F3476" i="2"/>
  <c r="F3474" i="2"/>
  <c r="F3473" i="2"/>
  <c r="F3472" i="2"/>
  <c r="F3471" i="2"/>
  <c r="F3470"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1" i="3" s="1"/>
  <c r="A32" i="3" s="1"/>
  <c r="A33" i="3" s="1"/>
  <c r="A34" i="3" s="1"/>
  <c r="A35" i="3" s="1"/>
  <c r="A36" i="3" s="1"/>
  <c r="A37" i="3" s="1"/>
  <c r="A38" i="3" s="1"/>
  <c r="A39" i="3" s="1"/>
  <c r="A40" i="3" s="1"/>
  <c r="A41" i="3" s="1"/>
  <c r="A42" i="3" s="1"/>
  <c r="A43" i="3" s="1"/>
  <c r="A44" i="3" s="1"/>
  <c r="A45" i="3" s="1"/>
  <c r="A46" i="3" s="1"/>
  <c r="A47" i="3" s="1"/>
  <c r="A48" i="3" s="1"/>
  <c r="A49" i="3" s="1"/>
  <c r="A50" i="3" s="1"/>
  <c r="G1641" i="2"/>
  <c r="G2486" i="2"/>
  <c r="G2272" i="2"/>
  <c r="G1287" i="2"/>
  <c r="G2293" i="2"/>
  <c r="G2097" i="2"/>
  <c r="F2746" i="2"/>
  <c r="G2746" i="2"/>
  <c r="G2636" i="2"/>
  <c r="F2636" i="2"/>
  <c r="G1345" i="2"/>
  <c r="G1762" i="2"/>
  <c r="G1437" i="2"/>
  <c r="G1327" i="2"/>
  <c r="G1526" i="2"/>
  <c r="F1526" i="2"/>
  <c r="G972" i="2"/>
  <c r="G1465" i="2"/>
  <c r="G2742" i="2"/>
  <c r="F2742" i="2"/>
  <c r="G1554" i="2"/>
  <c r="F1554" i="2"/>
  <c r="G1531" i="2"/>
  <c r="G1333" i="2"/>
  <c r="G1387" i="2"/>
  <c r="G1871" i="2"/>
  <c r="G1706" i="2"/>
  <c r="G1550" i="2"/>
  <c r="G2212" i="2"/>
  <c r="F2302" i="2"/>
  <c r="F2199" i="2"/>
  <c r="F2159" i="2"/>
  <c r="F2131" i="2"/>
  <c r="F2017" i="2"/>
  <c r="F1965" i="2"/>
  <c r="F1934" i="2"/>
  <c r="F1892" i="2"/>
  <c r="F1808" i="2"/>
  <c r="F1798" i="2"/>
  <c r="F1400" i="2"/>
  <c r="F1221" i="2"/>
  <c r="F1177" i="2"/>
  <c r="F1154" i="2"/>
  <c r="F1127" i="2"/>
  <c r="F1120" i="2"/>
  <c r="F589" i="2"/>
  <c r="F473" i="2"/>
  <c r="J421" i="2"/>
  <c r="F415" i="2"/>
  <c r="J415" i="2" s="1"/>
  <c r="S47" i="3"/>
  <c r="V58" i="3"/>
  <c r="F66" i="3"/>
  <c r="P66" i="3"/>
  <c r="F99" i="3"/>
  <c r="F63" i="8" s="1"/>
  <c r="F158" i="3"/>
  <c r="F122" i="8" s="1"/>
  <c r="F352" i="3"/>
  <c r="G3" i="2"/>
  <c r="F9" i="2"/>
  <c r="F3" i="2" s="1"/>
  <c r="G19" i="2"/>
  <c r="M19" i="2"/>
  <c r="N19" i="2"/>
  <c r="R19" i="2"/>
  <c r="F20" i="2"/>
  <c r="Q19" i="2" s="1"/>
  <c r="F24" i="2"/>
  <c r="P19" i="2" s="1"/>
  <c r="F28" i="2"/>
  <c r="O19" i="2" s="1"/>
  <c r="F38" i="2"/>
  <c r="F39" i="2"/>
  <c r="F40" i="2"/>
  <c r="F41" i="2"/>
  <c r="F44" i="2"/>
  <c r="G47" i="2"/>
  <c r="N47" i="2"/>
  <c r="Q47" i="2"/>
  <c r="F51" i="2"/>
  <c r="F53" i="2"/>
  <c r="P47" i="2" s="1"/>
  <c r="F62" i="2"/>
  <c r="F69" i="2"/>
  <c r="F72" i="2"/>
  <c r="G89" i="2"/>
  <c r="R89" i="2"/>
  <c r="F95" i="2"/>
  <c r="F103" i="2"/>
  <c r="O89" i="2" s="1"/>
  <c r="F106" i="2"/>
  <c r="Q89" i="2" s="1"/>
  <c r="F111" i="2"/>
  <c r="F112" i="2"/>
  <c r="G116" i="2"/>
  <c r="O116" i="2"/>
  <c r="R116" i="2"/>
  <c r="F117" i="2"/>
  <c r="F121" i="2"/>
  <c r="G123" i="2"/>
  <c r="O123" i="2"/>
  <c r="R123" i="2"/>
  <c r="F124" i="2"/>
  <c r="P123" i="2" s="1"/>
  <c r="F128" i="2"/>
  <c r="G130" i="2"/>
  <c r="O130" i="2"/>
  <c r="R130" i="2"/>
  <c r="F131" i="2"/>
  <c r="P130" i="2" s="1"/>
  <c r="F134" i="2"/>
  <c r="G137" i="2"/>
  <c r="O137" i="2"/>
  <c r="Q137" i="2"/>
  <c r="F138" i="2"/>
  <c r="P137" i="2" s="1"/>
  <c r="G144" i="2"/>
  <c r="O144" i="2"/>
  <c r="F145" i="2"/>
  <c r="F150" i="2"/>
  <c r="F151" i="2"/>
  <c r="F153" i="2"/>
  <c r="G155" i="2"/>
  <c r="F160" i="2"/>
  <c r="F169" i="2"/>
  <c r="F176" i="2"/>
  <c r="F177" i="2"/>
  <c r="F181" i="2"/>
  <c r="F184" i="2"/>
  <c r="F185" i="2"/>
  <c r="F190" i="2"/>
  <c r="G193" i="2"/>
  <c r="F194" i="2"/>
  <c r="F193" i="2" s="1"/>
  <c r="G197" i="2"/>
  <c r="F198" i="2"/>
  <c r="F200" i="2"/>
  <c r="F202" i="2"/>
  <c r="F218" i="2"/>
  <c r="F219" i="2"/>
  <c r="F220" i="2"/>
  <c r="G229" i="2"/>
  <c r="F232" i="2"/>
  <c r="F233" i="2"/>
  <c r="E234" i="2"/>
  <c r="F235" i="2"/>
  <c r="F237" i="2"/>
  <c r="E239" i="2"/>
  <c r="F239" i="2"/>
  <c r="G241" i="2"/>
  <c r="F246" i="2"/>
  <c r="F250" i="2"/>
  <c r="F259" i="2"/>
  <c r="F261" i="2"/>
  <c r="G263" i="2"/>
  <c r="F264" i="2"/>
  <c r="F265" i="2"/>
  <c r="G267" i="2"/>
  <c r="F268" i="2"/>
  <c r="F269" i="2"/>
  <c r="G271" i="2"/>
  <c r="F277" i="2"/>
  <c r="F271" i="2" s="1"/>
  <c r="G292" i="2"/>
  <c r="F294" i="2"/>
  <c r="F308" i="2"/>
  <c r="F310" i="2"/>
  <c r="F313" i="2"/>
  <c r="G322" i="2"/>
  <c r="F326" i="2"/>
  <c r="F337" i="2"/>
  <c r="L342" i="2"/>
  <c r="F346" i="2"/>
  <c r="F347" i="2"/>
  <c r="F350" i="2"/>
  <c r="G361" i="2"/>
  <c r="F362" i="2"/>
  <c r="F366" i="2"/>
  <c r="F367" i="2"/>
  <c r="F370" i="2"/>
  <c r="G372" i="2"/>
  <c r="F388" i="2"/>
  <c r="G396" i="2"/>
  <c r="F402" i="2"/>
  <c r="F413" i="2"/>
  <c r="G415" i="2"/>
  <c r="G421" i="2"/>
  <c r="G436" i="2"/>
  <c r="F438" i="2"/>
  <c r="F439" i="2"/>
  <c r="F440" i="2"/>
  <c r="F447" i="2"/>
  <c r="F448" i="2"/>
  <c r="G473" i="2"/>
  <c r="G486" i="2"/>
  <c r="F487" i="2"/>
  <c r="F488" i="2"/>
  <c r="G496" i="2"/>
  <c r="F498" i="2"/>
  <c r="F502" i="2"/>
  <c r="G509" i="2"/>
  <c r="F513" i="2"/>
  <c r="F516" i="2"/>
  <c r="F518" i="2"/>
  <c r="G452" i="2"/>
  <c r="F453" i="2"/>
  <c r="F458" i="2"/>
  <c r="G524" i="2"/>
  <c r="F528" i="2"/>
  <c r="F530" i="2"/>
  <c r="F533" i="2"/>
  <c r="F534" i="2"/>
  <c r="F535" i="2"/>
  <c r="F536" i="2"/>
  <c r="F537" i="2"/>
  <c r="G546" i="2"/>
  <c r="F547" i="2"/>
  <c r="F548" i="2"/>
  <c r="F549" i="2"/>
  <c r="F551" i="2"/>
  <c r="F552" i="2"/>
  <c r="G560" i="2"/>
  <c r="F563" i="2"/>
  <c r="F569" i="2"/>
  <c r="G589" i="2"/>
  <c r="G645" i="2"/>
  <c r="F646" i="2"/>
  <c r="F653" i="2"/>
  <c r="F655" i="2"/>
  <c r="G636" i="2"/>
  <c r="F637" i="2"/>
  <c r="F639" i="2"/>
  <c r="F640" i="2"/>
  <c r="G675" i="2"/>
  <c r="F678" i="2"/>
  <c r="F679" i="2"/>
  <c r="G683" i="2"/>
  <c r="F685" i="2"/>
  <c r="F687" i="2"/>
  <c r="F688" i="2"/>
  <c r="F690" i="2"/>
  <c r="G625" i="2"/>
  <c r="F626" i="2"/>
  <c r="F627" i="2"/>
  <c r="G702" i="2"/>
  <c r="G745" i="2"/>
  <c r="J745" i="2"/>
  <c r="F763" i="2"/>
  <c r="F768" i="2"/>
  <c r="G665" i="2"/>
  <c r="F667" i="2"/>
  <c r="F668" i="2"/>
  <c r="F669" i="2"/>
  <c r="F670" i="2"/>
  <c r="G783" i="2"/>
  <c r="G827" i="2"/>
  <c r="F828" i="2"/>
  <c r="F827" i="2" s="1"/>
  <c r="G831" i="2"/>
  <c r="F839" i="2"/>
  <c r="F840" i="2"/>
  <c r="F848" i="2"/>
  <c r="G852" i="2"/>
  <c r="F853" i="2"/>
  <c r="F854" i="2"/>
  <c r="F855" i="2"/>
  <c r="G880" i="2"/>
  <c r="F882" i="2"/>
  <c r="F883" i="2"/>
  <c r="F884" i="2"/>
  <c r="F888" i="2"/>
  <c r="F889" i="2"/>
  <c r="G892" i="2"/>
  <c r="F896" i="2"/>
  <c r="F897" i="2"/>
  <c r="F899" i="2"/>
  <c r="E900" i="2"/>
  <c r="F900" i="2"/>
  <c r="G919" i="2"/>
  <c r="F920" i="2"/>
  <c r="F921" i="2"/>
  <c r="F931" i="2"/>
  <c r="F935" i="2"/>
  <c r="F937" i="2"/>
  <c r="G595" i="2"/>
  <c r="F606" i="2"/>
  <c r="F608" i="2"/>
  <c r="F615" i="2"/>
  <c r="G949" i="2"/>
  <c r="F952" i="2"/>
  <c r="F953" i="2"/>
  <c r="G903" i="2"/>
  <c r="F905" i="2"/>
  <c r="F909" i="2"/>
  <c r="F910" i="2"/>
  <c r="G716" i="2"/>
  <c r="F720" i="2"/>
  <c r="F724" i="2"/>
  <c r="G977" i="2"/>
  <c r="F978" i="2"/>
  <c r="F977" i="2" s="1"/>
  <c r="G999" i="2"/>
  <c r="F1004" i="2"/>
  <c r="F999" i="2" s="1"/>
  <c r="G960" i="2"/>
  <c r="F963" i="2"/>
  <c r="F965" i="2"/>
  <c r="G1033" i="2"/>
  <c r="F1037" i="2"/>
  <c r="F1038" i="2"/>
  <c r="F1046" i="2"/>
  <c r="G807" i="2"/>
  <c r="F815" i="2"/>
  <c r="F807" i="2" s="1"/>
  <c r="G731" i="2"/>
  <c r="F733" i="2"/>
  <c r="F735" i="2"/>
  <c r="F736" i="2"/>
  <c r="G1082" i="2"/>
  <c r="F1083" i="2"/>
  <c r="F1082" i="2" s="1"/>
  <c r="G463" i="2"/>
  <c r="F466" i="2"/>
  <c r="G1120" i="2"/>
  <c r="G1127" i="2"/>
  <c r="G1133" i="2"/>
  <c r="F1134" i="2"/>
  <c r="F1135" i="2"/>
  <c r="F1136" i="2"/>
  <c r="G1154" i="2"/>
  <c r="G1164" i="2"/>
  <c r="E1169" i="2"/>
  <c r="F1169" i="2"/>
  <c r="F1164" i="2" s="1"/>
  <c r="G1177" i="2"/>
  <c r="G1098" i="2"/>
  <c r="F1102" i="2"/>
  <c r="F1103" i="2"/>
  <c r="E1104" i="2"/>
  <c r="F1104" i="2" s="1"/>
  <c r="G1111" i="2"/>
  <c r="F1114" i="2"/>
  <c r="F1115" i="2"/>
  <c r="G1184" i="2"/>
  <c r="F1185" i="2"/>
  <c r="F1188" i="2"/>
  <c r="F1191" i="2"/>
  <c r="F1192" i="2"/>
  <c r="G1208" i="2"/>
  <c r="F1209" i="2"/>
  <c r="F1211" i="2"/>
  <c r="F1212" i="2"/>
  <c r="G1018" i="2"/>
  <c r="G1221" i="2"/>
  <c r="I1221" i="2"/>
  <c r="G1233" i="2"/>
  <c r="F1238" i="2"/>
  <c r="G1241" i="2"/>
  <c r="F1257" i="2"/>
  <c r="F1258" i="2"/>
  <c r="F1259" i="2"/>
  <c r="G1269" i="2"/>
  <c r="F1270" i="2"/>
  <c r="F1271" i="2"/>
  <c r="F1274" i="2"/>
  <c r="F1276" i="2"/>
  <c r="F1277" i="2"/>
  <c r="F1278" i="2"/>
  <c r="G1308" i="2"/>
  <c r="F1310" i="2"/>
  <c r="F1308" i="2" s="1"/>
  <c r="G1294" i="2"/>
  <c r="F1295" i="2"/>
  <c r="F1294" i="2" s="1"/>
  <c r="G1315" i="2"/>
  <c r="F1318" i="2"/>
  <c r="F1315" i="2" s="1"/>
  <c r="G1400" i="2"/>
  <c r="G1370" i="2"/>
  <c r="F1374" i="2"/>
  <c r="F1375" i="2"/>
  <c r="F1383" i="2"/>
  <c r="G1449" i="2"/>
  <c r="G1454" i="2"/>
  <c r="F1455" i="2"/>
  <c r="F1456" i="2"/>
  <c r="F1459" i="2"/>
  <c r="G1484" i="2"/>
  <c r="F1486" i="2"/>
  <c r="F1487" i="2"/>
  <c r="F1491" i="2"/>
  <c r="G1491" i="2"/>
  <c r="G1495" i="2"/>
  <c r="F1496" i="2"/>
  <c r="F1495" i="2" s="1"/>
  <c r="G1501" i="2"/>
  <c r="F1502" i="2"/>
  <c r="F1508" i="2"/>
  <c r="G1200" i="2"/>
  <c r="G1575" i="2"/>
  <c r="F1576" i="2"/>
  <c r="F1577" i="2"/>
  <c r="F1582" i="2"/>
  <c r="G1584" i="2"/>
  <c r="F1585" i="2"/>
  <c r="F1588" i="2"/>
  <c r="F1590" i="2"/>
  <c r="G1630" i="2"/>
  <c r="F1631" i="2"/>
  <c r="F1636" i="2"/>
  <c r="G1648" i="2"/>
  <c r="F1655" i="2"/>
  <c r="F1648" i="2" s="1"/>
  <c r="G1658" i="2"/>
  <c r="F1661" i="2"/>
  <c r="F1658" i="2" s="1"/>
  <c r="G1679" i="2"/>
  <c r="F1680" i="2"/>
  <c r="F1679" i="2" s="1"/>
  <c r="G1710" i="2"/>
  <c r="F1713" i="2"/>
  <c r="F1715" i="2"/>
  <c r="G1784" i="2"/>
  <c r="F1786" i="2"/>
  <c r="F1784" i="2" s="1"/>
  <c r="G1788" i="2"/>
  <c r="F1790" i="2"/>
  <c r="F1788" i="2" s="1"/>
  <c r="G1798" i="2"/>
  <c r="G1802" i="2"/>
  <c r="F1804" i="2"/>
  <c r="F1802" i="2" s="1"/>
  <c r="G1820" i="2"/>
  <c r="F1821" i="2"/>
  <c r="F1822" i="2"/>
  <c r="G1850" i="2"/>
  <c r="F1851" i="2"/>
  <c r="F1852" i="2"/>
  <c r="G1774" i="2"/>
  <c r="F1776" i="2"/>
  <c r="F1779" i="2"/>
  <c r="G1862" i="2"/>
  <c r="F1863" i="2"/>
  <c r="F1864" i="2"/>
  <c r="G1808" i="2"/>
  <c r="G1744" i="2"/>
  <c r="F1748" i="2"/>
  <c r="F1749" i="2"/>
  <c r="G1887" i="2"/>
  <c r="F1888" i="2"/>
  <c r="F1887" i="2" s="1"/>
  <c r="G1892" i="2"/>
  <c r="G1911" i="2"/>
  <c r="F1912" i="2"/>
  <c r="F1914" i="2"/>
  <c r="G1925" i="2"/>
  <c r="F1926" i="2"/>
  <c r="F1927" i="2"/>
  <c r="G1934" i="2"/>
  <c r="G1393" i="2"/>
  <c r="F1394" i="2"/>
  <c r="F1393" i="2" s="1"/>
  <c r="G1947" i="2"/>
  <c r="F1948" i="2"/>
  <c r="F1947" i="2" s="1"/>
  <c r="G1965" i="2"/>
  <c r="G1975" i="2"/>
  <c r="F1977" i="2"/>
  <c r="F1975" i="2" s="1"/>
  <c r="G1989" i="2"/>
  <c r="F1993" i="2"/>
  <c r="F1989" i="2" s="1"/>
  <c r="G2008" i="2"/>
  <c r="F2009" i="2"/>
  <c r="F2008" i="2" s="1"/>
  <c r="G1559" i="2"/>
  <c r="F1560" i="2"/>
  <c r="F1559" i="2" s="1"/>
  <c r="G2017" i="2"/>
  <c r="F2076" i="2"/>
  <c r="G2076" i="2"/>
  <c r="G2105" i="2"/>
  <c r="F2109" i="2"/>
  <c r="F2105" i="2" s="1"/>
  <c r="G2118" i="2"/>
  <c r="F2119" i="2"/>
  <c r="F2118" i="2" s="1"/>
  <c r="F2126" i="2"/>
  <c r="G2126" i="2"/>
  <c r="G2080" i="2"/>
  <c r="F2082" i="2"/>
  <c r="F2080" i="2" s="1"/>
  <c r="G2131" i="2"/>
  <c r="G2136" i="2"/>
  <c r="F2140" i="2"/>
  <c r="F2141" i="2"/>
  <c r="G2143" i="2"/>
  <c r="F2145" i="2"/>
  <c r="F2143" i="2" s="1"/>
  <c r="G1954" i="2"/>
  <c r="F1955" i="2"/>
  <c r="F1954" i="2" s="1"/>
  <c r="G2159" i="2"/>
  <c r="F2166" i="2"/>
  <c r="G2166" i="2"/>
  <c r="G1610" i="2"/>
  <c r="G1756" i="2"/>
  <c r="F1758" i="2"/>
  <c r="F1759" i="2"/>
  <c r="G2183" i="2"/>
  <c r="F2184" i="2"/>
  <c r="F2185" i="2"/>
  <c r="G2199" i="2"/>
  <c r="F2208" i="2"/>
  <c r="G2208" i="2"/>
  <c r="G2268" i="2"/>
  <c r="F2270" i="2"/>
  <c r="F2268" i="2" s="1"/>
  <c r="G2284" i="2"/>
  <c r="F2285" i="2"/>
  <c r="F2284" i="2" s="1"/>
  <c r="F2288" i="2"/>
  <c r="G2288" i="2"/>
  <c r="G2298" i="2"/>
  <c r="F2299" i="2"/>
  <c r="F2298" i="2" s="1"/>
  <c r="G2302" i="2"/>
  <c r="G2308" i="2"/>
  <c r="F2311" i="2"/>
  <c r="F2308" i="2" s="1"/>
  <c r="G2341" i="2"/>
  <c r="F2342" i="2"/>
  <c r="F2341" i="2" s="1"/>
  <c r="G2365" i="2"/>
  <c r="F2366" i="2"/>
  <c r="F2365" i="2" s="1"/>
  <c r="G2423" i="2"/>
  <c r="F2425" i="2"/>
  <c r="F2423" i="2" s="1"/>
  <c r="F2455" i="2"/>
  <c r="F2454" i="2" s="1"/>
  <c r="G2458" i="2"/>
  <c r="F2459" i="2"/>
  <c r="F2458" i="2" s="1"/>
  <c r="F2213" i="2"/>
  <c r="F2212" i="2" s="1"/>
  <c r="F2462" i="2"/>
  <c r="G2462" i="2"/>
  <c r="G2512" i="2"/>
  <c r="F2513" i="2"/>
  <c r="F2514" i="2"/>
  <c r="G2520" i="2"/>
  <c r="F2521" i="2"/>
  <c r="F2520" i="2" s="1"/>
  <c r="F2528" i="2"/>
  <c r="G2528" i="2"/>
  <c r="G2532" i="2"/>
  <c r="F2533" i="2"/>
  <c r="F2532" i="2" s="1"/>
  <c r="F2559" i="2"/>
  <c r="G2559" i="2"/>
  <c r="G2500" i="2"/>
  <c r="F2502" i="2"/>
  <c r="F2500" i="2" s="1"/>
  <c r="G2575" i="2"/>
  <c r="F2576" i="2"/>
  <c r="F2577" i="2"/>
  <c r="F2599" i="2"/>
  <c r="G2599" i="2"/>
  <c r="G2609" i="2"/>
  <c r="F2610" i="2"/>
  <c r="F2609" i="2" s="1"/>
  <c r="G2617" i="2"/>
  <c r="F2618" i="2"/>
  <c r="F2621" i="2"/>
  <c r="G2697" i="2"/>
  <c r="F2698" i="2"/>
  <c r="F2697" i="2" s="1"/>
  <c r="G2701" i="2"/>
  <c r="F2703" i="2"/>
  <c r="F2701" i="2" s="1"/>
  <c r="G2750" i="2"/>
  <c r="F2752" i="2"/>
  <c r="F2750" i="2" s="1"/>
  <c r="F2789" i="2"/>
  <c r="F1552" i="2"/>
  <c r="F1550" i="2" s="1"/>
  <c r="F1708" i="2"/>
  <c r="F1706" i="2" s="1"/>
  <c r="F1873" i="2"/>
  <c r="F1871" i="2" s="1"/>
  <c r="F1335" i="2"/>
  <c r="F1333" i="2" s="1"/>
  <c r="F1533" i="2"/>
  <c r="F1531" i="2" s="1"/>
  <c r="E1534" i="2"/>
  <c r="F1389" i="2"/>
  <c r="F1390" i="2"/>
  <c r="F2817" i="2"/>
  <c r="F2819" i="2"/>
  <c r="F2820" i="2"/>
  <c r="F2824" i="2"/>
  <c r="F2825" i="2"/>
  <c r="F2826" i="2"/>
  <c r="F2827" i="2"/>
  <c r="F2828" i="2"/>
  <c r="F2829" i="2"/>
  <c r="F2830" i="2"/>
  <c r="F2831" i="2"/>
  <c r="F2832" i="2"/>
  <c r="F2846" i="2"/>
  <c r="F2847" i="2"/>
  <c r="F2848" i="2"/>
  <c r="F2850" i="2"/>
  <c r="F2851" i="2"/>
  <c r="F2852" i="2"/>
  <c r="F2334" i="2"/>
  <c r="F2333" i="2" s="1"/>
  <c r="F2855" i="2"/>
  <c r="F1467" i="2"/>
  <c r="E1470" i="2"/>
  <c r="F1470" i="2" s="1"/>
  <c r="F1471" i="2"/>
  <c r="F2860" i="2"/>
  <c r="F2866" i="2"/>
  <c r="F2867" i="2"/>
  <c r="F2868" i="2"/>
  <c r="F2869" i="2"/>
  <c r="F2870" i="2"/>
  <c r="F2871" i="2"/>
  <c r="F2872" i="2"/>
  <c r="F2873" i="2"/>
  <c r="F2874" i="2"/>
  <c r="F1328" i="2"/>
  <c r="F1327" i="2" s="1"/>
  <c r="F1438" i="2"/>
  <c r="F1437" i="2" s="1"/>
  <c r="F2876" i="2"/>
  <c r="F2877" i="2"/>
  <c r="F2878" i="2"/>
  <c r="F2879" i="2"/>
  <c r="F2880" i="2"/>
  <c r="F2881" i="2"/>
  <c r="F2882" i="2"/>
  <c r="F2883" i="2"/>
  <c r="F2884" i="2"/>
  <c r="F2885" i="2"/>
  <c r="F974" i="2"/>
  <c r="F975" i="2"/>
  <c r="F2538" i="2"/>
  <c r="F2537" i="2" s="1"/>
  <c r="F2898" i="2"/>
  <c r="F2899" i="2"/>
  <c r="F2903" i="2"/>
  <c r="F1763" i="2"/>
  <c r="F1764" i="2"/>
  <c r="F1346" i="2"/>
  <c r="F1347" i="2"/>
  <c r="F2910" i="2"/>
  <c r="F2916" i="2"/>
  <c r="F2917" i="2"/>
  <c r="F2918" i="2"/>
  <c r="F2919" i="2"/>
  <c r="F2920" i="2"/>
  <c r="F2931" i="2"/>
  <c r="F2932" i="2"/>
  <c r="F2933" i="2"/>
  <c r="F2945" i="2"/>
  <c r="F2946" i="2"/>
  <c r="F2947" i="2"/>
  <c r="F2948" i="2"/>
  <c r="F2949" i="2"/>
  <c r="F2950" i="2"/>
  <c r="F2951" i="2"/>
  <c r="F2098" i="2"/>
  <c r="F2099" i="2"/>
  <c r="F2294" i="2"/>
  <c r="F2295" i="2"/>
  <c r="F2273" i="2"/>
  <c r="F2274" i="2"/>
  <c r="F2487" i="2"/>
  <c r="F2488" i="2"/>
  <c r="F1642" i="2"/>
  <c r="F1641" i="2" s="1"/>
  <c r="F2674" i="2"/>
  <c r="F2673" i="2" s="1"/>
  <c r="F2686" i="2"/>
  <c r="F2685" i="2" s="1"/>
  <c r="F2605" i="2"/>
  <c r="F2604" i="2" s="1"/>
  <c r="F2588" i="2"/>
  <c r="F2587" i="2" s="1"/>
  <c r="F2614" i="2"/>
  <c r="F2613" i="2" s="1"/>
  <c r="F2584" i="2"/>
  <c r="F2583" i="2" s="1"/>
  <c r="F2690" i="2"/>
  <c r="F2689" i="2" s="1"/>
  <c r="F1478" i="2"/>
  <c r="F1477" i="2" s="1"/>
  <c r="F2175" i="2"/>
  <c r="F2172" i="2" s="1"/>
  <c r="F2404" i="2"/>
  <c r="F2401" i="2" s="1"/>
  <c r="F1152" i="2"/>
  <c r="F1148" i="2" s="1" a="1"/>
  <c r="F1148" i="2" s="1"/>
  <c r="F2473" i="2"/>
  <c r="F2474" i="2"/>
  <c r="F2763" i="2"/>
  <c r="F2764" i="2"/>
  <c r="F1420" i="2"/>
  <c r="F1421" i="2"/>
  <c r="F1351" i="2"/>
  <c r="F1352" i="2"/>
  <c r="F2385" i="2"/>
  <c r="F2384" i="2" s="1"/>
  <c r="F2592" i="2"/>
  <c r="F2591" i="2" s="1"/>
  <c r="F2953" i="2"/>
  <c r="F1338" i="2"/>
  <c r="F1337" i="2" s="1"/>
  <c r="F1767" i="2"/>
  <c r="F1770" i="2"/>
  <c r="F1701" i="2"/>
  <c r="F1702" i="2"/>
  <c r="F2236" i="2"/>
  <c r="F2233" i="2" s="1"/>
  <c r="F2572" i="2"/>
  <c r="F2571" i="2" s="1"/>
  <c r="F2547" i="2"/>
  <c r="F2546" i="2" s="1"/>
  <c r="F2666" i="2"/>
  <c r="F2665" i="2" s="1"/>
  <c r="F2760" i="2"/>
  <c r="F2758" i="2" s="1"/>
  <c r="F1067" i="2"/>
  <c r="F1069" i="2"/>
  <c r="F1727" i="2"/>
  <c r="F1725" i="2" s="1"/>
  <c r="F2086" i="2"/>
  <c r="F2087" i="2"/>
  <c r="F2088" i="2"/>
  <c r="F2089" i="2"/>
  <c r="F1882" i="2"/>
  <c r="F1883" i="2"/>
  <c r="F1884" i="2"/>
  <c r="F1885" i="2"/>
  <c r="F2180" i="2"/>
  <c r="F2181" i="2"/>
  <c r="F2959" i="2"/>
  <c r="F2960" i="2"/>
  <c r="F2961" i="2"/>
  <c r="F1595" i="2"/>
  <c r="F1598" i="2"/>
  <c r="F2962" i="2"/>
  <c r="F1686" i="2"/>
  <c r="F1687" i="2"/>
  <c r="F2156" i="2"/>
  <c r="F2157" i="2"/>
  <c r="F1982" i="2"/>
  <c r="F1983" i="2"/>
  <c r="F1057" i="2"/>
  <c r="F1058" i="2"/>
  <c r="F2972" i="2"/>
  <c r="F2973" i="2"/>
  <c r="F2974" i="2"/>
  <c r="F2975" i="2"/>
  <c r="F2976" i="2"/>
  <c r="F2985" i="2"/>
  <c r="F2986" i="2"/>
  <c r="F2987" i="2"/>
  <c r="F2988" i="2"/>
  <c r="F2989" i="2"/>
  <c r="F2990" i="2"/>
  <c r="F2991" i="2"/>
  <c r="F2992" i="2"/>
  <c r="F804" i="2"/>
  <c r="F802" i="2" s="1"/>
  <c r="F2350" i="2"/>
  <c r="F2349" i="2" s="1"/>
  <c r="F2449" i="2"/>
  <c r="F2450" i="2"/>
  <c r="F2452" i="2"/>
  <c r="F2995" i="2"/>
  <c r="F2645" i="2"/>
  <c r="F2646" i="2"/>
  <c r="F2555" i="2"/>
  <c r="F2556" i="2"/>
  <c r="F2996" i="2"/>
  <c r="F1900" i="2"/>
  <c r="F1901" i="2"/>
  <c r="F2662" i="2"/>
  <c r="F2663" i="2"/>
  <c r="F2649" i="2"/>
  <c r="F2650" i="2"/>
  <c r="F3008" i="2"/>
  <c r="F3019" i="2"/>
  <c r="F2497" i="2"/>
  <c r="F2498" i="2"/>
  <c r="F1015" i="2"/>
  <c r="F1012" i="2" s="1"/>
  <c r="F864" i="2"/>
  <c r="F865" i="2"/>
  <c r="F3024" i="2"/>
  <c r="F3025" i="2"/>
  <c r="F3026" i="2"/>
  <c r="F1627" i="2"/>
  <c r="F1628" i="2"/>
  <c r="F1833" i="2"/>
  <c r="F1831" i="2" s="1"/>
  <c r="F1088" i="2"/>
  <c r="F1086" i="2" s="1"/>
  <c r="F1174" i="2"/>
  <c r="F1171" i="2" s="1"/>
  <c r="F2716" i="2"/>
  <c r="F2714" i="2" s="1"/>
  <c r="F2043" i="2"/>
  <c r="F2041" i="2" s="1"/>
  <c r="F2437" i="2"/>
  <c r="F2435" i="2" s="1"/>
  <c r="F1284" i="2"/>
  <c r="F1282" i="2" s="1"/>
  <c r="F2240" i="2"/>
  <c r="F2239" i="2" s="1"/>
  <c r="F2204" i="2"/>
  <c r="F2203" i="2" s="1"/>
  <c r="F2354" i="2"/>
  <c r="F2353" i="2" s="1"/>
  <c r="F2068" i="2"/>
  <c r="F3063" i="2"/>
  <c r="F3064" i="2"/>
  <c r="F3067" i="2"/>
  <c r="F3068" i="2"/>
  <c r="F3069" i="2"/>
  <c r="F3070" i="2"/>
  <c r="F3071" i="2"/>
  <c r="F3074" i="2"/>
  <c r="F3075" i="2"/>
  <c r="F3076" i="2"/>
  <c r="F3079" i="2"/>
  <c r="F2195" i="2"/>
  <c r="F2196" i="2"/>
  <c r="F2445" i="2"/>
  <c r="F2444" i="2" s="1"/>
  <c r="F3086" i="2"/>
  <c r="F3087" i="2"/>
  <c r="F2756" i="2"/>
  <c r="F2754" i="2" s="1"/>
  <c r="F3088" i="2"/>
  <c r="F2231" i="2"/>
  <c r="F2228" i="2" s="1"/>
  <c r="F1815" i="2"/>
  <c r="F1816" i="2"/>
  <c r="F1972" i="2"/>
  <c r="F1971" i="2" s="1"/>
  <c r="F1841" i="2"/>
  <c r="F1842" i="2"/>
  <c r="F3091" i="2"/>
  <c r="F2370" i="2"/>
  <c r="F2369" i="2" s="1"/>
  <c r="F3094" i="2"/>
  <c r="F3095" i="2"/>
  <c r="F3096" i="2"/>
  <c r="F1523" i="2"/>
  <c r="F1522" i="2" s="1"/>
  <c r="F3097" i="2"/>
  <c r="F3098" i="2"/>
  <c r="F3099" i="2"/>
  <c r="F3100" i="2"/>
  <c r="F3101" i="2"/>
  <c r="F1828" i="2"/>
  <c r="F1827" i="2" s="1"/>
  <c r="F3102" i="2"/>
  <c r="F1144" i="2"/>
  <c r="F1142" i="2" s="1"/>
  <c r="F3107" i="2"/>
  <c r="F3108" i="2"/>
  <c r="F3109" i="2"/>
  <c r="F3113" i="2"/>
  <c r="F3114" i="2"/>
  <c r="F3117" i="2"/>
  <c r="F3118" i="2"/>
  <c r="F224" i="2"/>
  <c r="F223" i="2" s="1"/>
  <c r="F3119" i="2"/>
  <c r="F3120" i="2"/>
  <c r="L2596" i="2"/>
  <c r="F2597" i="2"/>
  <c r="F2595" i="2" s="1"/>
  <c r="L2037" i="2"/>
  <c r="F2039" i="2"/>
  <c r="F2036" i="2" s="1"/>
  <c r="L3123" i="2"/>
  <c r="L2389" i="2"/>
  <c r="L2393" i="2"/>
  <c r="L3124" i="2"/>
  <c r="L1546" i="2"/>
  <c r="F1547" i="2"/>
  <c r="F1545" i="2" s="1"/>
  <c r="F3125" i="2"/>
  <c r="F3126" i="2"/>
  <c r="F3127" i="2"/>
  <c r="F2509" i="2"/>
  <c r="F2510" i="2"/>
  <c r="F3135" i="2"/>
  <c r="F3136" i="2"/>
  <c r="F3137" i="2"/>
  <c r="F3138" i="2"/>
  <c r="F2655" i="2"/>
  <c r="F2653" i="2" s="1"/>
  <c r="F2440" i="2"/>
  <c r="F2441" i="2"/>
  <c r="F2739" i="2"/>
  <c r="F2740" i="2"/>
  <c r="F3142" i="2"/>
  <c r="F2428" i="2"/>
  <c r="F2429" i="2"/>
  <c r="F3143" i="2"/>
  <c r="F3144" i="2"/>
  <c r="F2330" i="2"/>
  <c r="F2329" i="2" s="1"/>
  <c r="F3150" i="2"/>
  <c r="F2317" i="2"/>
  <c r="F2316" i="2" s="1"/>
  <c r="F2023" i="2"/>
  <c r="F2022" i="2" s="1"/>
  <c r="F2048" i="2"/>
  <c r="F2047" i="2" s="1"/>
  <c r="F3151" i="2"/>
  <c r="F2152" i="2"/>
  <c r="F2151" i="2" s="1"/>
  <c r="F3152" i="2"/>
  <c r="F3153" i="2"/>
  <c r="F2708" i="2"/>
  <c r="F2706" i="2" s="1"/>
  <c r="F3157" i="2"/>
  <c r="F3158" i="2"/>
  <c r="F3159" i="2"/>
  <c r="F3160" i="2"/>
  <c r="F780" i="2"/>
  <c r="F779" i="2" s="1"/>
  <c r="F3161" i="2"/>
  <c r="F583" i="2"/>
  <c r="F582" i="2" s="1"/>
  <c r="F3163" i="2"/>
  <c r="F3164" i="2"/>
  <c r="F3165" i="2"/>
  <c r="F771" i="2"/>
  <c r="F770" i="2" s="1"/>
  <c r="F987" i="2"/>
  <c r="F986" i="2" s="1"/>
  <c r="F713" i="2"/>
  <c r="F712" i="2" s="1"/>
  <c r="F3166" i="2"/>
  <c r="F392" i="2"/>
  <c r="F391" i="2" s="1"/>
  <c r="E394" i="2"/>
  <c r="F662" i="2"/>
  <c r="F661" i="2" s="1"/>
  <c r="F3168" i="2"/>
  <c r="F3169" i="2"/>
  <c r="F1052" i="2"/>
  <c r="F1053" i="2"/>
  <c r="F1054" i="2"/>
  <c r="F1516" i="2"/>
  <c r="F1512" i="2" s="1"/>
  <c r="F3174" i="2"/>
  <c r="F3175" i="2"/>
  <c r="F3176" i="2"/>
  <c r="F1139" i="2"/>
  <c r="F1138" i="2" s="1"/>
  <c r="F3177" i="2"/>
  <c r="F3178" i="2"/>
  <c r="F3179" i="2"/>
  <c r="F3180" i="2"/>
  <c r="F1262" i="2"/>
  <c r="E1263" i="2"/>
  <c r="F1263" i="2"/>
  <c r="F3181" i="2"/>
  <c r="F3182" i="2"/>
  <c r="F3183" i="2"/>
  <c r="F3184" i="2"/>
  <c r="F3185" i="2"/>
  <c r="F3186" i="2"/>
  <c r="F3187" i="2"/>
  <c r="F3188" i="2"/>
  <c r="F1072" i="2"/>
  <c r="F1071" i="2" s="1"/>
  <c r="F1196" i="2"/>
  <c r="F1198" i="2"/>
  <c r="F3190" i="2"/>
  <c r="F1692" i="2"/>
  <c r="F1691" i="2" s="1"/>
  <c r="F3198" i="2"/>
  <c r="F3199" i="2"/>
  <c r="F3200" i="2"/>
  <c r="F3201" i="2"/>
  <c r="F3202" i="2"/>
  <c r="F3203" i="2"/>
  <c r="F797" i="2"/>
  <c r="F799" i="2"/>
  <c r="F3204" i="2"/>
  <c r="F3205" i="2"/>
  <c r="F3206" i="2"/>
  <c r="F3207" i="2"/>
  <c r="F3208" i="2"/>
  <c r="F3209" i="2"/>
  <c r="F3210" i="2"/>
  <c r="F3211" i="2"/>
  <c r="F3212" i="2"/>
  <c r="F3213" i="2"/>
  <c r="F2374" i="2"/>
  <c r="F2375" i="2"/>
  <c r="F3215" i="2"/>
  <c r="F3216" i="2"/>
  <c r="F3217" i="2"/>
  <c r="F3218" i="2"/>
  <c r="F3219" i="2"/>
  <c r="F3220" i="2"/>
  <c r="F3227" i="2"/>
  <c r="F874" i="2"/>
  <c r="F872" i="2" s="1"/>
  <c r="E877" i="2"/>
  <c r="F3233" i="2"/>
  <c r="F3235" i="2"/>
  <c r="F2006" i="2"/>
  <c r="F2004" i="2" s="1"/>
  <c r="F3242" i="2"/>
  <c r="F3243" i="2"/>
  <c r="F3244" i="2"/>
  <c r="F3245" i="2"/>
  <c r="F869" i="2"/>
  <c r="F867" i="2" s="1"/>
  <c r="F3247" i="2"/>
  <c r="F3249" i="2"/>
  <c r="F3250" i="2"/>
  <c r="F3251" i="2"/>
  <c r="F1290" i="2"/>
  <c r="F1287" i="2" s="1"/>
  <c r="F3264" i="2"/>
  <c r="F3265" i="2"/>
  <c r="F3278" i="2"/>
  <c r="F3279" i="2"/>
  <c r="F1846" i="2"/>
  <c r="F1845" i="2" s="1"/>
  <c r="F1537" i="2"/>
  <c r="F3292" i="2"/>
  <c r="F3293" i="2"/>
  <c r="F3294" i="2"/>
  <c r="F3296" i="2"/>
  <c r="F3297" i="2"/>
  <c r="F3298" i="2"/>
  <c r="F3299" i="2"/>
  <c r="F3300" i="2"/>
  <c r="F3301" i="2"/>
  <c r="F3302" i="2"/>
  <c r="F3303" i="2"/>
  <c r="F3308" i="2"/>
  <c r="F3309" i="2"/>
  <c r="F3310" i="2"/>
  <c r="F3312" i="2"/>
  <c r="F3314" i="2"/>
  <c r="F3317" i="2"/>
  <c r="F3322" i="2"/>
  <c r="F3323" i="2"/>
  <c r="F3325" i="2"/>
  <c r="F3327" i="2"/>
  <c r="F3329" i="2"/>
  <c r="F3335" i="2"/>
  <c r="F3337" i="2"/>
  <c r="F3338" i="2"/>
  <c r="F3339" i="2"/>
  <c r="F3340" i="2"/>
  <c r="F3342" i="2"/>
  <c r="F3345" i="2"/>
  <c r="F3346" i="2"/>
  <c r="F3348" i="2"/>
  <c r="F3349" i="2"/>
  <c r="F3351" i="2"/>
  <c r="F3353" i="2"/>
  <c r="F3354" i="2"/>
  <c r="F3358" i="2"/>
  <c r="I3359" i="2"/>
  <c r="I3362" i="2"/>
  <c r="F3365" i="2"/>
  <c r="F3368" i="2"/>
  <c r="F3369" i="2"/>
  <c r="K3370" i="2"/>
  <c r="K1008" i="2"/>
  <c r="F1009" i="2"/>
  <c r="F3372" i="2"/>
  <c r="K3372" i="2" s="1"/>
  <c r="F991" i="2"/>
  <c r="F992" i="2"/>
  <c r="K992" i="2" s="1"/>
  <c r="K993" i="2"/>
  <c r="K994" i="2"/>
  <c r="F3374" i="2"/>
  <c r="K3374" i="2" s="1"/>
  <c r="F3375" i="2"/>
  <c r="K3375" i="2" s="1"/>
  <c r="K3376" i="2"/>
  <c r="E3378" i="2"/>
  <c r="E3381" i="2"/>
  <c r="E3382" i="2"/>
  <c r="F3382" i="2" s="1"/>
  <c r="E3384" i="2"/>
  <c r="E3385" i="2"/>
  <c r="F3386" i="2"/>
  <c r="E3387" i="2"/>
  <c r="E3388" i="2"/>
  <c r="F3388" i="2" s="1"/>
  <c r="F3390" i="2"/>
  <c r="F3392" i="2"/>
  <c r="F3393" i="2"/>
  <c r="F3395" i="2"/>
  <c r="F3396" i="2"/>
  <c r="F3397" i="2"/>
  <c r="F3398" i="2"/>
  <c r="F3399" i="2"/>
  <c r="F3405" i="2"/>
  <c r="F3406" i="2"/>
  <c r="F1415" i="2"/>
  <c r="F1414" i="2" s="1"/>
  <c r="F3415" i="2"/>
  <c r="F3416" i="2"/>
  <c r="F3418" i="2"/>
  <c r="F3424" i="2"/>
  <c r="F3428" i="2"/>
  <c r="F3430" i="2"/>
  <c r="F3431" i="2"/>
  <c r="F3432" i="2"/>
  <c r="E3435" i="2"/>
  <c r="E3436" i="2"/>
  <c r="F3436" i="2"/>
  <c r="F3437" i="2"/>
  <c r="F3438" i="2"/>
  <c r="F3442" i="2"/>
  <c r="F3443" i="2"/>
  <c r="F3446" i="2"/>
  <c r="F3449" i="2"/>
  <c r="F3454" i="2"/>
  <c r="F1909" i="2"/>
  <c r="F1904" i="2" s="1"/>
  <c r="F2695" i="2"/>
  <c r="F2693" i="2" s="1"/>
  <c r="F683" i="2" l="1"/>
  <c r="F47" i="2"/>
  <c r="J47" i="2" s="1"/>
  <c r="F1744" i="2"/>
  <c r="A51" i="3"/>
  <c r="A52" i="3" s="1"/>
  <c r="F1370" i="2"/>
  <c r="F292" i="2"/>
  <c r="J292" i="2" s="1"/>
  <c r="F322" i="2"/>
  <c r="J322" i="2" s="1"/>
  <c r="K1009" i="2"/>
  <c r="F1007" i="2"/>
  <c r="F960" i="2"/>
  <c r="F919" i="2"/>
  <c r="F1418" i="2"/>
  <c r="F2373" i="2"/>
  <c r="F625" i="2"/>
  <c r="F972" i="2"/>
  <c r="F903" i="2"/>
  <c r="K991" i="2"/>
  <c r="F990" i="2"/>
  <c r="F1033" i="2"/>
  <c r="F1484" i="2"/>
  <c r="F2408" i="2"/>
  <c r="F716" i="2"/>
  <c r="F731" i="2"/>
  <c r="F1056" i="2"/>
  <c r="F89" i="2"/>
  <c r="J89" i="2" s="1"/>
  <c r="F595" i="2"/>
  <c r="J683" i="2"/>
  <c r="F745" i="2"/>
  <c r="J746" i="2" s="1"/>
  <c r="F1536" i="2"/>
  <c r="F1195" i="2"/>
  <c r="F796" i="2"/>
  <c r="F1261" i="2"/>
  <c r="F1756" i="2"/>
  <c r="F1051" i="2"/>
  <c r="F636" i="2"/>
  <c r="F949" i="2"/>
  <c r="F861" i="2"/>
  <c r="F880" i="2"/>
  <c r="F645" i="2"/>
  <c r="J645" i="2" s="1"/>
  <c r="F675" i="2"/>
  <c r="F892" i="2"/>
  <c r="F852" i="2"/>
  <c r="F831" i="2"/>
  <c r="F665" i="2"/>
  <c r="F560" i="2"/>
  <c r="F2427" i="2"/>
  <c r="F2439" i="2"/>
  <c r="F2506" i="2"/>
  <c r="F1840" i="2"/>
  <c r="F2738" i="2"/>
  <c r="F2194" i="2"/>
  <c r="F1624" i="2"/>
  <c r="F2494" i="2"/>
  <c r="F2661" i="2"/>
  <c r="F1899" i="2"/>
  <c r="F2648" i="2"/>
  <c r="F2554" i="2"/>
  <c r="F2644" i="2"/>
  <c r="F2448" i="2"/>
  <c r="F2155" i="2"/>
  <c r="F1981" i="2"/>
  <c r="F1685" i="2"/>
  <c r="F2179" i="2"/>
  <c r="F1594" i="2"/>
  <c r="F2085" i="2"/>
  <c r="F1881" i="2"/>
  <c r="F1814" i="2"/>
  <c r="F1064" i="2"/>
  <c r="F1700" i="2"/>
  <c r="F1766" i="2"/>
  <c r="F1349" i="2"/>
  <c r="F2762" i="2"/>
  <c r="F2472" i="2"/>
  <c r="D4" i="8"/>
  <c r="F1575" i="2"/>
  <c r="F463" i="2"/>
  <c r="F496" i="2"/>
  <c r="F486" i="2"/>
  <c r="F452" i="2"/>
  <c r="F1774" i="2"/>
  <c r="F1920" i="2"/>
  <c r="F1710" i="2"/>
  <c r="F1111" i="2"/>
  <c r="F2486" i="2"/>
  <c r="F2272" i="2"/>
  <c r="F2293" i="2"/>
  <c r="F2097" i="2"/>
  <c r="F1345" i="2"/>
  <c r="F1762" i="2"/>
  <c r="F1465" i="2"/>
  <c r="F1387" i="2"/>
  <c r="F1862" i="2"/>
  <c r="F1850" i="2"/>
  <c r="F2136" i="2"/>
  <c r="F1501" i="2"/>
  <c r="F1911" i="2"/>
  <c r="F2183" i="2"/>
  <c r="F1925" i="2"/>
  <c r="F1820" i="2"/>
  <c r="F1584" i="2"/>
  <c r="F1630" i="2"/>
  <c r="F1184" i="2"/>
  <c r="F1454" i="2"/>
  <c r="F396" i="2"/>
  <c r="J396" i="2" s="1"/>
  <c r="F1269" i="2"/>
  <c r="F1208" i="2"/>
  <c r="F1233" i="2"/>
  <c r="F116" i="2"/>
  <c r="F1133" i="2"/>
  <c r="F137" i="2"/>
  <c r="F267" i="2"/>
  <c r="F1098" i="2"/>
  <c r="F509" i="2"/>
  <c r="F524" i="2"/>
  <c r="F241" i="2"/>
  <c r="J241" i="2" s="1"/>
  <c r="F144" i="2"/>
  <c r="J1221" i="2"/>
  <c r="F546" i="2"/>
  <c r="F436" i="2"/>
  <c r="J977" i="2"/>
  <c r="F19" i="2"/>
  <c r="J1082" i="2"/>
  <c r="F361" i="2"/>
  <c r="F263" i="2"/>
  <c r="F229" i="2"/>
  <c r="F197" i="2"/>
  <c r="J197" i="2" s="1"/>
  <c r="F155" i="2"/>
  <c r="J155" i="2" s="1"/>
  <c r="F372" i="2"/>
  <c r="J372" i="2" s="1"/>
  <c r="F123" i="2"/>
  <c r="J123" i="2" s="1"/>
  <c r="F2575" i="2"/>
  <c r="J271" i="2"/>
  <c r="F130" i="2"/>
  <c r="F2617" i="2"/>
  <c r="F2512" i="2"/>
  <c r="O47" i="2"/>
  <c r="P116" i="2"/>
  <c r="P89" i="2"/>
  <c r="P144" i="2"/>
  <c r="A53" i="3" l="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tc={BA9245D9-6C01-4F87-8A15-EC4AE5802C30}</author>
    <author>tc={E29F7D1D-7AF5-4541-BD1A-8261973D4DE0}</author>
    <author>tc={919461BB-9FEF-4D66-8757-CD72F4F1D58F}</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B27" authorId="1"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C27" authorId="2"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D27" authorId="3"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D148" authorId="4"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745"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77"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<sst xmlns="http://schemas.openxmlformats.org/spreadsheetml/2006/main" count="17506" uniqueCount="5251">
  <si>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</si>
  <si>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</si>
  <si>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</si>
  <si>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</si>
  <si>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</si>
  <si>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</si>
  <si>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</si>
  <si>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</si>
  <si>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</si>
  <si>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</si>
  <si>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</si>
  <si>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</si>
  <si>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</si>
  <si>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</si>
  <si>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</si>
  <si>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</si>
  <si>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</si>
  <si>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</si>
  <si>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</si>
  <si>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</si>
  <si>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</si>
  <si>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</si>
  <si>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</si>
  <si>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</si>
  <si>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</si>
  <si>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</si>
  <si>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</si>
  <si>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</si>
  <si>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</si>
  <si>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</si>
  <si>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</si>
  <si>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</si>
  <si>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</si>
  <si>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</si>
  <si>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</si>
  <si>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</si>
  <si>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</si>
  <si>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</si>
  <si>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</si>
  <si>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</si>
  <si>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</si>
  <si>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</si>
  <si>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</si>
  <si>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</si>
  <si>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</si>
  <si>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</si>
  <si>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</si>
  <si>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</si>
  <si>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</si>
  <si>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</si>
  <si>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</si>
  <si>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</si>
  <si>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</si>
  <si>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</si>
  <si>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</si>
  <si>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</si>
  <si>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</si>
  <si>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</si>
  <si>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</si>
  <si>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</si>
  <si>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</si>
  <si>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</si>
  <si>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</si>
  <si>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</si>
  <si>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</si>
  <si>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</si>
  <si>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</si>
  <si>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</si>
  <si>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</si>
  <si>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</si>
  <si>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</si>
  <si>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</si>
  <si>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</si>
  <si>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</si>
  <si>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</si>
  <si>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</si>
  <si>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</si>
  <si>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</si>
  <si>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</si>
  <si>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</si>
  <si>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</si>
  <si>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</si>
  <si>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</si>
  <si>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</si>
  <si>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</si>
  <si>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</si>
  <si>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</si>
  <si>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</si>
  <si>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</si>
  <si>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</si>
  <si>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</si>
  <si>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</si>
  <si>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</si>
  <si>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</si>
  <si>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</si>
  <si>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</si>
  <si>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</si>
  <si>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</si>
  <si>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</si>
  <si>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</si>
  <si>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</si>
  <si>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</si>
  <si>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</si>
  <si>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</si>
  <si>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</si>
  <si>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</si>
  <si>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</si>
  <si>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</si>
  <si>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</si>
  <si>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</si>
  <si>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</si>
  <si>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</si>
  <si>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</si>
  <si>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</si>
  <si>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</si>
  <si>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</si>
  <si>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</si>
  <si>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</si>
  <si>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</si>
  <si>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</si>
  <si>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</si>
  <si>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</si>
  <si>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</si>
  <si>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</si>
  <si>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</si>
  <si>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</si>
  <si>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</si>
  <si>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</si>
  <si>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</si>
  <si>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</si>
  <si>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</si>
  <si>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</si>
  <si>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</si>
  <si>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</si>
  <si>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</si>
  <si>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</si>
  <si>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</si>
  <si>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</si>
  <si>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</si>
  <si>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</si>
  <si>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</si>
  <si>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</si>
  <si>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</si>
  <si>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</si>
  <si>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</si>
  <si>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</si>
  <si>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</si>
  <si>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</si>
  <si>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</si>
  <si>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</si>
  <si>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</si>
  <si>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</si>
  <si>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</si>
  <si>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</si>
  <si>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</si>
  <si>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</si>
  <si>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</si>
  <si>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</si>
  <si>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</si>
  <si>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</si>
  <si>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</si>
  <si>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</si>
  <si>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</si>
  <si>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</si>
  <si>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</si>
  <si>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</si>
  <si>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</si>
  <si>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</si>
  <si>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</si>
  <si>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</si>
  <si>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</si>
  <si>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</si>
  <si>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</si>
  <si>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</si>
  <si>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</si>
  <si>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</si>
  <si>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</si>
  <si>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</si>
  <si>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</si>
  <si>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</si>
  <si>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</si>
  <si>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</si>
  <si>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</si>
  <si>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</si>
  <si>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</si>
  <si>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</si>
  <si>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</si>
  <si>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</si>
  <si>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</si>
  <si>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</si>
  <si>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</si>
  <si>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</si>
  <si>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</si>
  <si>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</si>
  <si>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</si>
  <si>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</si>
  <si>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</si>
  <si>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</si>
  <si>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</si>
  <si>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</si>
  <si>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</si>
  <si>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</si>
  <si>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</si>
  <si>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</si>
  <si>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</si>
  <si>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</si>
  <si>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</si>
  <si>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</si>
  <si>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</si>
  <si>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</si>
  <si>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</si>
  <si>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</si>
  <si>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</si>
  <si>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</si>
  <si>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</si>
  <si>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</si>
  <si>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</si>
  <si>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</si>
  <si>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</si>
  <si>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</si>
  <si>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</si>
  <si>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</si>
  <si>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</si>
  <si>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</si>
  <si>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</si>
  <si>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</si>
  <si>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</si>
  <si>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</si>
  <si>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</si>
  <si>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</si>
  <si>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</si>
  <si>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</si>
  <si>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</si>
  <si>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</si>
  <si>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</si>
  <si>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</si>
  <si>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</si>
  <si>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</si>
  <si>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</si>
  <si>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</si>
  <si>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</si>
  <si>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</si>
  <si>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</si>
  <si>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</si>
  <si>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</si>
  <si>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</si>
  <si>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</si>
  <si>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</si>
  <si>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</si>
  <si>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</si>
  <si>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</si>
  <si>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</si>
  <si>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</si>
  <si>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</si>
  <si>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</si>
  <si>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</si>
  <si>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</si>
  <si>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</si>
  <si>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</si>
  <si>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</si>
  <si>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</si>
  <si>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</si>
  <si>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</si>
  <si>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</si>
  <si>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</si>
  <si>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</si>
  <si>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</si>
  <si>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</si>
  <si>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</si>
  <si>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</si>
  <si>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</si>
  <si>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</si>
  <si>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</si>
  <si>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</si>
  <si>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</si>
  <si>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</si>
  <si>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</si>
  <si>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</si>
  <si>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</si>
  <si>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</si>
  <si>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</si>
  <si>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</si>
  <si>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</si>
  <si>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</si>
  <si>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</si>
  <si>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</si>
  <si>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</si>
  <si>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</si>
  <si>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</si>
  <si>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</si>
  <si>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</si>
  <si>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</si>
  <si>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</si>
  <si>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</si>
  <si>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</si>
  <si>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</si>
  <si>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</si>
  <si>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</si>
  <si>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</si>
  <si>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</si>
  <si>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</si>
  <si>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</si>
  <si>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</si>
  <si>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</si>
  <si>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</si>
  <si>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</si>
  <si>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</si>
  <si>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</si>
  <si>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</si>
  <si>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</si>
  <si>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</si>
  <si>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</si>
  <si>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</si>
  <si>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</si>
  <si>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</si>
  <si>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</si>
  <si>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</si>
  <si>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</si>
  <si>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</si>
  <si>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</si>
  <si>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</si>
  <si>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</si>
  <si>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</si>
  <si>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</si>
  <si>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</si>
  <si>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</si>
  <si>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</si>
  <si>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</si>
  <si>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</si>
  <si>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</si>
  <si>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</si>
  <si>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</si>
  <si>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</si>
  <si>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</si>
  <si>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</si>
  <si>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</si>
  <si>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</si>
  <si>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</si>
  <si>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</si>
  <si>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</si>
  <si>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</si>
  <si>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</si>
  <si>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</si>
  <si>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</si>
  <si>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</si>
  <si>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</si>
  <si>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</si>
  <si>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</si>
  <si>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</si>
  <si>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</si>
  <si>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</si>
  <si>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</si>
  <si>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</si>
  <si>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</si>
  <si>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</si>
  <si>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</si>
  <si>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</si>
  <si>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</si>
  <si>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</si>
  <si>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</si>
  <si>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</si>
  <si>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</si>
  <si>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</si>
  <si>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</si>
  <si>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</si>
  <si>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</si>
  <si>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</si>
  <si>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</si>
  <si>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</si>
  <si>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</si>
  <si>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</si>
  <si>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</si>
  <si>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</si>
  <si>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</si>
  <si>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</si>
  <si>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</si>
  <si>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</si>
  <si>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</si>
  <si>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</si>
  <si>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</si>
  <si>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</si>
  <si>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</si>
  <si>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</si>
  <si>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</si>
  <si>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</si>
  <si>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</si>
  <si>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</si>
  <si>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</si>
  <si>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</si>
  <si>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</si>
  <si>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</si>
  <si>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</si>
  <si>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</si>
  <si>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</si>
  <si>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</si>
  <si>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</si>
  <si>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</si>
  <si>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</si>
  <si>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</si>
  <si>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</si>
  <si>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</si>
  <si>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</si>
  <si>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</si>
  <si>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</si>
  <si>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</si>
  <si>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</si>
  <si>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</si>
  <si>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</si>
  <si>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</si>
  <si>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</si>
  <si>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</si>
  <si>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</si>
  <si>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</si>
  <si>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</si>
  <si>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</si>
  <si>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</si>
  <si>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</si>
  <si>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</si>
  <si>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</si>
  <si>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</si>
  <si>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</si>
  <si>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</si>
  <si>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</si>
  <si>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</si>
  <si>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</si>
  <si>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</si>
  <si>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</si>
  <si>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</si>
  <si>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</si>
  <si>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</si>
  <si>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</si>
  <si>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</si>
  <si>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</si>
  <si>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</si>
  <si>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</si>
  <si>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</si>
  <si>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</si>
  <si>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</si>
  <si>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</si>
  <si>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</si>
  <si>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</si>
  <si>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</si>
  <si>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</si>
  <si>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</si>
  <si>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</si>
  <si>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</si>
  <si>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</si>
  <si>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</si>
  <si>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</si>
  <si>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</si>
  <si>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</si>
  <si>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</si>
  <si>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</si>
  <si>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</si>
  <si>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</si>
  <si>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</si>
  <si>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</si>
  <si>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</si>
  <si>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</si>
  <si>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</si>
  <si>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</si>
  <si>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</si>
  <si>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</si>
  <si>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</si>
  <si>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</si>
  <si>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</si>
  <si>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</si>
  <si>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</si>
  <si>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</si>
  <si>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</si>
  <si>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</si>
  <si>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</si>
  <si>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</si>
  <si>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</si>
  <si>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</si>
  <si>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</si>
  <si>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</si>
  <si>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</si>
  <si>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</si>
  <si>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</si>
  <si>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</si>
  <si>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</si>
  <si>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</si>
  <si>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</si>
  <si>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</si>
  <si>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</si>
  <si>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</si>
  <si>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</si>
  <si>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</si>
  <si>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</si>
  <si>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</si>
  <si>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</si>
  <si>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</si>
  <si>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</si>
  <si>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</si>
  <si>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</si>
  <si>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</si>
  <si>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</si>
  <si>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</si>
  <si>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</si>
  <si>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</si>
  <si>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</si>
  <si>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</si>
  <si>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</si>
  <si>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</si>
  <si>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</si>
  <si>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</si>
  <si>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</si>
  <si>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</si>
  <si>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</si>
  <si>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</si>
  <si>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</si>
  <si>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</si>
  <si>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</si>
  <si>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</si>
  <si>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</si>
  <si>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</si>
  <si>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</si>
  <si>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</si>
  <si>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</si>
  <si>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</si>
  <si>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</si>
  <si>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</si>
  <si>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</si>
  <si>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</si>
  <si>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</si>
  <si>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</si>
  <si>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</si>
  <si>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</si>
  <si>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</si>
  <si>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</si>
  <si>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</si>
  <si>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</si>
  <si>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</si>
  <si>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</si>
  <si>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</si>
  <si>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</si>
  <si>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</si>
  <si>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</si>
  <si>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</si>
  <si>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</si>
  <si>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</si>
  <si>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</si>
  <si>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</si>
  <si>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</si>
  <si>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</si>
  <si>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</si>
  <si>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</si>
  <si>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</si>
  <si>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</si>
  <si>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</si>
  <si>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</si>
  <si>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</si>
  <si>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</si>
  <si>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</si>
  <si>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</si>
  <si>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</si>
  <si>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</si>
  <si>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</si>
  <si>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</si>
  <si>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</si>
  <si>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</si>
  <si>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</si>
  <si>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</si>
  <si>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</si>
  <si>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</si>
  <si>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</si>
  <si>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</si>
  <si>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</si>
  <si>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</si>
  <si>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</si>
  <si>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</si>
  <si>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</si>
  <si>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</si>
  <si>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</si>
  <si>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</si>
  <si>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</si>
  <si>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</si>
  <si>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</si>
  <si>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</si>
  <si>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</si>
  <si>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</si>
  <si>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</si>
  <si>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</si>
  <si>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</si>
  <si>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</si>
  <si>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</si>
  <si>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</si>
  <si>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</si>
  <si>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</si>
  <si>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</si>
  <si>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</si>
  <si>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</si>
  <si>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</si>
  <si>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</si>
  <si>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</si>
  <si>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</si>
  <si>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</si>
  <si>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</si>
  <si>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</si>
  <si>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</si>
  <si>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</si>
  <si>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</si>
  <si>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</si>
  <si>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</si>
  <si>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</si>
  <si>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</si>
  <si>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</si>
  <si>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</si>
  <si>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</si>
  <si>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</si>
  <si>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</si>
  <si>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</si>
  <si>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</si>
  <si>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</si>
  <si>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</si>
  <si>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</si>
  <si>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</si>
  <si>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</si>
  <si>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</si>
  <si>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</si>
  <si>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</si>
  <si>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</si>
  <si>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</si>
  <si>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</si>
  <si>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</si>
  <si>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</si>
  <si>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</si>
  <si>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</si>
  <si>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</si>
  <si>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</si>
  <si>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</si>
  <si>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</si>
  <si>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</si>
  <si>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</si>
  <si>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</si>
  <si>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</si>
  <si>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</si>
  <si>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</si>
  <si>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</si>
  <si>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</si>
  <si>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</si>
  <si>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</si>
  <si>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</si>
  <si>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</si>
  <si>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</si>
  <si>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</si>
  <si>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</si>
  <si>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</si>
  <si>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</si>
  <si>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</si>
  <si>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</si>
  <si>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</si>
  <si>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</si>
  <si>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</si>
  <si>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</si>
  <si>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</si>
  <si>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</si>
  <si>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</si>
  <si>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</si>
  <si>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</si>
  <si>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</si>
  <si>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</si>
  <si>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</si>
  <si>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</si>
  <si>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</si>
  <si>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</si>
  <si>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</si>
  <si>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</si>
  <si>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</si>
  <si>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</si>
  <si>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</si>
  <si>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</si>
  <si>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</si>
  <si>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</si>
  <si>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</si>
  <si>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</si>
  <si>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</si>
  <si>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</si>
  <si>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</si>
  <si>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</si>
  <si>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</si>
  <si>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</si>
  <si>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</si>
  <si>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</si>
  <si>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</si>
  <si>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</si>
  <si>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</si>
  <si>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</si>
  <si>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</si>
  <si>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</si>
  <si>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</si>
  <si>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</si>
  <si>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</si>
  <si>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</si>
  <si>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</si>
  <si>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</si>
  <si>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</si>
  <si>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</si>
  <si>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</si>
  <si>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</si>
  <si>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</si>
  <si>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</si>
  <si>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</si>
  <si>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</si>
  <si>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</si>
  <si>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</si>
  <si>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</si>
  <si>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</si>
  <si>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</si>
  <si>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</si>
  <si>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</si>
  <si>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</si>
  <si>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</si>
  <si>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</si>
  <si>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</si>
  <si>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</si>
  <si>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</si>
  <si>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</si>
  <si>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</si>
  <si>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</si>
  <si>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</si>
  <si>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</si>
  <si>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</si>
  <si>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</si>
  <si>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</si>
  <si>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</si>
  <si>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</si>
  <si>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</si>
  <si>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</si>
  <si>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</si>
  <si>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</si>
  <si>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</si>
  <si>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</si>
  <si>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</si>
  <si>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</si>
  <si>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</si>
  <si>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</si>
  <si>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</si>
  <si>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</si>
  <si>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</si>
  <si>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</si>
  <si>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</si>
  <si>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</si>
  <si>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</si>
  <si>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</si>
  <si>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</si>
  <si>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</si>
  <si>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</si>
  <si>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</si>
  <si>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</si>
  <si>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</si>
  <si>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</si>
  <si>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</si>
  <si>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</si>
  <si>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</si>
  <si>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</si>
  <si>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</si>
  <si>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</si>
  <si>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</si>
  <si>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</si>
  <si>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</si>
  <si>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</si>
  <si>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</si>
  <si>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</si>
  <si>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</si>
  <si>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</si>
  <si>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</si>
  <si>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</si>
  <si>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</si>
  <si>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</si>
  <si>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</si>
  <si>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</si>
  <si>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</si>
  <si>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</si>
  <si>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</si>
  <si>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</si>
  <si>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</si>
  <si>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</si>
  <si>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</si>
  <si>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</si>
  <si>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</si>
  <si>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</si>
  <si>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</si>
  <si>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</si>
  <si>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</si>
  <si>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</si>
  <si>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</si>
  <si>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</si>
  <si>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</si>
  <si>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</si>
  <si>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</si>
  <si>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</si>
  <si>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</si>
  <si>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</si>
  <si>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</si>
  <si>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</si>
  <si>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</si>
  <si>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</si>
  <si>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</si>
  <si>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</si>
  <si>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</si>
  <si>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</si>
  <si>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</si>
  <si>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</si>
  <si>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</si>
  <si>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</si>
  <si>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</si>
  <si>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</si>
  <si>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</si>
  <si>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</si>
  <si>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</si>
  <si>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</si>
  <si>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</si>
  <si>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</si>
  <si>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</si>
  <si>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</si>
  <si>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</si>
  <si>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</si>
  <si>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</si>
  <si>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</si>
  <si>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</si>
  <si>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</si>
  <si>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</si>
  <si>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</si>
  <si>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</si>
  <si>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</si>
  <si>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</si>
  <si>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</si>
  <si>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</si>
  <si>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</si>
  <si>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</si>
  <si>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</si>
  <si>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</si>
  <si>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</si>
  <si>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</si>
  <si>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</si>
  <si>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</si>
  <si>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</si>
  <si>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</si>
  <si>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</si>
  <si>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</si>
  <si>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</si>
  <si>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</si>
  <si>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</si>
  <si>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</si>
  <si>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</si>
  <si>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</si>
  <si>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</si>
  <si>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</si>
  <si>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</si>
  <si>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</si>
  <si>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</si>
  <si>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</si>
  <si>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</si>
  <si>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</si>
  <si>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</si>
  <si>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</si>
  <si>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</si>
  <si>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</si>
  <si>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</si>
  <si>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</si>
  <si>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</si>
  <si>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</si>
  <si>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</si>
  <si>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</si>
  <si>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</si>
  <si>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</si>
  <si>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</si>
  <si>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</si>
  <si>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</si>
  <si>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</si>
  <si>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</si>
  <si>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</si>
  <si>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</si>
  <si>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</si>
  <si>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</si>
  <si>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</si>
  <si>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</si>
  <si>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</si>
  <si>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</si>
  <si>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</si>
  <si>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</si>
  <si>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</si>
  <si>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</si>
  <si>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</si>
  <si>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</si>
  <si>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</si>
  <si>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</si>
  <si>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</si>
  <si>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</si>
  <si>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</si>
  <si>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</si>
  <si>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</si>
  <si>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</si>
  <si>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</si>
  <si>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</si>
  <si>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</si>
  <si>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</si>
  <si>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</si>
  <si>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</si>
  <si>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</si>
  <si>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</si>
  <si>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</si>
  <si>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</si>
  <si>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</si>
  <si>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</si>
  <si>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</si>
  <si>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</si>
  <si>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</si>
  <si>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</si>
  <si>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</si>
  <si>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</si>
  <si>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</si>
  <si>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</si>
  <si>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</si>
  <si>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</si>
  <si>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</si>
  <si>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</si>
  <si>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</si>
  <si>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</si>
  <si>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</si>
  <si>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</si>
  <si>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</si>
  <si>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</si>
  <si>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</si>
  <si>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</si>
  <si>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</si>
  <si>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</si>
  <si>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</si>
  <si>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</si>
  <si>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</si>
  <si>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</si>
  <si>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</si>
  <si>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</si>
  <si>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</si>
  <si>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</si>
  <si>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</si>
  <si>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</si>
  <si>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</si>
  <si>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</si>
  <si>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</si>
  <si>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</si>
  <si>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</si>
  <si>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</si>
  <si>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</si>
  <si>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</si>
  <si>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</si>
  <si>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</si>
  <si>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</si>
  <si>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</si>
  <si>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</si>
  <si>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</si>
  <si>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</si>
  <si>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</si>
  <si>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</si>
  <si>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</si>
  <si>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</si>
  <si>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</si>
  <si>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</si>
  <si>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</si>
  <si>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</si>
  <si>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</si>
  <si>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</si>
  <si>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</si>
  <si>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</si>
  <si>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</si>
  <si>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</si>
  <si>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</si>
  <si>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</si>
  <si>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</si>
  <si>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</si>
  <si>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</si>
  <si>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</si>
  <si>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</si>
  <si>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</si>
  <si>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</si>
  <si>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</si>
  <si>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</si>
  <si>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</si>
  <si>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</si>
  <si>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</si>
  <si>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</si>
  <si>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</si>
  <si>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</si>
  <si>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</si>
  <si>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</si>
  <si>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</si>
  <si>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</si>
  <si>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</si>
  <si>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</si>
  <si>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</si>
  <si>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</si>
  <si>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</si>
  <si>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</si>
  <si>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</si>
  <si>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</si>
  <si>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</si>
  <si>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</si>
  <si>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</si>
  <si>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</si>
  <si>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</si>
  <si>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</si>
  <si>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</si>
  <si>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</si>
  <si>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</si>
  <si>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</si>
  <si>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</si>
  <si>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</si>
  <si>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</si>
  <si>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</si>
  <si>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</si>
  <si>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</si>
  <si>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</si>
  <si>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</si>
  <si>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</si>
  <si>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</si>
  <si>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</si>
  <si>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</si>
  <si>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</si>
  <si>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</si>
  <si>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</si>
  <si>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</si>
  <si>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</si>
  <si>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</si>
  <si>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</si>
  <si>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</si>
  <si>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</si>
  <si>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</si>
  <si>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</si>
  <si>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</si>
  <si>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</si>
  <si>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</si>
  <si>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</si>
  <si>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</si>
  <si>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</si>
  <si>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</si>
  <si>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</si>
  <si>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</si>
  <si>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</si>
  <si>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</si>
  <si>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</si>
  <si>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</si>
  <si>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</si>
  <si>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</si>
  <si>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</si>
  <si>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</si>
  <si>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</si>
  <si>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</si>
  <si>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</si>
  <si>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</si>
  <si>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</si>
  <si>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</si>
  <si>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</si>
  <si>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</si>
  <si>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</si>
  <si>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</si>
  <si>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</si>
  <si>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</si>
  <si>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</si>
  <si>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</si>
  <si>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</si>
  <si>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</si>
  <si>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</si>
  <si>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</si>
  <si>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</si>
  <si>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</si>
  <si>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</si>
  <si>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</si>
  <si>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</si>
  <si>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</si>
  <si>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</si>
  <si>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</si>
  <si>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</si>
  <si>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</si>
  <si>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</si>
  <si>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</si>
  <si>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</si>
  <si>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</si>
  <si>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</si>
  <si>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</si>
  <si>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</si>
  <si>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</si>
  <si>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</si>
  <si>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</si>
  <si>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</si>
  <si>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</si>
  <si>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</si>
  <si>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</si>
  <si>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</si>
  <si>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</si>
  <si>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</si>
  <si>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</si>
  <si>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</si>
  <si>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</si>
  <si>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</si>
  <si>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</si>
  <si>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</si>
  <si>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</si>
  <si>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</si>
  <si>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</si>
  <si>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</si>
  <si>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</si>
  <si>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</si>
  <si>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</si>
  <si>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</si>
  <si>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</si>
  <si>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</si>
  <si>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</si>
  <si>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</si>
  <si>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</si>
  <si>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</si>
  <si>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</si>
  <si>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</si>
  <si>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</si>
  <si>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</si>
  <si>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</si>
  <si>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</si>
  <si>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</si>
  <si>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</si>
  <si>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</si>
  <si>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</si>
  <si>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</si>
  <si>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</si>
  <si>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</si>
  <si>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</si>
  <si>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</si>
  <si>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</si>
  <si>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</si>
  <si>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</si>
  <si>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</si>
  <si>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</si>
  <si>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</si>
  <si>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</si>
  <si>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</si>
  <si>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</si>
  <si>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</si>
  <si>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</si>
  <si>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</si>
  <si>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</si>
  <si>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</si>
  <si>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</si>
  <si>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</si>
  <si>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</si>
  <si>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</si>
  <si>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</si>
  <si>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</si>
  <si>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</si>
  <si>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</si>
  <si>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</si>
  <si>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</si>
  <si>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</si>
  <si>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</si>
  <si>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</si>
  <si>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</si>
  <si>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</si>
  <si>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</si>
  <si>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</si>
  <si>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</si>
  <si>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</si>
  <si>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</si>
  <si>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</si>
  <si>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</si>
  <si>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</si>
  <si>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</si>
  <si>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</si>
  <si>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</si>
  <si>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</si>
  <si>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</si>
  <si>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</si>
  <si>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</si>
  <si>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</si>
  <si>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</si>
  <si>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</si>
  <si>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</si>
  <si>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</si>
  <si>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</si>
  <si>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</si>
  <si>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</si>
  <si>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</si>
  <si>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</si>
  <si>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</si>
  <si>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</si>
  <si>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</si>
  <si>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</si>
  <si>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</si>
  <si>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</si>
  <si>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</si>
  <si>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</si>
  <si>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</si>
  <si>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</si>
  <si>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</si>
  <si>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</si>
  <si>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</si>
  <si>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</si>
  <si>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</si>
  <si>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</si>
  <si>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</si>
  <si>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</si>
  <si>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</si>
  <si>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</si>
  <si>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</si>
  <si>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</si>
  <si>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</si>
  <si>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</si>
  <si>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</si>
  <si>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</si>
  <si>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</si>
  <si>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</si>
  <si>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</si>
  <si>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</si>
  <si>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</si>
  <si>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</si>
  <si>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</si>
  <si>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</si>
  <si>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</si>
  <si>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</si>
  <si>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</si>
  <si>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</si>
  <si>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</si>
  <si>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</si>
  <si>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</si>
  <si>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</si>
  <si>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</si>
  <si>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</si>
  <si>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</si>
  <si>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</si>
  <si>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</si>
  <si>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</si>
  <si>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</si>
  <si>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</si>
  <si>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</si>
  <si>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</si>
  <si>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</si>
  <si>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</si>
  <si>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</si>
  <si>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</si>
  <si>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</si>
  <si>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</si>
  <si>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</si>
  <si>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</si>
  <si>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</si>
  <si>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</si>
  <si>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</si>
  <si>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</si>
  <si>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</si>
  <si>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</si>
  <si>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</si>
  <si>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</si>
  <si>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</si>
  <si>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</si>
  <si>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</si>
  <si>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</si>
  <si>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</si>
  <si>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</si>
  <si>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</si>
  <si>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</si>
  <si>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</si>
  <si>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</si>
  <si>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</si>
  <si>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</si>
  <si>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</si>
  <si>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</si>
  <si>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</si>
  <si>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</si>
  <si>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</si>
  <si>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</si>
  <si>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</si>
  <si>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</si>
  <si>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</si>
  <si>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</si>
  <si>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</si>
  <si>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</si>
  <si>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</si>
  <si>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</si>
  <si>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</si>
  <si>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</si>
  <si>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</si>
  <si>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</si>
  <si>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</si>
  <si>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</si>
  <si>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</si>
  <si>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</si>
  <si>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</si>
  <si>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</si>
  <si>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</si>
  <si>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</si>
  <si>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</si>
  <si>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</si>
  <si>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</si>
  <si>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</si>
  <si>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</si>
  <si>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</si>
  <si>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</si>
  <si>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</si>
  <si>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</si>
  <si>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</si>
  <si>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</si>
  <si>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</si>
  <si>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</si>
  <si>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</si>
  <si>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</si>
  <si>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</si>
  <si>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</si>
  <si>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</si>
  <si>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</si>
  <si>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</si>
  <si>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</si>
  <si>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</si>
  <si>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</si>
  <si>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</si>
  <si>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</si>
  <si>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</si>
  <si>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</si>
  <si>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</si>
  <si>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</si>
  <si>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</si>
  <si>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</si>
  <si>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</si>
  <si>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</si>
  <si>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</si>
  <si>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</si>
  <si>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</si>
  <si>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</si>
  <si>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</si>
  <si>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</si>
  <si>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</si>
  <si>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</si>
  <si>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</si>
  <si>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</si>
  <si>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</si>
  <si>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</si>
  <si>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</si>
  <si>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</si>
  <si>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</si>
  <si>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</si>
  <si>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</si>
  <si>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</si>
  <si>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</si>
  <si>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</si>
  <si>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</si>
  <si>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</si>
  <si>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</si>
  <si>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</si>
  <si>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</si>
  <si>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</si>
  <si>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</si>
  <si>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</si>
  <si>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</si>
  <si>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</si>
  <si>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</si>
  <si>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</si>
  <si>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</si>
  <si>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</si>
  <si>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</si>
  <si>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</si>
  <si>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</si>
  <si>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</si>
  <si>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</si>
  <si>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</si>
  <si>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</si>
  <si>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</si>
  <si>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</si>
  <si>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</si>
  <si>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</si>
  <si>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</si>
  <si>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</si>
  <si>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</si>
  <si>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</si>
  <si>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</si>
  <si>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</si>
  <si>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</si>
  <si>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</si>
  <si>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</si>
  <si>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</si>
  <si>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</si>
  <si>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</si>
  <si>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</si>
  <si>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</si>
  <si>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</si>
  <si>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</si>
  <si>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</si>
  <si>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</si>
  <si>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</si>
  <si>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</si>
  <si>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</si>
  <si>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</si>
  <si>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</si>
  <si>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</si>
  <si>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</si>
  <si>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</si>
  <si>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</si>
  <si>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</si>
  <si>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</si>
  <si>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</si>
  <si>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</si>
  <si>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</si>
  <si>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</si>
  <si>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</si>
  <si>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</si>
  <si>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</si>
  <si>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</si>
  <si>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</si>
  <si>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</si>
  <si>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</si>
  <si>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</si>
  <si>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</si>
  <si>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</si>
  <si>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</si>
  <si>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</si>
  <si>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</si>
  <si>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</si>
  <si>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</si>
  <si>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</si>
  <si>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</si>
  <si>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</si>
  <si>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</si>
  <si>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</si>
  <si>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</si>
  <si>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</si>
  <si>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</si>
  <si>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</si>
  <si>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</si>
  <si>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</si>
  <si>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</si>
  <si>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</si>
  <si>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</si>
  <si>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</si>
  <si>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</si>
  <si>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</si>
  <si>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</si>
  <si>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</si>
  <si>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</si>
  <si>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</si>
  <si>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</si>
  <si>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</si>
  <si>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</si>
  <si>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</si>
  <si>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</si>
  <si>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</si>
  <si>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</si>
  <si>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</si>
  <si>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</si>
  <si>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</si>
  <si>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</si>
  <si>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</si>
  <si>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</si>
  <si>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</si>
  <si>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</si>
  <si>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</si>
  <si>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</si>
  <si>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</si>
  <si>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</si>
  <si>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</si>
  <si>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</si>
  <si>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</si>
  <si>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</si>
  <si>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</si>
  <si>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</si>
  <si>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</si>
  <si>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</si>
  <si>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</si>
  <si>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</si>
  <si>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</si>
  <si>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</si>
  <si>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</si>
  <si>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</si>
  <si>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</si>
  <si>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</si>
  <si>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</si>
  <si>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</si>
  <si>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</si>
  <si>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</si>
  <si>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</si>
  <si>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</si>
  <si>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</si>
  <si>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</si>
  <si>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</si>
  <si>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</si>
  <si>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</si>
  <si>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</si>
  <si>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</si>
  <si>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</si>
  <si>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</si>
  <si>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</si>
  <si>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</si>
  <si>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</si>
  <si>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</si>
  <si>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</si>
  <si>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</si>
  <si>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</si>
  <si>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</si>
  <si>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</si>
  <si>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</si>
  <si>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</si>
  <si>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</si>
  <si>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</si>
  <si>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</si>
  <si>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</si>
  <si>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</si>
  <si>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</si>
  <si>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</si>
  <si>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</si>
  <si>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</si>
  <si>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</si>
  <si>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</si>
  <si>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</si>
  <si>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</si>
  <si>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</si>
  <si>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</si>
  <si>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</si>
  <si>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</si>
  <si>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</si>
  <si>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</si>
  <si>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</si>
  <si>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</si>
  <si>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</si>
  <si>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</si>
  <si>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</si>
  <si>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</si>
  <si>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</si>
  <si>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</si>
  <si>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</si>
  <si>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</si>
  <si>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</si>
  <si>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</si>
  <si>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</si>
  <si>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</si>
  <si>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</si>
  <si>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</si>
  <si>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</si>
  <si>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</si>
  <si>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</si>
  <si>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</si>
  <si>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</si>
  <si>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</si>
  <si>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</si>
  <si>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</si>
  <si>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</si>
  <si>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</si>
  <si>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</si>
  <si>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</si>
  <si>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</si>
  <si>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</si>
  <si>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</si>
  <si>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</si>
  <si>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</si>
  <si>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</si>
  <si>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</si>
  <si>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</si>
  <si>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</si>
  <si>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</si>
  <si>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</si>
  <si>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</si>
  <si>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</si>
  <si>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</si>
  <si>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</si>
  <si>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</si>
  <si>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</si>
  <si>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</si>
  <si>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</si>
  <si>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</si>
  <si>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</si>
  <si>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</si>
  <si>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</si>
  <si>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</si>
  <si>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</si>
  <si>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</si>
  <si>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</si>
  <si>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</si>
  <si>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</si>
  <si>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</si>
  <si>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</si>
  <si>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</si>
  <si>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</si>
  <si>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</si>
  <si>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</si>
  <si>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</si>
  <si>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</si>
  <si>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</si>
  <si>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</si>
  <si>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</si>
  <si>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</si>
  <si>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</si>
  <si>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</si>
  <si>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</si>
  <si>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</si>
  <si>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</si>
  <si>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</si>
  <si>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</si>
  <si>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</si>
  <si>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</si>
  <si>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</si>
  <si>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</si>
  <si>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</si>
  <si>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</si>
  <si>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</si>
  <si>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</si>
  <si>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</si>
  <si>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</si>
  <si>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</si>
  <si>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</si>
  <si>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</si>
  <si>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</si>
  <si>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</si>
  <si>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</si>
  <si>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</si>
  <si>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</si>
  <si>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</si>
  <si>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</si>
  <si>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</si>
  <si>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</si>
  <si>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</si>
  <si>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</si>
  <si>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</si>
  <si>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</si>
  <si>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</si>
  <si>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</si>
  <si>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</si>
  <si>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</si>
  <si>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</si>
  <si>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</si>
  <si>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</si>
  <si>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</si>
  <si>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</si>
  <si>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</si>
  <si>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</si>
  <si>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</si>
  <si>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</si>
  <si>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</si>
  <si>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</si>
  <si>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</si>
  <si>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</si>
  <si>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</si>
  <si>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</si>
  <si>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</si>
  <si>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</si>
  <si>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</si>
  <si>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</si>
  <si>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</si>
  <si>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</si>
  <si>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</si>
  <si>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</si>
  <si>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</si>
  <si>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</si>
  <si>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</si>
  <si>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</si>
  <si>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</si>
  <si>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</si>
  <si>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</si>
  <si>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</si>
  <si>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</si>
  <si>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</si>
  <si>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</si>
  <si>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</si>
  <si>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</si>
  <si>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</si>
  <si>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</si>
  <si>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</si>
  <si>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</si>
  <si>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</si>
  <si>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</si>
  <si>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</si>
  <si>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</si>
  <si>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</si>
  <si>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</si>
  <si>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</si>
  <si>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</si>
  <si>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</si>
  <si>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</si>
  <si>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</si>
  <si>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</si>
  <si>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</si>
  <si>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</si>
  <si>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</si>
  <si>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</si>
  <si>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</si>
  <si>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</si>
  <si>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</si>
  <si>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</si>
  <si>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</si>
  <si>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</si>
  <si>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</si>
  <si>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</si>
  <si>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</si>
  <si>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</si>
  <si>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</si>
  <si>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</si>
  <si>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</si>
  <si>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</si>
  <si>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</si>
  <si>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</si>
  <si>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</si>
  <si>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</si>
  <si>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</si>
  <si>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</si>
  <si>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</si>
  <si>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</si>
  <si>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</si>
  <si>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</si>
  <si>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</si>
  <si>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</si>
  <si>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</si>
  <si>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</si>
  <si>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</si>
  <si>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</si>
  <si>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</si>
  <si>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</si>
  <si>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</si>
  <si>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</si>
  <si>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</si>
  <si>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</si>
  <si>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</si>
  <si>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</si>
  <si>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</si>
  <si>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</si>
  <si>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</si>
  <si>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</si>
  <si>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</si>
  <si>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</si>
  <si>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</si>
  <si>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</si>
  <si>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</si>
  <si>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</si>
  <si>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</si>
  <si>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</si>
  <si>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</si>
  <si>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</si>
  <si>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</si>
  <si>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</si>
  <si>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</si>
  <si>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</si>
  <si>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</si>
  <si>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</si>
  <si>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</si>
  <si>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</si>
  <si>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</si>
  <si>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</si>
  <si>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</si>
  <si>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</si>
  <si>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</si>
  <si>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</si>
  <si>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</si>
  <si>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</si>
  <si>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</si>
  <si>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</si>
  <si>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</si>
  <si>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</si>
  <si>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</si>
  <si>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</si>
  <si>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</si>
  <si>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</si>
  <si>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</si>
  <si>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</si>
  <si>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</si>
  <si>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</si>
  <si>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</si>
  <si>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</si>
  <si>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</si>
  <si>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</si>
  <si>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</si>
  <si>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</si>
  <si>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</si>
  <si>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</si>
  <si>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</si>
  <si>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</si>
  <si>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</si>
  <si>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</si>
  <si>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</si>
  <si>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</si>
  <si>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</si>
  <si>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</si>
  <si>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</si>
  <si>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</si>
  <si>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</si>
  <si>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</si>
  <si>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</si>
  <si>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</si>
  <si>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</si>
  <si>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</si>
  <si>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</si>
  <si>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</si>
  <si>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</si>
  <si>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</si>
  <si>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</si>
  <si>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</si>
  <si>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</si>
  <si>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</si>
  <si>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</si>
  <si>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</si>
  <si>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</si>
  <si>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</si>
  <si>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</si>
  <si>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</si>
  <si>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</si>
  <si>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</si>
  <si>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</si>
  <si>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</si>
  <si>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</si>
  <si>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</si>
  <si>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</si>
  <si>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</si>
  <si>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</si>
  <si>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</si>
  <si>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</si>
  <si>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</si>
  <si>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</si>
  <si>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</si>
  <si>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</si>
  <si>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</si>
  <si>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</si>
  <si>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</si>
  <si>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</si>
  <si>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</si>
  <si>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</si>
  <si>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</si>
  <si>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</si>
  <si>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</si>
  <si>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</si>
  <si>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</si>
  <si>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</si>
  <si>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</si>
  <si>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</si>
  <si>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</si>
  <si>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</si>
  <si>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</si>
  <si>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</si>
  <si>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</si>
  <si>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</si>
  <si>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</si>
  <si>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</si>
  <si>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</si>
  <si>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</si>
  <si>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</si>
  <si>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</si>
  <si>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</si>
  <si>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</si>
  <si>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</si>
  <si>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</si>
  <si>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</si>
  <si>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</si>
  <si>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</si>
  <si>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</si>
  <si>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</si>
  <si>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</si>
  <si>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</si>
  <si>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</si>
  <si>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</si>
  <si>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</si>
  <si>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</si>
  <si>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</si>
  <si>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</si>
  <si>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</si>
  <si>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</si>
  <si>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</si>
  <si>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</si>
  <si>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</si>
  <si>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</si>
  <si>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</si>
  <si>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</si>
  <si>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</si>
  <si>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</si>
  <si>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</si>
  <si>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</si>
  <si>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</si>
  <si>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</si>
  <si>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</si>
  <si>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</si>
  <si>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</si>
  <si>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</si>
  <si>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</si>
  <si>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</si>
  <si>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</si>
  <si>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</si>
  <si>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</si>
  <si>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</si>
  <si>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</si>
  <si>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</si>
  <si>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</si>
  <si>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</si>
  <si>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</si>
  <si>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</si>
  <si>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</si>
  <si>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</si>
  <si>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</si>
  <si>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</si>
  <si>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</si>
  <si>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</si>
  <si>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</si>
  <si>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</si>
  <si>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</si>
  <si>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</si>
  <si>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</si>
  <si>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</si>
  <si>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</si>
  <si>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</si>
  <si>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</si>
  <si>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</si>
  <si>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</si>
  <si>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</si>
  <si>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</si>
  <si>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</si>
  <si>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</si>
  <si>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</si>
  <si>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</si>
  <si>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</si>
  <si>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</si>
  <si>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</si>
  <si>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</si>
  <si>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</si>
  <si>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</si>
  <si>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</si>
  <si>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</si>
  <si>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</si>
  <si>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</si>
  <si>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</si>
  <si>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</si>
  <si>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</si>
  <si>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</si>
  <si>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</si>
  <si>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</si>
  <si>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</si>
  <si>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</si>
  <si>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</si>
  <si>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</si>
  <si>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</si>
  <si>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</si>
  <si>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</si>
  <si>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</si>
  <si>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</si>
  <si>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</si>
  <si>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</si>
  <si>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</si>
  <si>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</si>
  <si>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</si>
  <si>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</si>
  <si>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</si>
  <si>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</si>
  <si>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</si>
  <si>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</si>
  <si>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</si>
  <si>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</si>
  <si>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</si>
  <si>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</si>
  <si>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</si>
  <si>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</si>
  <si>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</si>
  <si>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</si>
  <si>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</si>
  <si>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</si>
  <si>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</si>
  <si>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</si>
  <si>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</si>
  <si>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</si>
  <si>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</si>
  <si>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</si>
  <si>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</si>
  <si>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</si>
  <si>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</si>
  <si>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</si>
  <si>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</si>
  <si>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</si>
  <si>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</si>
  <si>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</si>
  <si>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</si>
  <si>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</si>
  <si>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</si>
  <si>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</si>
  <si>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</si>
  <si>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</si>
  <si>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</si>
  <si>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</si>
  <si>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</si>
  <si>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</si>
  <si>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</si>
  <si>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</si>
  <si>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</si>
  <si>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</si>
  <si>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</si>
  <si>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</si>
  <si>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</si>
  <si>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</si>
  <si>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</si>
  <si>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</si>
  <si>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</si>
  <si>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</si>
  <si>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</si>
  <si>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</si>
  <si>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</si>
  <si>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</si>
  <si>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</si>
  <si>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</si>
  <si>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</si>
  <si>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</si>
  <si>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</si>
  <si>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</si>
  <si>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</si>
  <si>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</si>
  <si>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</si>
  <si>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</si>
  <si>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</si>
  <si>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</si>
  <si>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</si>
  <si>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</si>
  <si>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</si>
  <si>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</si>
  <si>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</si>
  <si>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</si>
  <si>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</si>
  <si>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</si>
  <si>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</si>
  <si>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</si>
  <si>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</si>
  <si>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</si>
  <si>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</si>
  <si>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</si>
  <si>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</si>
  <si>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</si>
  <si>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</si>
  <si>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</si>
  <si>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</si>
  <si>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</si>
  <si>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</si>
  <si>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</si>
  <si>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</si>
  <si>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</si>
  <si>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</si>
  <si>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</si>
  <si>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</si>
  <si>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</si>
  <si>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</si>
  <si>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</si>
  <si>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</si>
  <si>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</si>
  <si>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</si>
  <si>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</si>
  <si>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</si>
  <si>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</si>
  <si>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</si>
  <si>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</si>
  <si>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</si>
  <si>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</si>
  <si>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</si>
  <si>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</si>
  <si>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</si>
  <si>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</si>
  <si>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</si>
  <si>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</si>
  <si>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</si>
  <si>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</si>
  <si>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</si>
  <si>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</si>
  <si>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</si>
  <si>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</si>
  <si>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</si>
  <si>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</si>
  <si>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</si>
  <si>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</si>
  <si>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</si>
  <si>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</si>
  <si>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</si>
  <si>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</si>
  <si>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</si>
  <si>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</si>
  <si>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</si>
  <si>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</si>
  <si>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</si>
  <si>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</si>
  <si>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</si>
  <si>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</si>
  <si>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</si>
  <si>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</si>
  <si>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</si>
  <si>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</si>
  <si>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</si>
  <si>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</si>
  <si>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</si>
  <si>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</si>
  <si>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</si>
  <si>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</si>
  <si>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</si>
  <si>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</si>
  <si>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</si>
  <si>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</si>
  <si>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</si>
  <si>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</si>
  <si>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</si>
  <si>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</si>
  <si>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</si>
  <si>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</si>
  <si>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</si>
  <si>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</si>
  <si>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</si>
  <si>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</si>
  <si>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</si>
  <si>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</si>
  <si>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</si>
  <si>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</si>
  <si>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</si>
  <si>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</si>
  <si>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</si>
  <si>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</si>
  <si>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</si>
  <si>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</si>
  <si>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</si>
  <si>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</si>
  <si>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</si>
  <si>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</si>
  <si>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</si>
  <si>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</si>
  <si>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</si>
  <si>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</si>
  <si>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</si>
  <si>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</si>
  <si>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</si>
  <si>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</si>
  <si>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</si>
  <si>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</si>
  <si>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</si>
  <si>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</si>
  <si>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</si>
  <si>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</si>
  <si>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</si>
  <si>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</si>
  <si>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</si>
  <si>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</si>
  <si>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</si>
  <si>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</si>
  <si>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</si>
  <si>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</si>
  <si>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</si>
  <si>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</si>
  <si>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</si>
  <si>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</si>
  <si>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</si>
  <si>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</si>
  <si>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</si>
  <si>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</si>
  <si>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</si>
  <si>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</si>
  <si>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</si>
  <si>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</si>
  <si>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</si>
  <si>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</si>
  <si>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</si>
  <si>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</si>
  <si>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</si>
  <si>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</si>
  <si>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</si>
  <si>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</si>
  <si>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</si>
  <si>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</si>
  <si>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</si>
  <si>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</si>
  <si>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</si>
  <si>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</si>
  <si>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</si>
  <si>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</si>
  <si>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</si>
  <si>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</si>
  <si>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</si>
  <si>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</si>
  <si>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</si>
  <si>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</si>
  <si>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</si>
  <si>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</si>
  <si>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</si>
  <si>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</si>
  <si>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</si>
  <si>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</si>
  <si>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</si>
  <si>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</si>
  <si>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</si>
  <si>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</si>
  <si>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</si>
  <si>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</si>
  <si>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</si>
  <si>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</si>
  <si>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</si>
  <si>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</si>
  <si>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</si>
  <si>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</si>
  <si>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</si>
  <si>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</si>
  <si>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</si>
  <si>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</si>
  <si>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</si>
  <si>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</si>
  <si>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</si>
  <si>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</si>
  <si>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</si>
  <si>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</si>
  <si>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</si>
  <si>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</si>
  <si>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</si>
  <si>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</si>
  <si>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</si>
  <si>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</si>
  <si>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</si>
  <si>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</si>
  <si>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</si>
  <si>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</si>
  <si>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</si>
  <si>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</si>
  <si>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</si>
  <si>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</si>
  <si>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</si>
  <si>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</si>
  <si>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</si>
  <si>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</si>
  <si>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</si>
  <si>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</si>
  <si>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</si>
  <si>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</si>
  <si>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</si>
  <si>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</si>
  <si>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</si>
  <si>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</si>
  <si>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</si>
  <si>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</si>
  <si>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</si>
  <si>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</si>
  <si>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</si>
  <si>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</si>
  <si>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</si>
  <si>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</si>
  <si>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</si>
  <si>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</si>
  <si>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</si>
  <si>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</si>
  <si>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</si>
  <si>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</si>
  <si>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</si>
  <si>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</si>
  <si>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</si>
  <si>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</si>
  <si>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</si>
  <si>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</si>
  <si>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</si>
  <si>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</si>
  <si>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</si>
  <si>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</si>
  <si>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</si>
  <si>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</si>
  <si>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</si>
  <si>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</si>
  <si>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</si>
  <si>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</si>
  <si>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</si>
  <si>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</si>
  <si>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</si>
  <si>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</si>
  <si>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</si>
  <si>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</si>
  <si>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</si>
  <si>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</si>
  <si>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</si>
  <si>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</si>
  <si>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</si>
  <si>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</si>
  <si>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</si>
  <si>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</si>
  <si>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</si>
  <si>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</si>
  <si>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</si>
  <si>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</si>
  <si>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</si>
  <si>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</si>
  <si>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</si>
  <si>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</si>
  <si>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</si>
  <si>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</si>
  <si>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</si>
  <si>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</si>
  <si>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</si>
  <si>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</si>
  <si>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</si>
  <si>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</si>
  <si>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</si>
  <si>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</si>
  <si>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</si>
  <si>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</si>
  <si>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</si>
  <si>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</si>
  <si>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</si>
  <si>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</si>
  <si>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</si>
  <si>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</si>
  <si>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</si>
  <si>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</si>
  <si>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</si>
  <si>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</si>
  <si>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</si>
  <si>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</si>
  <si>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</si>
  <si>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</si>
  <si>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</si>
  <si>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</si>
  <si>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</si>
  <si>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</si>
  <si>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</si>
  <si>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</si>
  <si>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</si>
  <si>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</si>
  <si>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</si>
  <si>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</si>
  <si>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</si>
  <si>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</si>
  <si>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</si>
  <si>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</si>
  <si>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</si>
  <si>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</si>
  <si>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</si>
  <si>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</si>
  <si>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</si>
  <si>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</si>
  <si>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</si>
  <si>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</si>
  <si>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</si>
  <si>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</si>
  <si>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</si>
  <si>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</si>
  <si>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</si>
  <si>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</si>
  <si>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</si>
  <si>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</si>
  <si>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</si>
  <si>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</si>
  <si>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</si>
  <si>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</si>
  <si>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</si>
  <si>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</si>
  <si>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</si>
  <si>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</si>
  <si>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</si>
  <si>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</si>
  <si>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</si>
  <si>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</si>
  <si>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</si>
  <si>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</si>
  <si>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</si>
  <si>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</si>
  <si>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</si>
  <si>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</si>
  <si>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</si>
  <si>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</si>
  <si>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</si>
  <si>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</si>
  <si>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</si>
  <si>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</si>
  <si>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</si>
  <si>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</si>
  <si>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</si>
  <si>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</si>
  <si>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</si>
  <si>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</si>
  <si>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</si>
  <si>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</si>
  <si>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</si>
  <si>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</si>
  <si>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</si>
  <si>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</si>
  <si>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</si>
  <si>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</si>
  <si>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</si>
  <si>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</si>
  <si>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</si>
  <si>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</si>
  <si>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</si>
  <si>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</si>
  <si>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</si>
  <si>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</si>
  <si>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</si>
  <si>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</si>
  <si>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</si>
  <si>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</si>
  <si>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</si>
  <si>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</si>
  <si>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</si>
  <si>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</si>
  <si>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</si>
  <si>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</si>
  <si>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</si>
  <si>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</si>
  <si>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</si>
  <si>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</si>
  <si>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</si>
  <si>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</si>
  <si>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</si>
  <si>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</si>
  <si>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</si>
  <si>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</si>
  <si>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</si>
  <si>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</si>
  <si>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</si>
  <si>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</si>
  <si>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</si>
  <si>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</si>
  <si>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</si>
  <si>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</si>
  <si>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</si>
  <si>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</si>
  <si>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</si>
  <si>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</si>
  <si>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</si>
  <si>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</si>
  <si>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</si>
  <si>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</si>
  <si>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</si>
  <si>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</si>
  <si>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</si>
  <si>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</si>
  <si>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</si>
  <si>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</si>
  <si>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</si>
  <si>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</si>
  <si>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</si>
  <si>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</si>
  <si>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</si>
  <si>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</si>
  <si>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</si>
  <si>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</si>
  <si>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</si>
  <si>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</si>
  <si>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</si>
  <si>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</si>
  <si>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</si>
  <si>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</si>
  <si>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</si>
  <si>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</si>
  <si>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</si>
  <si>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</si>
  <si>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</si>
  <si>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</si>
  <si>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</si>
  <si>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</si>
  <si>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</si>
  <si>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</si>
  <si>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</si>
  <si>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</si>
  <si>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</si>
  <si>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</si>
  <si>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</si>
  <si>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</si>
  <si>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</si>
  <si>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</si>
  <si>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</si>
  <si>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</si>
  <si>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</si>
  <si>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</si>
  <si>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</si>
  <si>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</si>
  <si>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</si>
  <si>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</si>
  <si>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</si>
  <si>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</si>
  <si>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</si>
  <si>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</si>
  <si>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</si>
  <si>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</si>
  <si>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</si>
  <si>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</si>
  <si>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</si>
  <si>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</si>
  <si>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</si>
  <si>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</si>
  <si>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</si>
  <si>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</si>
  <si>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</si>
  <si>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</si>
  <si>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</si>
  <si>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</si>
  <si>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</si>
  <si>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</si>
  <si>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</si>
  <si>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</si>
  <si>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</si>
  <si>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</si>
  <si>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</si>
  <si>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</si>
  <si>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</si>
  <si>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</si>
  <si>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</si>
  <si>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</si>
  <si>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</si>
  <si>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</si>
  <si>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</si>
  <si>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</si>
  <si>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</si>
  <si>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</si>
  <si>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</si>
  <si>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</si>
  <si>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</si>
  <si>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</si>
  <si>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</si>
  <si>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</si>
  <si>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</si>
  <si>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</si>
  <si>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</si>
  <si>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</si>
  <si>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</si>
  <si>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</si>
  <si>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</si>
  <si>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</si>
  <si>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</si>
  <si>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</si>
  <si>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</si>
  <si>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</si>
  <si>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</si>
  <si>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</si>
  <si>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</si>
  <si>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</si>
  <si>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</si>
  <si>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</si>
  <si>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</si>
  <si>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</si>
  <si>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</si>
  <si>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</si>
  <si>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</si>
  <si>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</si>
  <si>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</si>
  <si>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</si>
  <si>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</si>
  <si>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</si>
  <si>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</si>
  <si>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</si>
  <si>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</si>
  <si>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</si>
  <si>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</si>
  <si>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</si>
  <si>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</si>
  <si>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</si>
  <si>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</si>
  <si>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</si>
  <si>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</si>
  <si>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</si>
  <si>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</si>
  <si>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</si>
  <si>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</si>
  <si>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</si>
  <si>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</si>
  <si>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</si>
  <si>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</si>
  <si>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</si>
  <si>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</si>
  <si>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</si>
  <si>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</si>
  <si>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</si>
  <si>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</si>
  <si>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</si>
  <si>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</si>
  <si>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</si>
  <si>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</si>
  <si>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</si>
  <si>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</si>
  <si>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</si>
  <si>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</si>
  <si>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</si>
  <si>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</si>
  <si>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</si>
  <si>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</si>
  <si>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</si>
  <si>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</si>
  <si>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</si>
  <si>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</si>
  <si>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</si>
  <si>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</si>
  <si>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</si>
  <si>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</si>
  <si>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</si>
  <si>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</si>
  <si>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</si>
  <si>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</si>
  <si>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</si>
  <si>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</si>
  <si>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</si>
  <si>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</si>
  <si>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</si>
  <si>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</si>
  <si>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</si>
  <si>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</si>
  <si>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</si>
  <si>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</si>
  <si>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</si>
  <si>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</si>
  <si>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</si>
  <si>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</si>
  <si>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</si>
  <si>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</si>
  <si>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</si>
  <si>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</si>
  <si>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</si>
  <si>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</si>
  <si>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</si>
  <si>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</si>
  <si>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</si>
  <si>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</si>
  <si>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</si>
  <si>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</si>
  <si>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</si>
  <si>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</si>
  <si>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</si>
  <si>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</si>
  <si>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</si>
  <si>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</si>
  <si>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</si>
  <si>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</si>
  <si>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</si>
  <si>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</si>
  <si>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</si>
  <si>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</si>
  <si>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</si>
  <si>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</si>
  <si>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</si>
  <si>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</si>
  <si>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</si>
  <si>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</si>
  <si>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</si>
  <si>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</si>
  <si>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</si>
  <si>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</si>
  <si>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</si>
  <si>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</si>
  <si>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</si>
  <si>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</si>
  <si>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</si>
  <si>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</si>
  <si>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</si>
  <si>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</si>
  <si>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</si>
  <si>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</si>
  <si>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</si>
  <si>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</si>
  <si>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</si>
  <si>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</si>
  <si>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</si>
  <si>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</si>
  <si>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</si>
  <si>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</si>
  <si>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</si>
  <si>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</si>
  <si>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</si>
  <si>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</si>
  <si>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</si>
  <si>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</si>
  <si>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</si>
  <si>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</si>
  <si>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</si>
  <si>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</si>
  <si>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</si>
  <si>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</si>
  <si>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</si>
  <si>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</si>
  <si>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</si>
  <si>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</si>
  <si>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</si>
  <si>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</si>
  <si>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</si>
  <si>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</si>
  <si>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</si>
  <si>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</si>
  <si>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</si>
  <si>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</si>
  <si>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</si>
  <si>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</si>
  <si>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</si>
  <si>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</si>
  <si>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</si>
  <si>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</si>
  <si>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</si>
  <si>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</si>
  <si>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</si>
  <si>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</si>
  <si>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</si>
  <si>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</si>
  <si>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</si>
  <si>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</si>
  <si>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</si>
  <si>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</si>
  <si>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</si>
  <si>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</si>
  <si>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</si>
  <si>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</si>
  <si>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</si>
  <si>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</si>
  <si>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</si>
  <si>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</si>
  <si>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</si>
  <si>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</si>
  <si>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</si>
  <si>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</si>
  <si>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</si>
  <si>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</si>
  <si>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</si>
  <si>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</si>
  <si>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</si>
  <si>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</si>
  <si>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</si>
  <si>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</si>
  <si>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</si>
  <si>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</si>
  <si>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</si>
  <si>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</si>
  <si>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</si>
  <si>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</si>
  <si>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</si>
  <si>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</si>
  <si>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</si>
  <si>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</si>
  <si>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</si>
  <si>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</si>
  <si>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</si>
  <si>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</si>
  <si>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</si>
  <si>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</si>
  <si>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</si>
  <si>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</si>
  <si>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</si>
  <si>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</si>
  <si>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</si>
  <si>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</si>
  <si>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</si>
  <si>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</si>
  <si>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</si>
  <si>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</si>
  <si>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</si>
  <si>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</si>
  <si>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</si>
  <si>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</si>
  <si>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</si>
  <si>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</si>
  <si>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</si>
  <si>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</si>
  <si>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</si>
  <si>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</si>
  <si>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</si>
  <si>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</si>
  <si>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</si>
  <si>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</si>
  <si>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</si>
  <si>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</si>
  <si>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</si>
  <si>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</si>
  <si>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</si>
  <si>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</si>
  <si>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</si>
  <si>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</si>
  <si>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</si>
  <si>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</si>
  <si>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</si>
  <si>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</si>
  <si>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</si>
  <si>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</si>
  <si>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</si>
  <si>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</si>
  <si>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</si>
  <si>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</si>
  <si>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</si>
  <si>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</si>
  <si>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</si>
  <si>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</si>
  <si>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</si>
  <si>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</si>
  <si>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</si>
  <si>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</si>
  <si>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</si>
  <si>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</si>
  <si>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</si>
  <si>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</si>
  <si>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</si>
  <si>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</si>
  <si>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</si>
  <si>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</si>
  <si>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</si>
  <si>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</si>
  <si>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</si>
  <si>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</si>
  <si>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</si>
  <si>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</si>
  <si>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</si>
  <si>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</si>
  <si>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</si>
  <si>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</si>
  <si>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</si>
  <si>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</si>
  <si>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</si>
  <si>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</si>
  <si>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</si>
  <si>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</si>
  <si>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</si>
  <si>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</si>
  <si>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</si>
  <si>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</si>
  <si>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</si>
  <si>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</si>
  <si>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</si>
  <si>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</si>
  <si>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</si>
  <si>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</si>
  <si>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</si>
  <si>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</si>
  <si>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</si>
  <si>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</si>
  <si>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</si>
  <si>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</si>
  <si>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</si>
  <si>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</si>
  <si>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</si>
  <si>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</si>
  <si>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</si>
  <si>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</si>
  <si>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</si>
  <si>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</si>
  <si>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</si>
  <si>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</si>
  <si>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</si>
  <si>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</si>
  <si>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</si>
  <si>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</si>
  <si>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</si>
  <si>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</si>
  <si>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</si>
  <si>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</si>
  <si>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</si>
  <si>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</si>
  <si>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</si>
  <si>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</si>
  <si>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</si>
  <si>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</si>
  <si>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</si>
  <si>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</si>
  <si>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</si>
  <si>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</si>
  <si>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</si>
  <si>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</si>
  <si>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</si>
  <si>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</si>
  <si>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</si>
  <si>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</si>
  <si>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</si>
  <si>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</si>
  <si>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</si>
  <si>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</si>
  <si>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</si>
  <si>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</si>
  <si>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</si>
  <si>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</si>
  <si>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</si>
  <si>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</si>
  <si>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</si>
  <si>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</si>
  <si>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</si>
  <si>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</si>
  <si>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</si>
  <si>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</si>
  <si>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</si>
  <si>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</si>
  <si>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</si>
  <si>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</si>
  <si>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</si>
  <si>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</si>
  <si>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</si>
  <si>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</si>
  <si>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</si>
  <si>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</si>
  <si>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</si>
  <si>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</si>
  <si>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</si>
  <si>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</si>
  <si>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</si>
  <si>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</si>
  <si>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</si>
  <si>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</si>
  <si>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</si>
  <si>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</si>
  <si>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</si>
  <si>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</si>
  <si>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</si>
  <si>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</si>
  <si>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</si>
  <si>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</si>
  <si>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</si>
  <si>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</si>
  <si>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</si>
  <si>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</si>
  <si>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</si>
  <si>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</si>
  <si>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</si>
  <si>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</si>
  <si>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</si>
  <si>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</si>
  <si>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</si>
  <si>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</si>
  <si>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</si>
  <si>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</si>
  <si>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</si>
  <si>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</si>
  <si>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</si>
  <si>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</si>
  <si>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</si>
  <si>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</si>
  <si>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</si>
  <si>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</si>
  <si>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</si>
  <si>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</si>
  <si>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</si>
  <si>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</si>
  <si>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</si>
  <si>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</si>
  <si>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</si>
  <si>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</si>
  <si>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</si>
  <si>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</si>
  <si>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</si>
  <si>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</si>
  <si>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</si>
  <si>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</si>
  <si>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</si>
  <si>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</si>
  <si>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</si>
  <si>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</si>
  <si>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</si>
  <si>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</si>
  <si>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</si>
  <si>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</si>
  <si>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</si>
  <si>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</si>
  <si>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</si>
  <si>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</si>
  <si>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</si>
  <si>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</si>
  <si>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</si>
  <si>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</si>
  <si>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</si>
  <si>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</si>
  <si>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</si>
  <si>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</si>
  <si>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</si>
  <si>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</si>
  <si>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</si>
  <si>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</si>
  <si>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</si>
  <si>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</si>
  <si>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</si>
  <si>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</si>
  <si>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</si>
  <si>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</si>
  <si>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</si>
  <si>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</si>
  <si>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</si>
  <si>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</si>
  <si>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</si>
  <si>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</si>
  <si>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</si>
  <si>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</si>
  <si>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</si>
  <si>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</si>
  <si>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</si>
  <si>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</si>
  <si>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</si>
  <si>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</si>
  <si>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</si>
  <si>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</si>
  <si>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</si>
  <si>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</si>
  <si>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</si>
  <si>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</si>
  <si>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</si>
  <si>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</si>
  <si>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</si>
  <si>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</si>
  <si>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</si>
  <si>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</si>
  <si>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</si>
  <si>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</si>
  <si>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</si>
  <si>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</si>
  <si>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</si>
  <si>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</si>
  <si>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</si>
  <si>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</si>
  <si>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</si>
  <si>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</si>
  <si>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</si>
  <si>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</si>
  <si>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</si>
  <si>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</si>
  <si>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</si>
  <si>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</si>
  <si>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</si>
  <si>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</si>
  <si>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</si>
  <si>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</si>
  <si>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</si>
  <si>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</si>
  <si>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</si>
  <si>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</si>
  <si>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</si>
  <si>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</si>
  <si>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</si>
  <si>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</si>
  <si>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</si>
  <si>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</si>
  <si>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</si>
  <si>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</si>
  <si>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</si>
  <si>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</si>
  <si>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</si>
  <si>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</si>
  <si>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</si>
  <si>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</si>
  <si>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</si>
  <si>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</si>
  <si>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</si>
  <si>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</si>
  <si>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</si>
  <si>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</si>
  <si>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</si>
  <si>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</si>
  <si>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</si>
  <si>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</si>
  <si>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</si>
  <si>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</si>
  <si>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</si>
  <si>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</si>
  <si>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</si>
  <si>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</si>
  <si>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</si>
  <si>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</si>
  <si>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</si>
  <si>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</si>
  <si>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</si>
  <si>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</si>
  <si>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</si>
  <si>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</si>
  <si>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</si>
  <si>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</si>
  <si>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</si>
  <si>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</si>
  <si>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</si>
  <si>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</si>
  <si>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</si>
  <si>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</si>
  <si>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</si>
  <si>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</si>
  <si>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</si>
  <si>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</si>
  <si>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</si>
  <si>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</si>
  <si>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</si>
  <si>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</si>
  <si>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</si>
  <si>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</si>
  <si>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</si>
  <si>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</si>
  <si>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</si>
  <si>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</si>
  <si>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</si>
  <si>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</si>
  <si>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</si>
  <si>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</si>
  <si>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</si>
  <si>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</si>
  <si>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</si>
  <si>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</si>
  <si>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</si>
  <si>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</si>
  <si>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</si>
  <si>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</si>
  <si>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</si>
  <si>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</si>
  <si>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</si>
  <si>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</si>
  <si>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</si>
  <si>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</si>
  <si>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</si>
  <si>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</si>
  <si>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</si>
  <si>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</si>
  <si>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</si>
  <si>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</si>
  <si>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</si>
  <si>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</si>
  <si>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</si>
  <si>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</si>
  <si>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</si>
  <si>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</si>
  <si>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</si>
  <si>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</si>
  <si>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</si>
  <si>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</si>
  <si>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</si>
  <si>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</si>
  <si>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</si>
  <si>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</si>
  <si>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</si>
  <si>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</si>
  <si>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</si>
  <si>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</si>
  <si>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</si>
  <si>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</si>
  <si>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</si>
  <si>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</si>
  <si>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</si>
  <si>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</si>
  <si>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</si>
  <si>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</si>
  <si>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</si>
  <si>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</si>
  <si>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</si>
  <si>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</si>
  <si>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</si>
  <si>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</si>
  <si>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</si>
  <si>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</si>
  <si>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</si>
  <si>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</si>
  <si>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</si>
  <si>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</si>
  <si>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</si>
  <si>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</si>
  <si>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</si>
  <si>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</si>
  <si>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</si>
  <si>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</si>
  <si>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</si>
  <si>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</si>
  <si>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</si>
  <si>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</si>
  <si>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</si>
  <si>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</si>
  <si>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</si>
  <si>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</si>
  <si>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</si>
  <si>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</si>
  <si>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</si>
  <si>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</si>
  <si>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</si>
  <si>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</si>
  <si>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</si>
  <si>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</si>
  <si>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</si>
  <si>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</si>
  <si>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</si>
  <si>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</si>
  <si>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</si>
  <si>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</si>
  <si>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</si>
  <si>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</si>
  <si>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</si>
  <si>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</si>
  <si>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</si>
  <si>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</si>
  <si>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</si>
  <si>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</si>
  <si>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</si>
  <si>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</si>
  <si>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</si>
  <si>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</si>
  <si>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</si>
  <si>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</si>
  <si>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</si>
  <si>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</si>
  <si>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</si>
  <si>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</si>
  <si>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</si>
  <si>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</si>
  <si>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</si>
  <si>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</si>
  <si>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</si>
  <si>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</si>
  <si>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</si>
  <si>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</si>
  <si>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</si>
  <si>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</si>
  <si>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</si>
  <si>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</si>
  <si>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</si>
  <si>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</si>
  <si>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</si>
  <si>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</si>
  <si>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</si>
  <si>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</si>
  <si>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</si>
  <si>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</si>
  <si>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</si>
  <si>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</si>
  <si>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</si>
  <si>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</si>
  <si>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</si>
  <si>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</si>
  <si>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</si>
  <si>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</si>
  <si>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</si>
  <si>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</si>
  <si>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</si>
  <si>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</si>
  <si>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</si>
  <si>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</si>
  <si>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</si>
  <si>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</si>
  <si>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</si>
  <si>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</si>
  <si>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</si>
  <si>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</si>
  <si>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</si>
  <si>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</si>
  <si>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</si>
  <si>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</si>
  <si>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</si>
  <si>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</si>
  <si>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</si>
  <si>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</si>
  <si>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</si>
  <si>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</si>
  <si>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</si>
  <si>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</si>
  <si>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</si>
  <si>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</si>
  <si>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</si>
  <si>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</si>
  <si>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</si>
  <si>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</si>
  <si>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</si>
  <si>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</si>
  <si>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</si>
  <si>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</si>
  <si>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</si>
  <si>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</si>
  <si>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</si>
  <si>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</si>
  <si>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</si>
  <si>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</si>
  <si>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</si>
  <si>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</si>
  <si>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</si>
  <si>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</si>
  <si>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</si>
  <si>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</si>
  <si>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</si>
  <si>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</si>
  <si>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</si>
  <si>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</si>
  <si>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</si>
  <si>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</si>
  <si>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</si>
  <si>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</si>
  <si>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</si>
  <si>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</si>
  <si>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</si>
  <si>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</si>
  <si>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</si>
  <si>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</si>
  <si>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</si>
  <si>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</si>
  <si>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</si>
  <si>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</si>
  <si>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</si>
  <si>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</si>
  <si>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</si>
  <si>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</si>
  <si>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</si>
  <si>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</si>
  <si>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</si>
  <si>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</si>
  <si>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</si>
  <si>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</si>
  <si>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</si>
  <si>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</si>
  <si>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</si>
  <si>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</si>
  <si>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</si>
  <si>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</si>
  <si>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</si>
  <si>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</si>
  <si>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</si>
  <si>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</si>
  <si>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</si>
  <si>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</si>
  <si>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</si>
  <si>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</si>
  <si>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</si>
  <si>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</si>
  <si>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</si>
  <si>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</si>
  <si>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</si>
  <si>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</si>
  <si>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</si>
  <si>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</si>
  <si>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</si>
  <si>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</si>
  <si>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</si>
  <si>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</si>
  <si>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</si>
  <si>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</si>
  <si>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</si>
  <si>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</si>
  <si>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</si>
  <si>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</si>
  <si>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</si>
  <si>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</si>
  <si>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</si>
  <si>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</si>
  <si>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</si>
  <si>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</si>
  <si>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</si>
  <si>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</si>
  <si>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</si>
  <si>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</si>
  <si>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</si>
  <si>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</si>
  <si>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</si>
  <si>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</si>
  <si>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</si>
  <si>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</si>
  <si>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</si>
  <si>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</si>
  <si>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</si>
  <si>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</si>
  <si>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</si>
  <si>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</si>
  <si>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</si>
  <si>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</si>
  <si>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</si>
  <si>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</si>
  <si>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</si>
  <si>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</si>
  <si>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</si>
  <si>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</si>
  <si>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</si>
  <si>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</si>
  <si>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</si>
  <si>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</si>
  <si>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</si>
  <si>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</si>
  <si>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</si>
  <si>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</si>
  <si>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</si>
  <si>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</si>
  <si>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</si>
  <si>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</si>
  <si>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</si>
  <si>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</si>
  <si>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</si>
  <si>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</si>
  <si>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</si>
  <si>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</si>
  <si>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</si>
  <si>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</si>
  <si>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</si>
  <si>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</si>
  <si>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</si>
  <si>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</si>
  <si>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</si>
  <si>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</si>
  <si>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</si>
  <si>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</si>
  <si>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</si>
  <si>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</si>
  <si>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</si>
  <si>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</si>
  <si>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</si>
  <si>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</si>
  <si>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</si>
  <si>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</si>
  <si>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</si>
  <si>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</si>
  <si>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</si>
  <si>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</si>
  <si>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</si>
  <si>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</si>
  <si>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</si>
  <si>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</si>
  <si>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</si>
  <si>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</si>
  <si>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</si>
  <si>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</si>
  <si>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</si>
  <si>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</si>
  <si>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</si>
  <si>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</si>
  <si>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</si>
  <si>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</si>
  <si>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</si>
  <si>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</si>
  <si>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</si>
  <si>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</si>
  <si>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</si>
  <si>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</si>
  <si>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</si>
  <si>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</si>
  <si>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</si>
  <si>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</si>
  <si>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</si>
  <si>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</si>
  <si>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</si>
  <si>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</si>
  <si>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</si>
  <si>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</si>
  <si>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</si>
  <si>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</si>
  <si>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</si>
  <si>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</si>
  <si>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</si>
  <si>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</si>
  <si>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</si>
  <si>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</si>
  <si>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</si>
  <si>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</si>
  <si>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</si>
  <si>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</si>
  <si>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</si>
  <si>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</si>
  <si>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</si>
  <si>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</si>
  <si>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</si>
  <si>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</si>
  <si>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</si>
  <si>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</si>
  <si>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</si>
  <si>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</si>
  <si>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</si>
  <si>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</si>
  <si>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</si>
  <si>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</si>
  <si>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</si>
  <si>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</si>
  <si>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</si>
  <si>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</si>
  <si>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</si>
  <si>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</si>
  <si>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</si>
  <si>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</si>
  <si>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</si>
  <si>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</si>
  <si>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</si>
  <si>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</si>
  <si>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</si>
  <si>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</si>
  <si>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</si>
  <si>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</si>
  <si>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</si>
  <si>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</si>
  <si>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</si>
  <si>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</si>
  <si>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</si>
  <si>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</si>
  <si>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</si>
  <si>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</si>
  <si>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</si>
  <si>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</si>
  <si>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</si>
  <si>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</si>
  <si>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</si>
  <si>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</si>
  <si>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</si>
  <si>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</si>
  <si>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</si>
  <si>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</si>
  <si>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</si>
  <si>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</si>
  <si>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</si>
  <si>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</si>
  <si>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</si>
  <si>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</si>
  <si>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</si>
  <si>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</si>
  <si>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</si>
  <si>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</si>
  <si>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</si>
  <si>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</si>
  <si>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</si>
  <si>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</si>
  <si>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</si>
  <si>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</si>
  <si>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</si>
  <si>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</si>
  <si>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</si>
  <si>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</si>
  <si>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</si>
  <si>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</si>
  <si>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</si>
  <si>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</si>
  <si>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</si>
  <si>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</si>
  <si>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</si>
  <si>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</si>
  <si>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</si>
  <si>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</si>
  <si>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</si>
  <si>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</si>
  <si>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</si>
  <si>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</si>
  <si>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</si>
  <si>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</si>
  <si>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</si>
  <si>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</si>
  <si>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</si>
  <si>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</si>
  <si>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</si>
  <si>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</si>
  <si>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</si>
  <si>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</si>
  <si>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</si>
  <si>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</si>
  <si>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</si>
  <si>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</si>
  <si>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</si>
  <si>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</si>
  <si>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</si>
  <si>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</si>
  <si>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</si>
  <si>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</si>
  <si>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</si>
  <si>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</si>
  <si>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</si>
  <si>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</si>
  <si>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</si>
  <si>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</si>
  <si>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</si>
  <si>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</si>
  <si>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</si>
  <si>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</si>
  <si>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</si>
  <si>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</si>
  <si>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</si>
  <si>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</si>
  <si>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</si>
  <si>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</si>
  <si>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</si>
  <si>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</si>
  <si>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</si>
  <si>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</si>
  <si>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</si>
  <si>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</si>
  <si>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</si>
  <si>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</si>
  <si>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</si>
  <si>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</si>
  <si>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</si>
  <si>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</si>
  <si>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</si>
  <si>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</si>
  <si>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</si>
  <si>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</si>
  <si>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</si>
  <si>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</si>
  <si>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</si>
  <si>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</si>
  <si>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</si>
  <si>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</si>
  <si>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</si>
  <si>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</si>
  <si>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</si>
  <si>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</si>
  <si>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</si>
  <si>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</si>
  <si>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</si>
  <si>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</si>
  <si>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</si>
  <si>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</si>
  <si>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</si>
  <si>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</si>
  <si>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</si>
  <si>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</si>
  <si>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</si>
  <si>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</si>
  <si>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</si>
  <si>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</si>
  <si>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</si>
  <si>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</si>
  <si>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</si>
  <si>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</si>
  <si>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</si>
  <si>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</si>
  <si>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</si>
  <si>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</si>
  <si>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</si>
  <si>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</si>
  <si>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</si>
  <si>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</si>
  <si>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</si>
  <si>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</si>
  <si>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</si>
  <si>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</si>
  <si>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</si>
  <si>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</si>
  <si>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</si>
  <si>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</si>
  <si>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</si>
  <si>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</si>
  <si>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</si>
  <si>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</si>
  <si>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</si>
  <si>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</si>
  <si>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</si>
  <si>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</si>
  <si>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</si>
  <si>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</si>
  <si>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</si>
  <si>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</si>
  <si>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</si>
  <si>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</si>
  <si>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</si>
  <si>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</si>
  <si>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</si>
  <si>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</si>
  <si>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</si>
  <si>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</si>
  <si>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</si>
  <si>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</si>
  <si>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</si>
  <si>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</si>
  <si>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</si>
  <si>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</si>
  <si>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</si>
  <si>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</si>
  <si>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</si>
  <si>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</si>
  <si>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</si>
  <si>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</si>
  <si>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</si>
  <si>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</si>
  <si>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</si>
  <si>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</si>
  <si>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</si>
  <si>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</si>
  <si>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</si>
  <si>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</si>
  <si>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</si>
  <si>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</si>
  <si>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</si>
  <si>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</si>
  <si>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</si>
  <si>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</si>
  <si>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</si>
  <si>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</si>
  <si>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</si>
  <si>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</si>
  <si>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</si>
  <si>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</si>
  <si>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</si>
  <si>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</si>
  <si>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</si>
  <si>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</si>
  <si>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</si>
  <si>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</si>
  <si>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</si>
  <si>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</si>
  <si>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</si>
  <si>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</si>
  <si>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</si>
  <si>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</si>
  <si>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</si>
  <si>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</si>
  <si>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</si>
  <si>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</si>
  <si>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</si>
  <si>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</si>
  <si>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</si>
  <si>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</si>
  <si>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</si>
  <si>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</si>
  <si>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</si>
  <si>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</si>
  <si>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</si>
  <si>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</si>
  <si>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</si>
  <si>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</si>
  <si>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</si>
  <si>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</si>
  <si>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</si>
  <si>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</si>
  <si>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</si>
  <si>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</si>
  <si>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</si>
  <si>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</si>
  <si>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</si>
  <si>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</si>
  <si>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</si>
  <si>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</si>
  <si>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</si>
  <si>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</si>
  <si>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</si>
  <si>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</si>
  <si>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</si>
  <si>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</si>
  <si>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</si>
  <si>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</si>
  <si>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</si>
  <si>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</si>
  <si>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</si>
  <si>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</si>
  <si>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</si>
  <si>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</si>
  <si>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</si>
  <si>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</si>
  <si>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</si>
  <si>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</si>
  <si>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</si>
  <si>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</si>
  <si>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</si>
  <si>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</si>
  <si>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</si>
  <si>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</si>
  <si>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</si>
  <si>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</si>
  <si>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</si>
  <si>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</si>
  <si>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</si>
  <si>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</si>
  <si>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</si>
  <si>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</si>
  <si>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</si>
  <si>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</si>
  <si>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</si>
  <si>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</si>
  <si>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</si>
  <si>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</si>
  <si>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</si>
  <si>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</si>
  <si>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</si>
  <si>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</si>
  <si>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</si>
  <si>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</si>
  <si>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</si>
  <si>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</si>
  <si>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</si>
  <si>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</si>
  <si>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</si>
  <si>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</si>
  <si>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</si>
  <si>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</si>
  <si>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</si>
  <si>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</si>
  <si>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</si>
  <si>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</si>
  <si>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</si>
  <si>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</si>
  <si>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</si>
  <si>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</si>
  <si>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</si>
  <si>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</si>
  <si>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</si>
  <si>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</si>
  <si>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</si>
  <si>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</si>
  <si>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</si>
  <si>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</si>
  <si>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</si>
  <si>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</si>
  <si>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</si>
  <si>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</si>
  <si>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</si>
  <si>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</si>
  <si>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</si>
  <si>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</si>
  <si>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</si>
  <si>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</si>
  <si>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</si>
  <si>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</si>
  <si>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</si>
  <si>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</si>
  <si>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</si>
  <si>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</si>
  <si>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</si>
  <si>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</si>
  <si>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</si>
  <si>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</si>
  <si>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</si>
  <si>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</si>
  <si>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</si>
  <si>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</si>
  <si>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</si>
  <si>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</si>
  <si>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</si>
  <si>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</si>
  <si>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</si>
  <si>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</si>
  <si>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</si>
  <si>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</si>
  <si>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</si>
  <si>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</si>
  <si>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</si>
  <si>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</si>
  <si>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</si>
  <si>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</si>
  <si>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</si>
  <si>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</si>
  <si>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</si>
  <si>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</si>
  <si>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</si>
  <si>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</si>
  <si>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</si>
  <si>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</si>
  <si>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</si>
  <si>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</si>
  <si>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</si>
  <si>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</si>
  <si>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</si>
  <si>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</si>
  <si>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</si>
  <si>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</si>
  <si>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</si>
  <si>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</si>
  <si>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</si>
  <si>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</si>
  <si>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</si>
  <si>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</si>
  <si>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</si>
  <si>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</si>
  <si>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</si>
  <si>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</si>
  <si>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</si>
  <si>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</si>
  <si>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</si>
  <si>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</si>
  <si>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</si>
  <si>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</si>
  <si>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</si>
  <si>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</si>
  <si>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</si>
  <si>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</si>
  <si>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</si>
  <si>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</si>
  <si>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</si>
  <si>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</si>
  <si>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</si>
  <si>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</si>
  <si>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</si>
  <si>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</si>
  <si>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</si>
  <si>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</si>
  <si>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</si>
  <si>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</si>
  <si>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</si>
  <si>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</si>
  <si>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</si>
  <si>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</si>
  <si>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</si>
  <si>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</si>
  <si>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</si>
  <si>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</si>
  <si>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</si>
  <si>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</si>
  <si>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</si>
  <si>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</si>
  <si>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</si>
  <si>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</si>
  <si>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</si>
  <si>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</si>
  <si>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</si>
  <si>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</si>
  <si>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</si>
  <si>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</si>
  <si>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</si>
  <si>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</si>
  <si>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</si>
  <si>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</si>
  <si>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</si>
  <si>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</si>
  <si>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</si>
  <si>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</si>
  <si>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</si>
  <si>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</si>
  <si>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</si>
  <si>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</si>
  <si>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</si>
  <si>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</si>
  <si>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</si>
  <si>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</si>
  <si>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</si>
  <si>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</si>
  <si>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</si>
  <si>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</si>
  <si>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</si>
  <si>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</si>
  <si>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</si>
  <si>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</si>
  <si>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</si>
  <si>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</si>
  <si>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</si>
  <si>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</si>
  <si>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</si>
  <si>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</si>
  <si>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</si>
  <si>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</si>
  <si>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</si>
  <si>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</si>
  <si>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</si>
  <si>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</si>
  <si>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</si>
  <si>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</si>
  <si>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</si>
  <si>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</si>
  <si>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</si>
  <si>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</si>
  <si>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</si>
  <si>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</si>
  <si>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</si>
  <si>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</si>
  <si>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</si>
  <si>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</si>
  <si>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</si>
  <si>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</si>
  <si>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</si>
  <si>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</si>
  <si>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</si>
  <si>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</si>
  <si>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</si>
  <si>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</si>
  <si>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</si>
  <si>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</si>
  <si>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</si>
  <si>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</si>
  <si>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</si>
  <si>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</si>
  <si>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</si>
  <si>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</si>
  <si>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</si>
  <si>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</si>
  <si>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</si>
  <si>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</si>
  <si>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</si>
  <si>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</si>
  <si>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</si>
  <si>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</si>
  <si>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</si>
  <si>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</si>
  <si>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</si>
  <si>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</si>
  <si>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</si>
  <si>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</si>
  <si>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</si>
  <si>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</si>
  <si>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</si>
  <si>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</si>
  <si>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</si>
  <si>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</si>
  <si>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</si>
  <si>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</si>
  <si>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</si>
  <si>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</si>
  <si>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</si>
  <si>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</si>
  <si>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</si>
  <si>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</si>
  <si>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</si>
  <si>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</si>
  <si>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</si>
  <si>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</si>
  <si>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</si>
  <si>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</si>
  <si>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</si>
  <si>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</si>
  <si>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</si>
  <si>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</si>
  <si>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</si>
  <si>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</si>
  <si>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</si>
  <si>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</si>
  <si>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</si>
  <si>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</si>
  <si>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</si>
  <si>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</si>
  <si>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</si>
  <si>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</si>
  <si>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</si>
  <si>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</si>
  <si>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</si>
  <si>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</si>
  <si>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</si>
  <si>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</si>
  <si>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</si>
  <si>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</si>
  <si>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</si>
  <si>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</si>
  <si>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</si>
  <si>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</si>
  <si>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</si>
  <si>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</si>
  <si>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</si>
  <si>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</si>
  <si>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</si>
  <si>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</si>
  <si>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</si>
  <si>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</si>
  <si>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</si>
  <si>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</si>
  <si>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</si>
  <si>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</si>
  <si>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</si>
  <si>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</si>
  <si>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</si>
  <si>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</si>
  <si>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</si>
  <si>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</si>
  <si>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</si>
  <si>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</si>
  <si>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</si>
  <si>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</si>
  <si>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</si>
  <si>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</si>
  <si>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</si>
  <si>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</si>
  <si>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</si>
  <si>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</si>
  <si>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</si>
  <si>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</si>
  <si>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</si>
  <si>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</si>
  <si>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</si>
  <si>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</si>
  <si>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</si>
  <si>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</si>
  <si>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</si>
  <si>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</si>
  <si>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</si>
  <si>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</si>
  <si>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</si>
  <si>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</si>
  <si>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</si>
  <si>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</si>
  <si>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</si>
  <si>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</si>
  <si>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</si>
  <si>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</si>
  <si>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</si>
  <si>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</si>
  <si>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</si>
  <si>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</si>
  <si>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</si>
  <si>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</si>
  <si>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</si>
  <si>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</si>
  <si>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</si>
  <si>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</si>
  <si>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</si>
  <si>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</si>
  <si>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</si>
  <si>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</si>
  <si>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</si>
  <si>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</si>
  <si>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</si>
  <si>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</si>
  <si>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</si>
  <si>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</si>
  <si>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</si>
  <si>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</si>
  <si>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</si>
  <si>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</si>
  <si>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</si>
  <si>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</si>
  <si>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</si>
  <si>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</si>
  <si>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</si>
  <si>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</si>
  <si>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</si>
  <si>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</si>
  <si>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</si>
  <si>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</si>
  <si>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</si>
  <si>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</si>
  <si>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</si>
  <si>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</si>
  <si>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</si>
  <si>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</si>
  <si>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</si>
  <si>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</si>
  <si>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</si>
  <si>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</si>
  <si>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</si>
  <si>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</si>
  <si>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</si>
  <si>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</si>
  <si>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</si>
  <si>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</si>
  <si>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</si>
  <si>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</si>
  <si>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</si>
  <si>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</si>
  <si>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</si>
  <si>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</si>
  <si>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</si>
  <si>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</si>
  <si>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</si>
  <si>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</si>
  <si>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</si>
  <si>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</si>
  <si>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</si>
  <si>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</si>
  <si>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</si>
  <si>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</si>
  <si>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</si>
  <si>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</si>
  <si>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</si>
  <si>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</si>
  <si>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</si>
  <si>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</si>
  <si>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</si>
  <si>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</si>
  <si>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</si>
  <si>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</si>
  <si>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</si>
  <si>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</si>
  <si>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</si>
  <si>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</si>
  <si>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</si>
  <si>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</si>
  <si>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</si>
  <si>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</si>
  <si>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</si>
  <si>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</si>
  <si>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</si>
  <si>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</si>
  <si>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</si>
  <si>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</si>
  <si>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</si>
  <si>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</si>
  <si>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</si>
  <si>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</si>
  <si>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</si>
  <si>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</si>
  <si>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</si>
  <si>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</si>
  <si>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</si>
  <si>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</si>
  <si>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</si>
  <si>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</si>
  <si>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</si>
  <si>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</si>
  <si>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</si>
  <si>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</si>
  <si>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</si>
  <si>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</si>
  <si>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</si>
  <si>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</si>
  <si>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</si>
  <si>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</si>
  <si>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</si>
  <si>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</si>
  <si>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</si>
  <si>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</si>
  <si>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</si>
  <si>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</si>
  <si>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</si>
  <si>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</si>
  <si>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</si>
  <si>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</si>
  <si>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</si>
  <si>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</si>
  <si>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</si>
  <si>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</si>
  <si>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</si>
  <si>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</si>
  <si>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</si>
  <si>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</si>
  <si>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</si>
  <si>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</si>
  <si>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</si>
  <si>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</si>
  <si>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</si>
  <si>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</si>
  <si>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</si>
  <si>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</si>
  <si>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</si>
  <si>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</si>
  <si>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</si>
  <si>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</si>
  <si>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</si>
  <si>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</si>
  <si>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</si>
  <si>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</si>
  <si>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</si>
  <si>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</si>
  <si>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</si>
  <si>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</si>
  <si>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</si>
  <si>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</si>
  <si>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</si>
  <si>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</si>
  <si>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</si>
  <si>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</si>
  <si>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</si>
  <si>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</si>
  <si>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</si>
  <si>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</si>
  <si>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</si>
  <si>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</si>
  <si>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</si>
  <si>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</si>
  <si>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</si>
  <si>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</si>
  <si>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</si>
  <si>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</si>
  <si>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</si>
  <si>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</si>
  <si>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</si>
  <si>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</si>
  <si>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</si>
  <si>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</si>
  <si>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</si>
  <si>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</si>
  <si>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</si>
  <si>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</si>
  <si>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</si>
  <si>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</si>
  <si>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</si>
  <si>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</si>
  <si>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</si>
  <si>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</si>
  <si>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</si>
  <si>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</si>
  <si>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</si>
  <si>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</si>
  <si>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</si>
  <si>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</si>
  <si>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</si>
  <si>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</si>
  <si>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</si>
  <si>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</si>
  <si>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</si>
  <si>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</si>
  <si>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</si>
  <si>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</si>
  <si>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</si>
  <si>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</si>
  <si>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</si>
  <si>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</si>
  <si>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</si>
  <si>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</si>
  <si>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</si>
  <si>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</si>
  <si>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</si>
  <si>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</si>
  <si>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</si>
  <si>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</si>
  <si>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</si>
  <si>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</si>
  <si>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</si>
  <si>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</si>
  <si>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</si>
  <si>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</si>
  <si>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</si>
  <si>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</si>
  <si>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</si>
  <si>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</si>
  <si>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</si>
  <si>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</si>
  <si>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</si>
  <si>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</si>
  <si>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</si>
  <si>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</si>
  <si>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</si>
  <si>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</si>
  <si>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</si>
  <si>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</si>
  <si>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</si>
  <si>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</si>
  <si>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</si>
  <si>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</si>
  <si>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</si>
  <si>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</si>
  <si>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</si>
  <si>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</si>
  <si>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</si>
  <si>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</si>
  <si>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</si>
  <si>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</si>
  <si>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</si>
  <si>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</si>
  <si>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</si>
  <si>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</si>
  <si>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</si>
  <si>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</si>
  <si>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</si>
  <si>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</si>
  <si>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</si>
  <si>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</si>
  <si>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</si>
  <si>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</si>
  <si>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</si>
  <si>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</si>
  <si>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</si>
  <si>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</si>
  <si>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</si>
  <si>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</si>
  <si>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</si>
  <si>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</si>
  <si>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</si>
  <si>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</si>
  <si>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</si>
  <si>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</si>
  <si>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</si>
  <si>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</si>
  <si>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</si>
  <si>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</si>
  <si>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</si>
  <si>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</si>
  <si>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</si>
  <si>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</si>
  <si>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</si>
  <si>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</si>
  <si>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</si>
  <si>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</si>
  <si>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</si>
  <si>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</si>
  <si>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</si>
  <si>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</si>
  <si>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</si>
  <si>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</si>
  <si>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</si>
  <si>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</si>
  <si>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</si>
  <si>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</si>
  <si>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</si>
  <si>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</si>
  <si>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</si>
  <si>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</si>
  <si>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</si>
  <si>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</si>
  <si>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</si>
  <si>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</si>
  <si>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</si>
  <si>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</si>
  <si>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</si>
  <si>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</si>
  <si>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</si>
  <si>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</si>
  <si>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</si>
  <si>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</si>
  <si>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</si>
  <si>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</si>
  <si>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</si>
  <si>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</si>
  <si>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</si>
  <si>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</si>
  <si>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</si>
  <si>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</si>
  <si>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</si>
  <si>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</si>
  <si>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</si>
  <si>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</si>
  <si>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</si>
  <si>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</si>
  <si>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</si>
  <si>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</si>
  <si>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</si>
  <si>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</si>
  <si>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</si>
  <si>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</si>
  <si>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</si>
  <si>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</si>
  <si>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</si>
  <si>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</si>
  <si>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</si>
  <si>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</si>
  <si>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</si>
  <si>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</si>
  <si>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</si>
  <si>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</si>
  <si>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</si>
  <si>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</si>
  <si>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</si>
  <si>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</si>
  <si>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</si>
  <si>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</si>
  <si>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</si>
  <si>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</si>
  <si>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</si>
  <si>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</si>
  <si>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</si>
  <si>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</si>
  <si>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</si>
  <si>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</si>
  <si>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</si>
  <si>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</si>
  <si>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</si>
  <si>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</si>
  <si>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</si>
  <si>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</si>
  <si>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</si>
  <si>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</si>
  <si>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</si>
  <si>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</si>
  <si>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</si>
  <si>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</si>
  <si>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</si>
  <si>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</si>
  <si>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</si>
  <si>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</si>
  <si>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</si>
  <si>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</si>
  <si>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</si>
  <si>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</si>
  <si>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</si>
  <si>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</si>
  <si>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</si>
  <si>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</si>
  <si>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</si>
  <si>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</si>
  <si>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</si>
  <si>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</si>
  <si>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</si>
  <si>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</si>
  <si>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</si>
  <si>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</si>
  <si>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</si>
  <si>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</si>
  <si>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</si>
  <si>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</si>
  <si>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</si>
  <si>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</si>
  <si>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</si>
  <si>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</si>
  <si>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</si>
  <si>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</si>
  <si>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</si>
  <si>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</si>
  <si>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</si>
  <si>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</si>
  <si>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</si>
  <si>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</si>
  <si>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</si>
  <si>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</si>
  <si>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</si>
  <si>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</si>
  <si>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</si>
  <si>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</si>
  <si>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</si>
  <si>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</si>
  <si>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</si>
  <si>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</si>
  <si>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</si>
  <si>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</si>
  <si>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</si>
  <si>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</si>
  <si>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</si>
  <si>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</si>
  <si>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</si>
  <si>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</si>
  <si>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</si>
  <si>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</si>
  <si>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</si>
  <si>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</si>
  <si>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</si>
  <si>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</si>
  <si>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</si>
  <si>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</si>
  <si>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</si>
  <si>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</si>
  <si>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</si>
  <si>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</si>
  <si>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</si>
  <si>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</si>
  <si>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</si>
  <si>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</si>
  <si>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</si>
  <si>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</si>
  <si>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</si>
  <si>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</si>
  <si>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</si>
  <si>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</si>
  <si>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</si>
  <si>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</si>
  <si>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</si>
  <si>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</si>
  <si>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</si>
  <si>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</si>
  <si>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</si>
  <si>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</si>
  <si>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</si>
  <si>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</si>
  <si>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</si>
  <si>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</si>
  <si>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</si>
  <si>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</si>
  <si>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</si>
  <si>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</si>
  <si>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</si>
  <si>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</si>
  <si>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</si>
  <si>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</si>
  <si>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</si>
  <si>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</si>
  <si>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</si>
  <si>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</si>
  <si>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</si>
  <si>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</si>
  <si>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</si>
  <si>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</si>
  <si>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</si>
  <si>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</si>
  <si>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</si>
  <si>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</si>
  <si>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</si>
  <si>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</si>
  <si>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</si>
  <si>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</si>
  <si>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</si>
  <si>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</si>
  <si>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</si>
  <si>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</si>
  <si>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</si>
  <si>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</si>
  <si>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</si>
  <si>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</si>
  <si>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</si>
  <si>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</si>
  <si>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</si>
  <si>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</si>
  <si>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</si>
  <si>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</si>
  <si>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</si>
  <si>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</si>
  <si>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</si>
  <si>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</si>
  <si>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</si>
  <si>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</si>
  <si>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</si>
  <si>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</si>
  <si>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</si>
  <si>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</si>
  <si>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</si>
  <si>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</si>
  <si>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</si>
  <si>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</si>
  <si>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</si>
  <si>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</si>
  <si>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</si>
  <si>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</si>
  <si>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</si>
  <si>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</si>
  <si>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</si>
  <si>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</si>
  <si>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</si>
  <si>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</si>
  <si>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</si>
  <si>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</si>
  <si>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</si>
  <si>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</si>
  <si>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</si>
  <si>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</si>
  <si>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</si>
  <si>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</si>
  <si>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</si>
  <si>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</si>
  <si>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</si>
  <si>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</si>
  <si>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</si>
  <si>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</si>
  <si>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</si>
  <si>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</si>
  <si>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</si>
  <si>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</si>
  <si>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</si>
  <si>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</si>
  <si>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</si>
  <si>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</si>
  <si>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</si>
  <si>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</si>
  <si>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</si>
  <si>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</si>
  <si>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</si>
  <si>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</si>
  <si>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</si>
  <si>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</si>
  <si>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</si>
  <si>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</si>
  <si>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</si>
  <si>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</si>
  <si>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</si>
  <si>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</si>
  <si>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</si>
  <si>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</si>
  <si>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</si>
  <si>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</si>
  <si>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</si>
  <si>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</si>
  <si>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</si>
  <si>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</si>
  <si>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</si>
  <si>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</si>
  <si>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</si>
  <si>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</si>
  <si>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</si>
  <si>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</si>
  <si>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</si>
  <si>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</si>
  <si>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</si>
  <si>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</si>
  <si>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</si>
  <si>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</si>
  <si>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</si>
  <si>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</si>
  <si>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</si>
  <si>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</si>
  <si>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</si>
  <si>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</si>
  <si>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</si>
  <si>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</si>
  <si>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</si>
  <si>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</si>
  <si>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</si>
  <si>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</si>
  <si>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</si>
  <si>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</si>
  <si>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</si>
  <si>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</si>
  <si>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</si>
  <si>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</si>
  <si>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</si>
  <si>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</si>
  <si>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</si>
  <si>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</si>
  <si>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</si>
  <si>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</si>
  <si>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</si>
  <si>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</si>
  <si>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</si>
  <si>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</si>
  <si>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</si>
  <si>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</si>
  <si>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</si>
  <si>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</si>
  <si>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</si>
  <si>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</si>
  <si>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</si>
  <si>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</si>
  <si>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</si>
  <si>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</si>
  <si>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</si>
  <si>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</si>
  <si>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</si>
  <si>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</si>
  <si>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</si>
  <si>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</si>
  <si>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</si>
  <si>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</si>
  <si>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</si>
  <si>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</si>
  <si>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</si>
  <si>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</si>
  <si>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</si>
  <si>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</si>
  <si>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</si>
  <si>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</si>
  <si>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</si>
  <si>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</si>
  <si>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</si>
  <si>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</si>
  <si>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</si>
  <si>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</si>
  <si>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</si>
  <si>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</si>
  <si>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</si>
  <si>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</si>
  <si>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</si>
  <si>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</si>
  <si>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</si>
  <si>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</si>
  <si>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</si>
  <si>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</si>
  <si>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</si>
  <si>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</si>
  <si>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</si>
  <si>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</si>
  <si>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</si>
  <si>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</si>
  <si>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</si>
  <si>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</si>
  <si>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</si>
  <si>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</si>
  <si>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</si>
  <si>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</si>
  <si>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</si>
  <si>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</si>
  <si>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</si>
  <si>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</si>
  <si>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</si>
  <si>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</si>
  <si>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</si>
  <si>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</si>
  <si>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</si>
  <si>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</si>
  <si>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</si>
  <si>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</si>
  <si>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</si>
  <si>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</si>
  <si>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</si>
  <si>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</si>
  <si>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</si>
  <si>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</si>
  <si>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</si>
  <si>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</si>
  <si>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</si>
  <si>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</si>
  <si>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</si>
  <si>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</si>
  <si>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</si>
  <si>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</si>
  <si>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</si>
  <si>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</si>
  <si>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</si>
  <si>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</si>
  <si>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</si>
  <si>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</si>
  <si>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</si>
  <si>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</si>
  <si>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</si>
  <si>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</si>
  <si>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</si>
  <si>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</si>
  <si>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</si>
  <si>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</si>
  <si>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</si>
  <si>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</si>
  <si>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</si>
  <si>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</si>
  <si>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</si>
  <si>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</si>
  <si>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</si>
  <si>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</si>
  <si>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</si>
  <si>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</si>
  <si>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</si>
  <si>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</si>
  <si>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</si>
  <si>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</si>
  <si>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</si>
  <si>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</si>
  <si>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</si>
  <si>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</si>
  <si>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</si>
  <si>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</si>
  <si>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</si>
  <si>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</si>
  <si>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</si>
  <si>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</si>
  <si>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</si>
  <si>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</si>
  <si>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</si>
  <si>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</si>
  <si>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</si>
  <si>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</si>
  <si>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</si>
  <si>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</si>
  <si>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</si>
  <si>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</si>
  <si>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</si>
  <si>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</si>
  <si>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</si>
  <si>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</si>
  <si>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</si>
  <si>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</si>
  <si>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</si>
  <si>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</si>
  <si>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</si>
  <si>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</si>
  <si>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</si>
  <si>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</si>
  <si>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</si>
  <si>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</si>
  <si>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</si>
  <si>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</si>
  <si>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</si>
  <si>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</si>
  <si>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</si>
  <si>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</si>
  <si>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</si>
  <si>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</si>
  <si>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</si>
  <si>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</si>
  <si>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</si>
  <si>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</si>
  <si>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</si>
  <si>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</si>
  <si>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</si>
  <si>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</si>
  <si>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</si>
  <si>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</si>
  <si>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</si>
  <si>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</si>
  <si>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</si>
  <si>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</si>
  <si>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</si>
  <si>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</si>
  <si>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</si>
  <si>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</si>
  <si>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</si>
  <si>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</si>
  <si>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</si>
  <si>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</si>
  <si>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</si>
  <si>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</si>
  <si>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</si>
  <si>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</si>
  <si>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</si>
  <si>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</si>
  <si>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</si>
  <si>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</si>
  <si>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</si>
  <si>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</si>
  <si>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</si>
  <si>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</si>
  <si>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</si>
  <si>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</si>
  <si>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</si>
  <si>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</si>
  <si>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</si>
  <si>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</si>
  <si>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</si>
  <si>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</si>
  <si>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</si>
  <si>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</si>
  <si>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</si>
  <si>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</si>
  <si>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</si>
  <si>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</si>
  <si>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</si>
  <si>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</si>
  <si>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</si>
  <si>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</si>
  <si>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</si>
  <si>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</si>
  <si>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</si>
  <si>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</si>
  <si>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</si>
  <si>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</si>
  <si>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</si>
  <si>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</si>
  <si>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</si>
  <si>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</si>
  <si>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</si>
  <si>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</si>
  <si>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</si>
  <si>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</si>
  <si>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</si>
  <si>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</si>
  <si>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</si>
  <si>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Supercomputing Lead</t>
  </si>
  <si>
    <t>Co-Founder, President, Infrastructure lead</t>
  </si>
  <si>
    <t>Trevor Cai</t>
  </si>
  <si>
    <t>David Farhi</t>
  </si>
  <si>
    <t>Chris Hesse</t>
  </si>
  <si>
    <t>Infrastructure usability co-lead</t>
  </si>
  <si>
    <t>Shantanu Jain</t>
  </si>
  <si>
    <t>Kyle Kosic</t>
  </si>
  <si>
    <t>Alex Paino</t>
  </si>
  <si>
    <t>Architecture &amp; data vice lead for GPT-4</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</si>
  <si>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</si>
  <si>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</si>
  <si>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</si>
  <si>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</si>
  <si>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</si>
  <si>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</si>
  <si>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</si>
  <si>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</si>
  <si>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</si>
  <si>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</si>
  <si>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</si>
  <si>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</si>
  <si>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</si>
  <si>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</si>
  <si>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</si>
  <si>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</si>
  <si>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</si>
  <si>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</si>
  <si>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</si>
  <si>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</si>
  <si>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</si>
  <si>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</si>
  <si>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</si>
  <si>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</si>
  <si>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</si>
  <si>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</si>
  <si>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</si>
  <si>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</si>
  <si>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</si>
  <si>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</si>
  <si>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</si>
  <si>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</si>
  <si>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</si>
  <si>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</si>
  <si>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</si>
  <si>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</si>
  <si>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</si>
  <si>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</si>
  <si>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</si>
  <si>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</si>
  <si>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</si>
  <si>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</si>
  <si>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</si>
  <si>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</si>
  <si>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</si>
  <si>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</si>
  <si>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</si>
  <si>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</si>
  <si>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</si>
  <si>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</si>
  <si>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</si>
  <si>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</si>
  <si>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</si>
  <si>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</si>
  <si>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</si>
  <si>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</si>
  <si>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</si>
  <si>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</si>
  <si>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</si>
  <si>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</si>
  <si>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</si>
  <si>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</si>
  <si>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</si>
  <si>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</si>
  <si>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</si>
  <si>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</si>
  <si>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</si>
  <si>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</si>
  <si>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</si>
  <si>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</si>
  <si>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</si>
  <si>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</si>
  <si>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</si>
  <si>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</si>
  <si>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</si>
  <si>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</si>
  <si>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</si>
  <si>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</si>
  <si>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</si>
  <si>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</si>
  <si>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</si>
  <si>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</si>
  <si>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</si>
  <si>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</si>
  <si>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</si>
  <si>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</si>
  <si>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</si>
  <si>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</si>
  <si>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</si>
  <si>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</si>
  <si>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</si>
  <si>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</si>
  <si>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</si>
  <si>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</si>
  <si>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</si>
  <si>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</si>
  <si>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</si>
  <si>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</si>
  <si>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</si>
  <si>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</si>
  <si>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</si>
  <si>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</si>
  <si>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</si>
  <si>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</si>
  <si>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</si>
  <si>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</si>
  <si>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</si>
  <si>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</si>
  <si>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</si>
  <si>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</si>
  <si>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</si>
  <si>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</si>
  <si>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</si>
  <si>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</si>
  <si>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</si>
  <si>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</si>
  <si>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</si>
  <si>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</si>
  <si>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</si>
  <si>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</si>
  <si>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</si>
  <si>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</si>
  <si>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</si>
  <si>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</si>
  <si>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</si>
  <si>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</si>
  <si>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</si>
  <si>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</si>
  <si>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</si>
  <si>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</si>
  <si>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</si>
  <si>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</si>
  <si>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</si>
  <si>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</si>
  <si>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</si>
  <si>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</si>
  <si>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</si>
  <si>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</si>
  <si>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</si>
  <si>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</si>
  <si>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</si>
  <si>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</si>
  <si>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</si>
  <si>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</si>
  <si>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</si>
  <si>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</si>
  <si>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</si>
  <si>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</si>
  <si>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</si>
  <si>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</si>
  <si>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</si>
  <si>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</si>
  <si>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</si>
  <si>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</si>
  <si>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</si>
  <si>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</si>
  <si>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</si>
  <si>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</si>
  <si>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</si>
  <si>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</si>
  <si>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</si>
  <si>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</si>
  <si>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</si>
  <si>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</si>
  <si>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</si>
  <si>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</si>
  <si>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</si>
  <si>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</si>
  <si>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</si>
  <si>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</si>
  <si>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</si>
  <si>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</si>
  <si>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</si>
  <si>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</si>
  <si>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</si>
  <si>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</si>
  <si>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</si>
  <si>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</si>
  <si>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</si>
  <si>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</si>
  <si>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</si>
  <si>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</si>
  <si>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Vaswani, Shazeer.</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</si>
  <si>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</si>
  <si>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</si>
  <si>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</si>
  <si>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</si>
  <si>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</si>
  <si>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</si>
  <si>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</si>
  <si>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</si>
  <si>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</si>
  <si>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</si>
  <si>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</si>
  <si>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</si>
  <si>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</si>
  <si>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</si>
  <si>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</si>
  <si>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</si>
  <si>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</si>
  <si>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</si>
  <si>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</si>
  <si>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</si>
  <si>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</si>
  <si>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</si>
  <si>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</si>
  <si>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</si>
  <si>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</si>
  <si>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</si>
  <si>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</si>
  <si>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</si>
  <si>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</si>
  <si>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</si>
  <si>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</si>
  <si>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</si>
  <si>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max(0, a)</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</si>
  <si>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</si>
  <si>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</si>
  <si>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</si>
  <si>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</si>
  <si>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</si>
  <si>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</si>
  <si>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</si>
  <si>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</si>
  <si>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</si>
  <si>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125m at 1.1B</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</si>
  <si>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</si>
  <si>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</si>
  <si>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</si>
  <si>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</si>
  <si>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</si>
  <si>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</si>
  <si>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</si>
  <si>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</si>
  <si>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</si>
  <si>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</si>
  <si>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</si>
  <si>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</si>
  <si>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</si>
  <si>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</si>
  <si>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</si>
  <si>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</si>
  <si>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</si>
  <si>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</si>
  <si>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</si>
  <si>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</si>
  <si>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</si>
  <si>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</si>
  <si>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</si>
  <si>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</si>
  <si>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</si>
  <si>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</si>
  <si>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</si>
  <si>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</si>
  <si>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</si>
  <si>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</si>
  <si>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</si>
  <si>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</si>
  <si>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</si>
  <si>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</si>
  <si>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</si>
  <si>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</si>
  <si>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</si>
  <si>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</si>
  <si>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</si>
  <si>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</si>
  <si>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</si>
  <si>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</si>
  <si>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</si>
  <si>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</si>
  <si>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</si>
  <si>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</si>
  <si>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</si>
  <si>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</si>
  <si>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</si>
  <si>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</si>
  <si>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</si>
  <si>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</si>
  <si>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</si>
  <si>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</si>
  <si>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</si>
  <si>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</si>
  <si>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</si>
  <si>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</si>
  <si>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</si>
  <si>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</si>
  <si>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</si>
  <si>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</si>
  <si>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</si>
  <si>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</si>
  <si>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</si>
  <si>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</si>
  <si>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</si>
  <si>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alex@openai.com</t>
  </si>
  <si>
    <t>oleg@openai.com</t>
  </si>
  <si>
    <t>Gotta Learn Fast (4/23/18)</t>
  </si>
  <si>
    <t>Vicki Pfau</t>
  </si>
  <si>
    <t>vickipfau@openai.com</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</si>
  <si>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</si>
  <si>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</si>
  <si>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</si>
  <si>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</si>
  <si>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</si>
  <si>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</si>
  <si>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</si>
  <si>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</si>
  <si>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</si>
  <si>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</si>
  <si>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</si>
  <si>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</si>
  <si>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</si>
  <si>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</si>
  <si>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</si>
  <si>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</si>
  <si>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</si>
  <si>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</si>
  <si>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</si>
  <si>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</si>
  <si>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</si>
  <si>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</si>
  <si>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</si>
  <si>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</si>
  <si>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</si>
  <si>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</si>
  <si>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Baselines (7/27/17 commit)</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</si>
  <si>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</si>
  <si>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</si>
  <si>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</si>
  <si>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</si>
  <si>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</si>
  <si>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</si>
  <si>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</si>
  <si>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</si>
  <si>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</si>
  <si>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</si>
  <si>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</si>
  <si>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</si>
  <si>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</si>
  <si>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</si>
  <si>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</si>
  <si>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</si>
  <si>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</si>
  <si>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</si>
  <si>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</si>
  <si>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</si>
  <si>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</si>
  <si>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</si>
  <si>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</si>
  <si>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</si>
  <si>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</si>
  <si>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</si>
  <si>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</si>
  <si>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</si>
  <si>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</si>
  <si>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</si>
  <si>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</si>
  <si>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</si>
  <si>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</si>
  <si>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</si>
  <si>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</si>
  <si>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</si>
  <si>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</si>
  <si>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</si>
  <si>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</si>
  <si>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</si>
  <si>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</si>
  <si>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40 at 210m</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</si>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</sst>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
      <u/>
      <sz val="11"/>
      <color theme="10"/>
      <name val="Arial"/>
      <family val="2"/>
    </font>
    <font>
      <sz val="12"/>
      <color theme="1"/>
      <name val="Arial"/>
      <family val="2"/>
    </font>
    <font>
      <sz val="10"/>
      <name val="Arial"/>
      <family val="2"/>
    </font>
    <font>
      <b/>
      <sz val="10"/>
      <name val="Arial"/>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5" fillId="0" borderId="0"/>
    <xf numFmtId="0" fontId="10" fillId="0" borderId="0" applyNumberFormat="0" applyFill="0" applyBorder="0" applyAlignment="0" applyProtection="0"/>
    <xf numFmtId="0" fontId="6" fillId="0" borderId="0"/>
    <xf numFmtId="0" fontId="11" fillId="0" borderId="0" applyNumberFormat="0" applyFill="0" applyBorder="0" applyAlignment="0" applyProtection="0"/>
  </cellStyleXfs>
  <cellXfs count="118">
    <xf numFmtId="0" fontId="0" fillId="0" borderId="0" xfId="0"/>
    <xf numFmtId="0" fontId="6" fillId="0" borderId="0" xfId="1" applyFont="1"/>
    <xf numFmtId="0" fontId="6" fillId="0" borderId="0" xfId="1" applyFont="1" applyAlignment="1">
      <alignment horizontal="right"/>
    </xf>
    <xf numFmtId="3" fontId="6" fillId="0" borderId="0" xfId="1" applyNumberFormat="1" applyFont="1" applyAlignment="1">
      <alignment horizontal="right"/>
    </xf>
    <xf numFmtId="14" fontId="6" fillId="0" borderId="0" xfId="1" applyNumberFormat="1" applyFont="1" applyAlignment="1">
      <alignment horizontal="right"/>
    </xf>
    <xf numFmtId="3" fontId="6" fillId="0" borderId="0" xfId="1" applyNumberFormat="1" applyFont="1"/>
    <xf numFmtId="3" fontId="6" fillId="0" borderId="0" xfId="1" quotePrefix="1" applyNumberFormat="1" applyFont="1" applyAlignment="1">
      <alignment horizontal="right"/>
    </xf>
    <xf numFmtId="0" fontId="6" fillId="0" borderId="0" xfId="1" quotePrefix="1" applyFont="1"/>
    <xf numFmtId="4" fontId="6" fillId="0" borderId="0" xfId="1" applyNumberFormat="1" applyFont="1"/>
    <xf numFmtId="14" fontId="7" fillId="0" borderId="0" xfId="1" applyNumberFormat="1" applyFont="1" applyAlignment="1">
      <alignment horizontal="right"/>
    </xf>
    <xf numFmtId="3" fontId="7" fillId="0" borderId="0" xfId="1" applyNumberFormat="1" applyFont="1" applyAlignment="1">
      <alignment horizontal="right"/>
    </xf>
    <xf numFmtId="0" fontId="7" fillId="0" borderId="0" xfId="1" applyFont="1" applyAlignment="1">
      <alignment horizontal="right"/>
    </xf>
    <xf numFmtId="0" fontId="8" fillId="0" borderId="0" xfId="1" applyFont="1"/>
    <xf numFmtId="0" fontId="8" fillId="0" borderId="0" xfId="1" applyFont="1" applyAlignment="1">
      <alignment horizontal="right"/>
    </xf>
    <xf numFmtId="14" fontId="8" fillId="0" borderId="0" xfId="1" applyNumberFormat="1" applyFont="1" applyAlignment="1">
      <alignment horizontal="right"/>
    </xf>
    <xf numFmtId="3" fontId="8" fillId="0" borderId="0" xfId="1" applyNumberFormat="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0" fontId="9" fillId="0" borderId="0" xfId="1" applyFont="1" applyAlignment="1">
      <alignment horizontal="right"/>
    </xf>
    <xf numFmtId="9" fontId="6" fillId="0" borderId="0" xfId="1" applyNumberFormat="1" applyFont="1"/>
    <xf numFmtId="164" fontId="6" fillId="0" borderId="0" xfId="1" applyNumberFormat="1" applyFont="1"/>
    <xf numFmtId="10" fontId="6" fillId="0" borderId="0" xfId="1" applyNumberFormat="1" applyFont="1"/>
    <xf numFmtId="164" fontId="8" fillId="0" borderId="0" xfId="1" applyNumberFormat="1" applyFont="1"/>
    <xf numFmtId="10" fontId="8" fillId="0" borderId="0" xfId="1" applyNumberFormat="1" applyFont="1"/>
    <xf numFmtId="0" fontId="8" fillId="0" borderId="0" xfId="1" applyFont="1" applyAlignment="1">
      <alignment horizontal="left"/>
    </xf>
    <xf numFmtId="0" fontId="6" fillId="0" borderId="0" xfId="1" applyFont="1" applyAlignment="1">
      <alignment horizontal="left"/>
    </xf>
    <xf numFmtId="0" fontId="6" fillId="0" borderId="0" xfId="1" applyFont="1" applyAlignment="1">
      <alignment horizontal="center"/>
    </xf>
    <xf numFmtId="0" fontId="6" fillId="0" borderId="1" xfId="1" applyFont="1" applyBorder="1"/>
    <xf numFmtId="0" fontId="11" fillId="0" borderId="0" xfId="2" applyFont="1"/>
    <xf numFmtId="0" fontId="12" fillId="0" borderId="0" xfId="1" applyFont="1"/>
    <xf numFmtId="3" fontId="6" fillId="0" borderId="0" xfId="1" applyNumberFormat="1" applyFont="1" applyAlignment="1">
      <alignment horizontal="left"/>
    </xf>
    <xf numFmtId="14" fontId="13" fillId="0" borderId="0" xfId="1" applyNumberFormat="1" applyFont="1" applyAlignment="1">
      <alignment horizontal="right"/>
    </xf>
    <xf numFmtId="14" fontId="6" fillId="0" borderId="0" xfId="1" applyNumberFormat="1" applyFont="1"/>
    <xf numFmtId="0" fontId="14" fillId="0" borderId="0" xfId="2" applyFont="1"/>
    <xf numFmtId="17" fontId="6" fillId="0" borderId="0" xfId="1" applyNumberFormat="1" applyFont="1"/>
    <xf numFmtId="0" fontId="8" fillId="0" borderId="0" xfId="1" applyFont="1" applyAlignment="1">
      <alignment horizontal="center"/>
    </xf>
    <xf numFmtId="14" fontId="8" fillId="0" borderId="0" xfId="1" applyNumberFormat="1" applyFont="1"/>
    <xf numFmtId="0" fontId="13" fillId="0" borderId="0" xfId="1" applyFont="1" applyAlignment="1">
      <alignment horizontal="right"/>
    </xf>
    <xf numFmtId="17" fontId="8" fillId="0" borderId="0" xfId="1" applyNumberFormat="1" applyFont="1"/>
    <xf numFmtId="0" fontId="8" fillId="0" borderId="0" xfId="1" quotePrefix="1" applyFont="1" applyAlignment="1">
      <alignment horizontal="right"/>
    </xf>
    <xf numFmtId="0" fontId="15" fillId="0" borderId="0" xfId="1" applyFont="1"/>
    <xf numFmtId="14" fontId="6" fillId="0" borderId="0" xfId="1" applyNumberFormat="1" applyFont="1" applyAlignment="1">
      <alignment horizontal="left"/>
    </xf>
    <xf numFmtId="14" fontId="16" fillId="0" borderId="0" xfId="1" applyNumberFormat="1" applyFont="1" applyAlignment="1">
      <alignment horizontal="right"/>
    </xf>
    <xf numFmtId="0" fontId="6" fillId="0" borderId="0" xfId="1" quotePrefix="1" applyFont="1" applyAlignment="1">
      <alignment horizontal="right"/>
    </xf>
    <xf numFmtId="17" fontId="6" fillId="0" borderId="0" xfId="1" quotePrefix="1" applyNumberFormat="1" applyFont="1" applyAlignment="1">
      <alignment horizontal="right"/>
    </xf>
    <xf numFmtId="0" fontId="17" fillId="0" borderId="0" xfId="1" applyFont="1"/>
    <xf numFmtId="17" fontId="8" fillId="0" borderId="0" xfId="1" quotePrefix="1" applyNumberFormat="1" applyFont="1" applyAlignment="1">
      <alignment horizontal="right"/>
    </xf>
    <xf numFmtId="0" fontId="8" fillId="0" borderId="0" xfId="1" quotePrefix="1" applyFont="1"/>
    <xf numFmtId="0" fontId="18" fillId="0" borderId="0" xfId="2" applyFont="1"/>
    <xf numFmtId="14" fontId="6" fillId="0" borderId="0" xfId="1" quotePrefix="1" applyNumberFormat="1" applyFont="1" applyAlignment="1">
      <alignment horizontal="right"/>
    </xf>
    <xf numFmtId="17" fontId="17" fillId="0" borderId="0" xfId="1" applyNumberFormat="1" applyFont="1"/>
    <xf numFmtId="4" fontId="6" fillId="0" borderId="0" xfId="1" applyNumberFormat="1" applyFont="1" applyAlignment="1">
      <alignment horizontal="left"/>
    </xf>
    <xf numFmtId="0" fontId="19" fillId="0" borderId="0" xfId="2" applyFont="1"/>
    <xf numFmtId="3" fontId="13" fillId="0" borderId="0" xfId="1" applyNumberFormat="1" applyFont="1" applyAlignment="1">
      <alignment horizontal="right"/>
    </xf>
    <xf numFmtId="3" fontId="6" fillId="2" borderId="0" xfId="1" applyNumberFormat="1" applyFont="1" applyFill="1" applyAlignment="1">
      <alignment horizontal="right"/>
    </xf>
    <xf numFmtId="0" fontId="6" fillId="0" borderId="0" xfId="3"/>
    <xf numFmtId="0" fontId="6" fillId="0" borderId="0" xfId="3" applyAlignment="1">
      <alignment horizontal="left"/>
    </xf>
    <xf numFmtId="0" fontId="6" fillId="0" borderId="0" xfId="3" applyAlignment="1">
      <alignment horizontal="right"/>
    </xf>
    <xf numFmtId="3" fontId="6" fillId="0" borderId="0" xfId="3" applyNumberFormat="1" applyAlignment="1">
      <alignment horizontal="right"/>
    </xf>
    <xf numFmtId="0" fontId="6" fillId="0" borderId="0" xfId="3" applyAlignment="1">
      <alignment horizontal="center"/>
    </xf>
    <xf numFmtId="0" fontId="11" fillId="0" borderId="0" xfId="4" applyAlignment="1"/>
    <xf numFmtId="0" fontId="11" fillId="0" borderId="0" xfId="4"/>
    <xf numFmtId="0" fontId="12" fillId="0" borderId="0" xfId="3" applyFont="1"/>
    <xf numFmtId="0" fontId="8" fillId="0" borderId="0" xfId="3" applyFont="1"/>
    <xf numFmtId="0" fontId="10" fillId="0" borderId="0" xfId="2"/>
    <xf numFmtId="0" fontId="6" fillId="0" borderId="0" xfId="0" applyFont="1"/>
    <xf numFmtId="0" fontId="6" fillId="2" borderId="0" xfId="1" applyFont="1" applyFill="1"/>
    <xf numFmtId="0" fontId="6" fillId="2" borderId="0" xfId="1" applyFont="1" applyFill="1" applyAlignment="1">
      <alignment horizontal="right"/>
    </xf>
    <xf numFmtId="14" fontId="6" fillId="2" borderId="0" xfId="1" applyNumberFormat="1" applyFont="1" applyFill="1" applyAlignment="1">
      <alignment horizontal="right"/>
    </xf>
    <xf numFmtId="0" fontId="8" fillId="2" borderId="0" xfId="1" applyFont="1" applyFill="1"/>
    <xf numFmtId="0" fontId="8" fillId="2" borderId="0" xfId="1" applyFont="1" applyFill="1" applyAlignment="1">
      <alignment horizontal="right"/>
    </xf>
    <xf numFmtId="3" fontId="8" fillId="2" borderId="0" xfId="1" applyNumberFormat="1" applyFont="1" applyFill="1" applyAlignment="1">
      <alignment horizontal="right"/>
    </xf>
    <xf numFmtId="14" fontId="8" fillId="2" borderId="0" xfId="1" applyNumberFormat="1" applyFont="1" applyFill="1" applyAlignment="1">
      <alignment horizontal="right"/>
    </xf>
    <xf numFmtId="0" fontId="6" fillId="0" borderId="2" xfId="1" applyFont="1" applyBorder="1" applyAlignment="1">
      <alignment horizontal="right"/>
    </xf>
    <xf numFmtId="3" fontId="8" fillId="0" borderId="0" xfId="1" applyNumberFormat="1" applyFont="1"/>
    <xf numFmtId="0" fontId="4" fillId="0" borderId="0" xfId="3" applyFont="1"/>
    <xf numFmtId="0" fontId="4" fillId="0" borderId="0" xfId="0" applyFont="1"/>
    <xf numFmtId="0" fontId="3" fillId="0" borderId="0" xfId="3" applyFont="1"/>
    <xf numFmtId="0" fontId="3" fillId="0" borderId="0" xfId="0" applyFont="1"/>
    <xf numFmtId="0" fontId="20" fillId="0" borderId="0" xfId="2" applyFont="1"/>
    <xf numFmtId="0" fontId="8" fillId="0" borderId="0" xfId="0" applyFont="1"/>
    <xf numFmtId="17" fontId="8" fillId="0" borderId="0" xfId="0" applyNumberFormat="1" applyFont="1"/>
    <xf numFmtId="0" fontId="21" fillId="0" borderId="0" xfId="0" applyFont="1"/>
    <xf numFmtId="3" fontId="8" fillId="0" borderId="0" xfId="0" applyNumberFormat="1" applyFont="1"/>
    <xf numFmtId="0" fontId="3" fillId="0" borderId="0" xfId="1" applyFont="1"/>
    <xf numFmtId="3" fontId="3" fillId="0" borderId="0" xfId="1" applyNumberFormat="1" applyFont="1" applyAlignment="1">
      <alignment horizontal="right"/>
    </xf>
    <xf numFmtId="0" fontId="3" fillId="0" borderId="0" xfId="1" applyFont="1" applyAlignment="1">
      <alignment horizontal="right"/>
    </xf>
    <xf numFmtId="0" fontId="3" fillId="0" borderId="0" xfId="1" applyFont="1" applyAlignment="1">
      <alignment horizontal="left"/>
    </xf>
    <xf numFmtId="14" fontId="3" fillId="0" borderId="0" xfId="1" applyNumberFormat="1" applyFont="1" applyAlignment="1">
      <alignment horizontal="right"/>
    </xf>
    <xf numFmtId="0" fontId="2" fillId="0" borderId="0" xfId="3" applyFont="1"/>
    <xf numFmtId="0" fontId="2" fillId="0" borderId="0" xfId="0" applyFont="1"/>
    <xf numFmtId="17" fontId="2" fillId="0" borderId="0" xfId="0" applyNumberFormat="1" applyFont="1"/>
    <xf numFmtId="14" fontId="2" fillId="0" borderId="0" xfId="0" applyNumberFormat="1" applyFont="1"/>
    <xf numFmtId="0" fontId="1" fillId="0" borderId="0" xfId="0" applyFont="1"/>
    <xf numFmtId="0" fontId="1" fillId="0" borderId="0" xfId="3" applyFont="1"/>
    <xf numFmtId="0" fontId="1" fillId="0" borderId="0" xfId="1" applyFont="1"/>
    <xf numFmtId="0" fontId="1" fillId="0" borderId="0" xfId="1" applyFont="1" applyAlignment="1">
      <alignment horizontal="right"/>
    </xf>
    <xf numFmtId="0" fontId="1" fillId="0" borderId="0" xfId="1" applyFont="1" applyAlignment="1">
      <alignment horizontal="left"/>
    </xf>
    <xf numFmtId="14" fontId="1" fillId="0" borderId="0" xfId="1" applyNumberFormat="1" applyFont="1" applyAlignment="1">
      <alignment horizontal="right"/>
    </xf>
    <xf numFmtId="3" fontId="1" fillId="0" borderId="0" xfId="1" applyNumberFormat="1" applyFont="1" applyAlignment="1">
      <alignment horizontal="right"/>
    </xf>
    <xf numFmtId="0" fontId="22" fillId="0" borderId="0" xfId="1" applyFont="1"/>
    <xf numFmtId="0" fontId="22" fillId="0" borderId="0" xfId="2" applyFont="1"/>
    <xf numFmtId="0" fontId="23" fillId="0" borderId="0" xfId="1" applyFont="1"/>
    <xf numFmtId="0" fontId="23" fillId="0" borderId="0" xfId="2" applyFont="1"/>
    <xf numFmtId="3" fontId="22" fillId="0" borderId="0" xfId="1" applyNumberFormat="1" applyFont="1" applyAlignment="1">
      <alignment horizontal="right"/>
    </xf>
    <xf numFmtId="0" fontId="22" fillId="0" borderId="0" xfId="1" applyFont="1" applyBorder="1"/>
    <xf numFmtId="20" fontId="22" fillId="0" borderId="0" xfId="2" applyNumberFormat="1" applyFont="1"/>
    <xf numFmtId="0" fontId="1" fillId="0" borderId="1" xfId="1" applyFont="1" applyBorder="1"/>
    <xf numFmtId="165" fontId="22" fillId="0" borderId="0" xfId="1" applyNumberFormat="1" applyFont="1"/>
    <xf numFmtId="165" fontId="22" fillId="0" borderId="0" xfId="2" applyNumberFormat="1" applyFont="1"/>
    <xf numFmtId="165" fontId="23" fillId="0" borderId="0" xfId="1" applyNumberFormat="1" applyFont="1"/>
    <xf numFmtId="165" fontId="23" fillId="0" borderId="0" xfId="2" applyNumberFormat="1" applyFont="1"/>
    <xf numFmtId="165" fontId="22" fillId="0" borderId="0" xfId="1" applyNumberFormat="1" applyFont="1" applyAlignment="1">
      <alignment horizontal="right"/>
    </xf>
    <xf numFmtId="165" fontId="22" fillId="0" borderId="0" xfId="1" applyNumberFormat="1" applyFont="1" applyBorder="1"/>
    <xf numFmtId="46" fontId="22" fillId="0" borderId="0" xfId="1" quotePrefix="1" applyNumberFormat="1" applyFont="1" applyAlignment="1">
      <alignment horizontal="right"/>
    </xf>
    <xf numFmtId="20" fontId="22" fillId="0" borderId="0" xfId="1" applyNumberFormat="1" applyFont="1"/>
    <xf numFmtId="3" fontId="1" fillId="0" borderId="0" xfId="1" applyNumberFormat="1" applyFont="1" applyAlignment="1">
      <alignment horizontal="left"/>
    </xf>
    <xf numFmtId="46" fontId="22" fillId="0" borderId="0" xfId="2" quotePrefix="1" applyNumberFormat="1" applyFont="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AB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C27" dT="2023-07-24T03:00:10.20" personId="{E7DC6E06-73C2-4870-9625-B86C1A71FCC8}" id="{E29F7D1D-7AF5-4541-BD1A-8261973D4DE0}">
    <text>0.651907 for inflection.ai,
1.922m for heypi.com</text>
  </threadedComment>
  <threadedComment ref="AD27" dT="2023-07-24T03:00:27.37" personId="{E7DC6E06-73C2-4870-9625-B86C1A71FCC8}" id="{919461BB-9FEF-4D66-8757-CD72F4F1D58F}">
    <text>2:22 for inflection.ai
6:31 for heypi.com</text>
  </threadedComment>
  <threadedComment ref="D148"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745" dT="2023-06-28T22:40:44.43" personId="{00000000-0000-0000-0000-000000000000}" id="{2693FE7F-F554-E548-8264-1036732DDEF4}">
    <text>Amplify Partners V, Amplify Select (6/13/22)</text>
  </threadedComment>
  <threadedComment ref="I977"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mailto:avdnoord@google.com" TargetMode="External"/><Relationship Id="rId2" Type="http://schemas.openxmlformats.org/officeDocument/2006/relationships/hyperlink" Target="mailto:vinyals@google.com" TargetMode="External"/><Relationship Id="rId1" Type="http://schemas.openxmlformats.org/officeDocument/2006/relationships/hyperlink" Target="mailto:korayk@google.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6" Type="http://schemas.openxmlformats.org/officeDocument/2006/relationships/hyperlink" Target="http://www.4paradigm.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28" Type="http://schemas.openxmlformats.org/officeDocument/2006/relationships/hyperlink" Target="http://www.dreamily.ai/"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hyperlink" Target="http://www.wave-ai.net/" TargetMode="Externa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18" Type="http://schemas.openxmlformats.org/officeDocument/2006/relationships/hyperlink" Target="http://www.lovo.ai/" TargetMode="External"/><Relationship Id="rId134" Type="http://schemas.openxmlformats.org/officeDocument/2006/relationships/vmlDrawing" Target="../drawings/vmlDrawing1.vm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08" Type="http://schemas.openxmlformats.org/officeDocument/2006/relationships/hyperlink" Target="http://www.c3.ai/" TargetMode="External"/><Relationship Id="rId124" Type="http://schemas.openxmlformats.org/officeDocument/2006/relationships/hyperlink" Target="http://www.novelai.net/"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91" Type="http://schemas.openxmlformats.org/officeDocument/2006/relationships/hyperlink" Target="http://www.tesla.com/" TargetMode="External"/><Relationship Id="rId96" Type="http://schemas.openxmlformats.org/officeDocument/2006/relationships/hyperlink" Target="http://www.tome.app/" TargetMode="Externa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35" Type="http://schemas.openxmlformats.org/officeDocument/2006/relationships/comments" Target="../comments1.xm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04" Type="http://schemas.openxmlformats.org/officeDocument/2006/relationships/hyperlink" Target="http://www.scale.com/" TargetMode="External"/><Relationship Id="rId120" Type="http://schemas.openxmlformats.org/officeDocument/2006/relationships/hyperlink" Target="http://www.drgupta.ai/" TargetMode="External"/><Relationship Id="rId125" Type="http://schemas.openxmlformats.org/officeDocument/2006/relationships/hyperlink" Target="http://www.spicychat.ai/" TargetMode="Externa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15" Type="http://schemas.openxmlformats.org/officeDocument/2006/relationships/hyperlink" Target="http://www.soterea.cn/" TargetMode="External"/><Relationship Id="rId131" Type="http://schemas.openxmlformats.org/officeDocument/2006/relationships/hyperlink" Target="http://www.runwayml.com/" TargetMode="External"/><Relationship Id="rId136" Type="http://schemas.microsoft.com/office/2017/10/relationships/threadedComment" Target="../threadedComments/threadedComment1.xm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3" Type="http://schemas.openxmlformats.org/officeDocument/2006/relationships/hyperlink" Target="https://huggingface.co/OpenAssistant/oasst-sft-6-llama-30b-xor" TargetMode="External"/><Relationship Id="rId25" Type="http://schemas.openxmlformats.org/officeDocument/2006/relationships/hyperlink" Target="http://www.patsnap.com/" TargetMode="External"/><Relationship Id="rId46" Type="http://schemas.openxmlformats.org/officeDocument/2006/relationships/hyperlink" Target="http://www.anyvision.co/" TargetMode="External"/><Relationship Id="rId67" Type="http://schemas.openxmlformats.org/officeDocument/2006/relationships/hyperlink" Target="http://www.dominodatalab.com/" TargetMode="External"/><Relationship Id="rId116" Type="http://schemas.openxmlformats.org/officeDocument/2006/relationships/hyperlink" Target="http://www.charactr.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26" Type="http://schemas.openxmlformats.org/officeDocument/2006/relationships/hyperlink" Target="http://www.playment.io/"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vickipfau@openai.com" TargetMode="External"/><Relationship Id="rId13" Type="http://schemas.openxmlformats.org/officeDocument/2006/relationships/hyperlink" Target="https://github.com/joschu" TargetMode="External"/><Relationship Id="rId3" Type="http://schemas.openxmlformats.org/officeDocument/2006/relationships/hyperlink" Target="mailto:jt@openai.com" TargetMode="External"/><Relationship Id="rId7" Type="http://schemas.openxmlformats.org/officeDocument/2006/relationships/hyperlink" Target="mailto:alex@openai.com" TargetMode="External"/><Relationship Id="rId12" Type="http://schemas.openxmlformats.org/officeDocument/2006/relationships/hyperlink" Target="https://github.com/siemanko" TargetMode="External"/><Relationship Id="rId2" Type="http://schemas.openxmlformats.org/officeDocument/2006/relationships/hyperlink" Target="mailto:mark@openai.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mailto:szymon.sidor@gmail.com" TargetMode="External"/><Relationship Id="rId5" Type="http://schemas.openxmlformats.org/officeDocument/2006/relationships/hyperlink" Target="mailto:hee-woo@openai.com" TargetMode="External"/><Relationship Id="rId15" Type="http://schemas.openxmlformats.org/officeDocument/2006/relationships/printerSettings" Target="../printerSettings/printerSettings5.bin"/><Relationship Id="rId10" Type="http://schemas.openxmlformats.org/officeDocument/2006/relationships/hyperlink" Target="mailto:joschu@openai.com" TargetMode="External"/><Relationship Id="rId4" Type="http://schemas.openxmlformats.org/officeDocument/2006/relationships/hyperlink" Target="mailto:qiming@openai.com" TargetMode="External"/><Relationship Id="rId9" Type="http://schemas.openxmlformats.org/officeDocument/2006/relationships/hyperlink" Target="mailto:oleg@openai.com" TargetMode="External"/><Relationship Id="rId14" Type="http://schemas.openxmlformats.org/officeDocument/2006/relationships/hyperlink" Target="https://github.com/christopherhe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heetViews>
  <sheetFormatPr defaultColWidth="11" defaultRowHeight="15"/>
  <cols>
    <col min="1" max="1" width="3.625" style="82" customWidth="1"/>
    <col min="2" max="16384" width="11" style="82"/>
  </cols>
  <sheetData>
    <row r="2" spans="2:2">
      <c r="B2" s="79" t="s">
        <v>4396</v>
      </c>
    </row>
    <row r="3" spans="2:2">
      <c r="B3" s="79" t="s">
        <v>4068</v>
      </c>
    </row>
    <row r="4" spans="2:2">
      <c r="B4" s="79" t="s">
        <v>4397</v>
      </c>
    </row>
    <row r="5" spans="2:2">
      <c r="B5" s="82" t="s">
        <v>4398</v>
      </c>
    </row>
    <row r="6" spans="2:2">
      <c r="B6" s="82" t="s">
        <v>4072</v>
      </c>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C6"/>
  <sheetViews>
    <sheetView workbookViewId="0">
      <selection activeCell="B9" sqref="B9"/>
    </sheetView>
  </sheetViews>
  <sheetFormatPr defaultRowHeight="12.75"/>
  <cols>
    <col min="1" max="1" width="4.375" style="93" bestFit="1" customWidth="1"/>
    <col min="2" max="2" width="15.25" style="93" bestFit="1" customWidth="1"/>
    <col min="3" max="16384" width="9" style="93"/>
  </cols>
  <sheetData>
    <row r="1" spans="1:3">
      <c r="A1" s="28" t="s">
        <v>1194</v>
      </c>
    </row>
    <row r="4" spans="1:3">
      <c r="B4" s="93" t="s">
        <v>5179</v>
      </c>
      <c r="C4" s="28" t="s">
        <v>5183</v>
      </c>
    </row>
    <row r="5" spans="1:3">
      <c r="B5" s="93" t="s">
        <v>4684</v>
      </c>
      <c r="C5" s="28" t="s">
        <v>5182</v>
      </c>
    </row>
    <row r="6" spans="1:3">
      <c r="B6" s="93" t="s">
        <v>5180</v>
      </c>
      <c r="C6" s="28" t="s">
        <v>5181</v>
      </c>
    </row>
  </sheetData>
  <hyperlinks>
    <hyperlink ref="C6" r:id="rId1" xr:uid="{DCC9550A-2C12-4CFB-B1B6-78E6E73B4686}"/>
    <hyperlink ref="C5" r:id="rId2" xr:uid="{49ECD951-ECC0-4153-83E6-34B712CFB982}"/>
    <hyperlink ref="C4" r:id="rId3" xr:uid="{59BCB5BA-FE07-4E3E-99AE-03E04E6845F3}"/>
    <hyperlink ref="A1" location="Main!A1" display="Main" xr:uid="{131E021D-6F6B-42B9-805D-663A92A66C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K1351"/>
  <sheetViews>
    <sheetView tabSelected="1" zoomScaleNormal="100" workbookViewId="0">
      <pane xSplit="2" ySplit="2" topLeftCell="T27" activePane="bottomRight" state="frozen"/>
      <selection pane="topRight" activeCell="C1" sqref="C1"/>
      <selection pane="bottomLeft" activeCell="A3" sqref="A3"/>
      <selection pane="bottomRight" activeCell="AD59" sqref="AD59"/>
    </sheetView>
  </sheetViews>
  <sheetFormatPr defaultColWidth="9.125" defaultRowHeight="12.75"/>
  <cols>
    <col min="1" max="1" width="5" style="1" bestFit="1" customWidth="1"/>
    <col min="2" max="2" width="25.125" style="1" customWidth="1"/>
    <col min="3" max="3" width="10.875" style="26" customWidth="1"/>
    <col min="4" max="4" width="10.375" style="3" customWidth="1"/>
    <col min="5" max="5" width="11" style="1" customWidth="1"/>
    <col min="6" max="6" width="9.125" style="3"/>
    <col min="7" max="7" width="11.375" style="2" customWidth="1"/>
    <col min="8" max="8" width="23.5" style="1" customWidth="1"/>
    <col min="9" max="9" width="20.625" style="1" customWidth="1"/>
    <col min="10" max="10" width="10.125" style="1" bestFit="1" customWidth="1"/>
    <col min="11" max="11" width="11.5" style="1" customWidth="1"/>
    <col min="12" max="12" width="11.625" style="1" customWidth="1"/>
    <col min="13" max="13" width="14.875" style="1" customWidth="1"/>
    <col min="14" max="14" width="9.125" style="1"/>
    <col min="15" max="26" width="9.125" style="25"/>
    <col min="27" max="27" width="16" style="95" customWidth="1"/>
    <col min="28" max="28" width="21.875" style="95" customWidth="1"/>
    <col min="29" max="29" width="9.125" style="108"/>
    <col min="30" max="30" width="9.125" style="100"/>
    <col min="31" max="31" width="10.375" style="95" customWidth="1"/>
    <col min="32" max="16384" width="9.125" style="1"/>
  </cols>
  <sheetData>
    <row r="1" spans="1:37">
      <c r="A1" s="28" t="s">
        <v>1194</v>
      </c>
      <c r="D1" s="3">
        <f>SUM(D10:D316)</f>
        <v>357881.21428571426</v>
      </c>
    </row>
    <row r="2" spans="1:37">
      <c r="B2" s="1" t="s">
        <v>4077</v>
      </c>
      <c r="C2" s="26" t="s">
        <v>4076</v>
      </c>
      <c r="D2" s="3" t="s">
        <v>4075</v>
      </c>
      <c r="E2" s="1" t="s">
        <v>4074</v>
      </c>
      <c r="F2" s="3" t="s">
        <v>1186</v>
      </c>
      <c r="G2" s="2" t="s">
        <v>1185</v>
      </c>
      <c r="H2" s="1" t="s">
        <v>4073</v>
      </c>
      <c r="I2" s="1" t="s">
        <v>4072</v>
      </c>
      <c r="J2" s="1" t="s">
        <v>4071</v>
      </c>
      <c r="K2" s="1" t="s">
        <v>4070</v>
      </c>
      <c r="L2" s="2" t="s">
        <v>1182</v>
      </c>
      <c r="M2" s="1" t="s">
        <v>1179</v>
      </c>
      <c r="N2" s="1" t="s">
        <v>4068</v>
      </c>
      <c r="O2" s="25" t="s">
        <v>4069</v>
      </c>
      <c r="P2" s="25" t="s">
        <v>1186</v>
      </c>
      <c r="Q2" s="25" t="s">
        <v>4068</v>
      </c>
      <c r="R2" s="25" t="s">
        <v>4069</v>
      </c>
      <c r="S2" s="25" t="s">
        <v>1186</v>
      </c>
      <c r="T2" s="25" t="s">
        <v>4068</v>
      </c>
      <c r="U2" s="25" t="s">
        <v>4069</v>
      </c>
      <c r="V2" s="25" t="s">
        <v>1186</v>
      </c>
      <c r="W2" s="25" t="s">
        <v>4068</v>
      </c>
      <c r="X2" s="25" t="s">
        <v>4069</v>
      </c>
      <c r="Y2" s="25" t="s">
        <v>1186</v>
      </c>
      <c r="Z2" s="25" t="s">
        <v>4068</v>
      </c>
      <c r="AA2" s="95" t="s">
        <v>4067</v>
      </c>
      <c r="AB2" s="95" t="s">
        <v>4066</v>
      </c>
      <c r="AC2" s="108" t="s">
        <v>5226</v>
      </c>
      <c r="AD2" s="100" t="s">
        <v>5227</v>
      </c>
    </row>
    <row r="3" spans="1:37">
      <c r="A3" s="1">
        <v>1</v>
      </c>
      <c r="B3" s="1" t="s">
        <v>4034</v>
      </c>
      <c r="C3" s="26" t="s">
        <v>4065</v>
      </c>
      <c r="D3" s="3">
        <v>2000000</v>
      </c>
      <c r="E3" s="1" t="s">
        <v>1</v>
      </c>
      <c r="F3" s="3" t="s">
        <v>1</v>
      </c>
      <c r="G3" s="2" t="s">
        <v>1</v>
      </c>
      <c r="H3" s="1" t="s">
        <v>4432</v>
      </c>
      <c r="I3" s="1" t="s">
        <v>4064</v>
      </c>
      <c r="J3" s="1" t="s">
        <v>2082</v>
      </c>
      <c r="K3" s="1" t="s">
        <v>2093</v>
      </c>
      <c r="L3" s="1">
        <v>1975</v>
      </c>
      <c r="N3" s="1" t="s">
        <v>1</v>
      </c>
      <c r="O3" s="25" t="s">
        <v>1</v>
      </c>
      <c r="P3" s="25" t="s">
        <v>1</v>
      </c>
      <c r="Q3" s="25" t="s">
        <v>1</v>
      </c>
      <c r="R3" s="25" t="s">
        <v>1</v>
      </c>
      <c r="S3" s="25" t="s">
        <v>1</v>
      </c>
      <c r="T3" s="25" t="s">
        <v>1</v>
      </c>
      <c r="U3" s="25" t="s">
        <v>1</v>
      </c>
      <c r="V3" s="25" t="s">
        <v>1</v>
      </c>
      <c r="W3" s="25" t="s">
        <v>1</v>
      </c>
      <c r="X3" s="25" t="s">
        <v>1</v>
      </c>
      <c r="Y3" s="25" t="s">
        <v>1</v>
      </c>
      <c r="Z3" s="25" t="s">
        <v>1</v>
      </c>
      <c r="AA3" s="95" t="s">
        <v>4063</v>
      </c>
      <c r="AB3" s="28" t="s">
        <v>4062</v>
      </c>
      <c r="AC3" s="109">
        <v>721.3</v>
      </c>
      <c r="AD3" s="106">
        <v>0.18541666666666667</v>
      </c>
      <c r="AJ3" s="33" t="s">
        <v>4061</v>
      </c>
      <c r="AK3" s="1">
        <v>14000</v>
      </c>
    </row>
    <row r="4" spans="1:37">
      <c r="A4" s="1">
        <f>A3+1</f>
        <v>2</v>
      </c>
      <c r="B4" s="1" t="s">
        <v>3932</v>
      </c>
      <c r="C4" s="26" t="s">
        <v>4060</v>
      </c>
      <c r="D4" s="3">
        <v>1000000</v>
      </c>
      <c r="E4" s="1" t="s">
        <v>1</v>
      </c>
      <c r="F4" s="3" t="s">
        <v>1</v>
      </c>
      <c r="G4" s="2" t="s">
        <v>1</v>
      </c>
      <c r="H4" s="1" t="s">
        <v>4059</v>
      </c>
      <c r="I4" s="1" t="s">
        <v>4425</v>
      </c>
      <c r="J4" s="1" t="s">
        <v>2351</v>
      </c>
      <c r="K4" s="1" t="s">
        <v>2818</v>
      </c>
      <c r="L4" s="1">
        <v>1998</v>
      </c>
      <c r="N4" s="1" t="s">
        <v>1</v>
      </c>
      <c r="O4" s="25" t="s">
        <v>1</v>
      </c>
      <c r="P4" s="25" t="s">
        <v>1</v>
      </c>
      <c r="Q4" s="25" t="s">
        <v>1</v>
      </c>
      <c r="R4" s="25" t="s">
        <v>1</v>
      </c>
      <c r="S4" s="25" t="s">
        <v>1</v>
      </c>
      <c r="T4" s="25" t="s">
        <v>1</v>
      </c>
      <c r="U4" s="25" t="s">
        <v>1</v>
      </c>
      <c r="V4" s="25" t="s">
        <v>1</v>
      </c>
      <c r="W4" s="25" t="s">
        <v>1</v>
      </c>
      <c r="X4" s="25" t="s">
        <v>1</v>
      </c>
      <c r="Y4" s="25" t="s">
        <v>1</v>
      </c>
      <c r="Z4" s="25" t="s">
        <v>1</v>
      </c>
      <c r="AA4" s="95" t="s">
        <v>2080</v>
      </c>
      <c r="AB4" s="28" t="s">
        <v>4057</v>
      </c>
      <c r="AC4" s="109">
        <v>77620</v>
      </c>
      <c r="AD4" s="106">
        <v>0.44027777777777777</v>
      </c>
      <c r="AJ4" s="33" t="s">
        <v>4056</v>
      </c>
      <c r="AK4" s="1">
        <v>600</v>
      </c>
    </row>
    <row r="5" spans="1:37">
      <c r="A5" s="1">
        <f t="shared" ref="A5:A75" si="0">A4+1</f>
        <v>3</v>
      </c>
      <c r="B5" s="1" t="s">
        <v>4055</v>
      </c>
      <c r="C5" s="26" t="s">
        <v>4054</v>
      </c>
      <c r="D5" s="3">
        <v>1000000</v>
      </c>
      <c r="E5" s="1" t="s">
        <v>1</v>
      </c>
      <c r="F5" s="3" t="s">
        <v>1</v>
      </c>
      <c r="G5" s="2" t="s">
        <v>1</v>
      </c>
      <c r="H5" s="1" t="s">
        <v>4024</v>
      </c>
      <c r="J5" s="1" t="s">
        <v>2351</v>
      </c>
      <c r="K5" s="1" t="s">
        <v>3987</v>
      </c>
      <c r="L5" s="1">
        <v>2003</v>
      </c>
      <c r="N5" s="1" t="s">
        <v>1</v>
      </c>
      <c r="O5" s="25" t="s">
        <v>1</v>
      </c>
      <c r="P5" s="25" t="s">
        <v>1</v>
      </c>
      <c r="Q5" s="25" t="s">
        <v>1</v>
      </c>
      <c r="R5" s="25" t="s">
        <v>1</v>
      </c>
      <c r="S5" s="25" t="s">
        <v>1</v>
      </c>
      <c r="T5" s="25" t="s">
        <v>1</v>
      </c>
      <c r="U5" s="25" t="s">
        <v>1</v>
      </c>
      <c r="V5" s="25" t="s">
        <v>1</v>
      </c>
      <c r="W5" s="25" t="s">
        <v>1</v>
      </c>
      <c r="X5" s="25" t="s">
        <v>1</v>
      </c>
      <c r="Y5" s="25" t="s">
        <v>1</v>
      </c>
      <c r="Z5" s="25" t="s">
        <v>1</v>
      </c>
      <c r="AA5" s="95" t="s">
        <v>4053</v>
      </c>
      <c r="AB5" s="28" t="s">
        <v>4052</v>
      </c>
      <c r="AC5" s="109">
        <v>20.48</v>
      </c>
      <c r="AD5" s="106">
        <v>0.15694444444444444</v>
      </c>
      <c r="AJ5" s="1" t="s">
        <v>4051</v>
      </c>
      <c r="AK5" s="1">
        <v>250</v>
      </c>
    </row>
    <row r="6" spans="1:37">
      <c r="A6" s="1">
        <f t="shared" si="0"/>
        <v>4</v>
      </c>
      <c r="B6" s="1" t="s">
        <v>4050</v>
      </c>
      <c r="C6" s="26" t="s">
        <v>4049</v>
      </c>
      <c r="D6" s="3">
        <v>1000000</v>
      </c>
      <c r="E6" s="1" t="s">
        <v>1</v>
      </c>
      <c r="F6" s="3" t="s">
        <v>1</v>
      </c>
      <c r="G6" s="2" t="s">
        <v>1</v>
      </c>
      <c r="H6" s="1" t="s">
        <v>4488</v>
      </c>
      <c r="J6" s="1" t="s">
        <v>2082</v>
      </c>
      <c r="K6" s="1" t="s">
        <v>2093</v>
      </c>
      <c r="L6" s="1">
        <v>2006</v>
      </c>
      <c r="N6" s="1" t="s">
        <v>1</v>
      </c>
      <c r="O6" s="25" t="s">
        <v>1</v>
      </c>
      <c r="P6" s="25" t="s">
        <v>1</v>
      </c>
      <c r="Q6" s="25" t="s">
        <v>1</v>
      </c>
      <c r="R6" s="25" t="s">
        <v>1</v>
      </c>
      <c r="S6" s="25" t="s">
        <v>1</v>
      </c>
      <c r="T6" s="25" t="s">
        <v>1</v>
      </c>
      <c r="U6" s="25" t="s">
        <v>1</v>
      </c>
      <c r="V6" s="25" t="s">
        <v>1</v>
      </c>
      <c r="W6" s="25" t="s">
        <v>1</v>
      </c>
      <c r="X6" s="25" t="s">
        <v>1</v>
      </c>
      <c r="Y6" s="25" t="s">
        <v>1</v>
      </c>
      <c r="Z6" s="25" t="s">
        <v>1</v>
      </c>
      <c r="AA6" s="95" t="s">
        <v>2953</v>
      </c>
      <c r="AB6" s="28" t="s">
        <v>4513</v>
      </c>
      <c r="AC6" s="109">
        <v>61.21</v>
      </c>
      <c r="AD6" s="106">
        <v>0.4777777777777778</v>
      </c>
      <c r="AJ6" s="28" t="s">
        <v>4048</v>
      </c>
      <c r="AK6" s="1">
        <v>50</v>
      </c>
    </row>
    <row r="7" spans="1:37">
      <c r="A7" s="1">
        <f t="shared" si="0"/>
        <v>5</v>
      </c>
      <c r="B7" s="1" t="s">
        <v>1107</v>
      </c>
      <c r="C7" s="26" t="s">
        <v>4047</v>
      </c>
      <c r="D7" s="3">
        <v>1000000</v>
      </c>
      <c r="E7" s="1" t="s">
        <v>1</v>
      </c>
      <c r="F7" s="3" t="s">
        <v>1</v>
      </c>
      <c r="G7" s="2" t="s">
        <v>1</v>
      </c>
      <c r="H7" s="1" t="s">
        <v>4426</v>
      </c>
      <c r="J7" s="1" t="s">
        <v>2082</v>
      </c>
      <c r="K7" s="1" t="s">
        <v>2138</v>
      </c>
      <c r="L7" s="1">
        <v>1993</v>
      </c>
      <c r="N7" s="1" t="s">
        <v>1</v>
      </c>
      <c r="O7" s="25" t="s">
        <v>1</v>
      </c>
      <c r="P7" s="25" t="s">
        <v>1</v>
      </c>
      <c r="Q7" s="25" t="s">
        <v>1</v>
      </c>
      <c r="R7" s="25" t="s">
        <v>1</v>
      </c>
      <c r="S7" s="25" t="s">
        <v>1</v>
      </c>
      <c r="T7" s="25" t="s">
        <v>1</v>
      </c>
      <c r="U7" s="25" t="s">
        <v>1</v>
      </c>
      <c r="V7" s="25" t="s">
        <v>1</v>
      </c>
      <c r="W7" s="25" t="s">
        <v>1</v>
      </c>
      <c r="X7" s="25" t="s">
        <v>1</v>
      </c>
      <c r="Y7" s="25" t="s">
        <v>1</v>
      </c>
      <c r="Z7" s="25" t="s">
        <v>1</v>
      </c>
      <c r="AA7" s="95" t="s">
        <v>2320</v>
      </c>
      <c r="AB7" s="28" t="s">
        <v>4046</v>
      </c>
      <c r="AC7" s="109">
        <v>26.76</v>
      </c>
      <c r="AD7" s="106">
        <v>0.15833333333333333</v>
      </c>
    </row>
    <row r="8" spans="1:37">
      <c r="A8" s="1">
        <f t="shared" si="0"/>
        <v>6</v>
      </c>
      <c r="B8" s="1" t="s">
        <v>794</v>
      </c>
      <c r="C8" s="26" t="s">
        <v>4045</v>
      </c>
      <c r="D8" s="3">
        <v>750000</v>
      </c>
      <c r="E8" s="1" t="s">
        <v>1</v>
      </c>
      <c r="F8" s="3" t="s">
        <v>1</v>
      </c>
      <c r="G8" s="2" t="s">
        <v>1</v>
      </c>
      <c r="H8" s="1" t="s">
        <v>4433</v>
      </c>
      <c r="I8" s="1" t="s">
        <v>4044</v>
      </c>
      <c r="J8" s="1" t="s">
        <v>2351</v>
      </c>
      <c r="K8" s="1" t="s">
        <v>2751</v>
      </c>
      <c r="L8" s="1">
        <v>2004</v>
      </c>
      <c r="N8" s="1" t="s">
        <v>1</v>
      </c>
      <c r="O8" s="25" t="s">
        <v>1</v>
      </c>
      <c r="P8" s="25" t="s">
        <v>1</v>
      </c>
      <c r="Q8" s="25" t="s">
        <v>1</v>
      </c>
      <c r="R8" s="25" t="s">
        <v>1</v>
      </c>
      <c r="S8" s="25" t="s">
        <v>1</v>
      </c>
      <c r="T8" s="25" t="s">
        <v>1</v>
      </c>
      <c r="U8" s="25" t="s">
        <v>1</v>
      </c>
      <c r="V8" s="25" t="s">
        <v>1</v>
      </c>
      <c r="W8" s="25" t="s">
        <v>1</v>
      </c>
      <c r="X8" s="25" t="s">
        <v>1</v>
      </c>
      <c r="Y8" s="25" t="s">
        <v>1</v>
      </c>
      <c r="Z8" s="25" t="s">
        <v>1</v>
      </c>
      <c r="AA8" s="95" t="s">
        <v>3717</v>
      </c>
      <c r="AB8" s="28" t="s">
        <v>4043</v>
      </c>
      <c r="AC8" s="109">
        <v>15730</v>
      </c>
      <c r="AD8" s="106">
        <v>0.44166666666666665</v>
      </c>
    </row>
    <row r="9" spans="1:37">
      <c r="A9" s="1">
        <f t="shared" si="0"/>
        <v>7</v>
      </c>
      <c r="B9" s="1" t="s">
        <v>4042</v>
      </c>
      <c r="C9" s="26" t="s">
        <v>4041</v>
      </c>
      <c r="D9" s="3">
        <v>50000</v>
      </c>
      <c r="E9" s="1" t="s">
        <v>3875</v>
      </c>
      <c r="F9" s="3">
        <v>109</v>
      </c>
      <c r="G9" s="4">
        <v>38569</v>
      </c>
      <c r="H9" s="1" t="s">
        <v>4040</v>
      </c>
      <c r="I9" s="1" t="s">
        <v>4039</v>
      </c>
      <c r="J9" s="1" t="s">
        <v>2082</v>
      </c>
      <c r="K9" s="1" t="s">
        <v>2818</v>
      </c>
      <c r="L9" s="1">
        <v>1999</v>
      </c>
      <c r="N9" s="1" t="s">
        <v>1</v>
      </c>
      <c r="O9" s="1" t="s">
        <v>1</v>
      </c>
      <c r="P9" s="1" t="s">
        <v>1</v>
      </c>
      <c r="Q9" s="1" t="s">
        <v>1</v>
      </c>
      <c r="R9" s="1" t="s">
        <v>1</v>
      </c>
      <c r="S9" s="1" t="s">
        <v>1</v>
      </c>
      <c r="T9" s="1" t="s">
        <v>1</v>
      </c>
      <c r="U9" s="1" t="s">
        <v>1</v>
      </c>
      <c r="V9" s="1" t="s">
        <v>1</v>
      </c>
      <c r="W9" s="1" t="s">
        <v>1</v>
      </c>
      <c r="X9" s="1" t="s">
        <v>1</v>
      </c>
      <c r="Y9" s="1" t="s">
        <v>1</v>
      </c>
      <c r="Z9" s="1" t="s">
        <v>1</v>
      </c>
      <c r="AA9" s="95" t="s">
        <v>2413</v>
      </c>
      <c r="AB9" s="28" t="s">
        <v>4038</v>
      </c>
      <c r="AC9" s="109">
        <v>4827</v>
      </c>
      <c r="AD9" s="106">
        <v>0.21319444444444444</v>
      </c>
    </row>
    <row r="10" spans="1:37" s="12" customFormat="1">
      <c r="A10" s="1">
        <f t="shared" si="0"/>
        <v>8</v>
      </c>
      <c r="B10" s="12" t="s">
        <v>0</v>
      </c>
      <c r="C10" s="35" t="s">
        <v>1720</v>
      </c>
      <c r="D10" s="15">
        <v>28700</v>
      </c>
      <c r="E10" s="12" t="s">
        <v>1</v>
      </c>
      <c r="F10" s="15">
        <v>300</v>
      </c>
      <c r="G10" s="14">
        <v>45044</v>
      </c>
      <c r="H10" s="12" t="s">
        <v>4037</v>
      </c>
      <c r="I10" s="12" t="s">
        <v>4649</v>
      </c>
      <c r="J10" s="12" t="s">
        <v>2616</v>
      </c>
      <c r="K10" s="12" t="s">
        <v>3223</v>
      </c>
      <c r="L10" s="12">
        <v>2015</v>
      </c>
      <c r="N10" s="12" t="s">
        <v>4036</v>
      </c>
      <c r="O10" s="24" t="s">
        <v>1</v>
      </c>
      <c r="P10" s="24" t="s">
        <v>4035</v>
      </c>
      <c r="Q10" s="24" t="s">
        <v>4034</v>
      </c>
      <c r="R10" s="24" t="s">
        <v>4</v>
      </c>
      <c r="S10" s="24" t="s">
        <v>1</v>
      </c>
      <c r="T10" s="24" t="s">
        <v>4033</v>
      </c>
      <c r="U10" s="24" t="s">
        <v>1</v>
      </c>
      <c r="V10" s="24" t="s">
        <v>1</v>
      </c>
      <c r="W10" s="24" t="s">
        <v>1</v>
      </c>
      <c r="X10" s="24" t="s">
        <v>1</v>
      </c>
      <c r="Y10" s="24" t="s">
        <v>1</v>
      </c>
      <c r="Z10" s="24" t="s">
        <v>1</v>
      </c>
      <c r="AA10" s="12" t="s">
        <v>2405</v>
      </c>
      <c r="AB10" s="28" t="s">
        <v>4032</v>
      </c>
      <c r="AC10" s="109">
        <v>1406</v>
      </c>
      <c r="AD10" s="106">
        <v>0.18194444444444444</v>
      </c>
    </row>
    <row r="11" spans="1:37">
      <c r="A11" s="1">
        <f t="shared" si="0"/>
        <v>9</v>
      </c>
      <c r="B11" s="1" t="s">
        <v>4031</v>
      </c>
      <c r="C11" s="26" t="s">
        <v>4030</v>
      </c>
      <c r="D11" s="3">
        <v>32480</v>
      </c>
      <c r="E11" s="1" t="s">
        <v>3875</v>
      </c>
      <c r="F11" s="3">
        <v>444</v>
      </c>
      <c r="G11" s="4">
        <v>41894</v>
      </c>
      <c r="I11" s="1" t="s">
        <v>4534</v>
      </c>
      <c r="J11" s="1" t="s">
        <v>2082</v>
      </c>
      <c r="K11" s="1" t="s">
        <v>2093</v>
      </c>
      <c r="L11" s="1">
        <v>2003</v>
      </c>
      <c r="N11" s="1" t="s">
        <v>4546</v>
      </c>
      <c r="O11" s="25" t="s">
        <v>2529</v>
      </c>
      <c r="P11" s="25" t="s">
        <v>4544</v>
      </c>
      <c r="Q11" s="25" t="s">
        <v>4545</v>
      </c>
      <c r="R11" s="25" t="s">
        <v>513</v>
      </c>
      <c r="S11" s="25">
        <v>56</v>
      </c>
      <c r="T11" s="25" t="s">
        <v>4542</v>
      </c>
      <c r="U11" s="25" t="s">
        <v>9</v>
      </c>
      <c r="V11" s="25">
        <v>50</v>
      </c>
      <c r="W11" s="25" t="s">
        <v>4540</v>
      </c>
      <c r="X11" s="25" t="s">
        <v>8</v>
      </c>
      <c r="Y11" s="25" t="s">
        <v>4541</v>
      </c>
      <c r="Z11" s="25" t="s">
        <v>4538</v>
      </c>
      <c r="AA11" s="95" t="s">
        <v>4515</v>
      </c>
      <c r="AB11" s="28" t="s">
        <v>4514</v>
      </c>
      <c r="AC11" s="109">
        <v>0.39068900000000001</v>
      </c>
      <c r="AD11" s="106">
        <v>0.1173611111111111</v>
      </c>
    </row>
    <row r="12" spans="1:37">
      <c r="A12" s="1">
        <f t="shared" si="0"/>
        <v>10</v>
      </c>
      <c r="B12" s="1" t="s">
        <v>1022</v>
      </c>
      <c r="C12" s="26" t="s">
        <v>1720</v>
      </c>
      <c r="D12" s="3">
        <v>25000</v>
      </c>
      <c r="F12" s="3">
        <v>1600</v>
      </c>
      <c r="H12" s="1" t="s">
        <v>4029</v>
      </c>
      <c r="J12" s="1" t="s">
        <v>2082</v>
      </c>
      <c r="K12" s="1" t="s">
        <v>4028</v>
      </c>
      <c r="L12" s="1">
        <v>2013</v>
      </c>
      <c r="N12" s="1" t="s">
        <v>4027</v>
      </c>
      <c r="AA12" s="95" t="s">
        <v>2405</v>
      </c>
      <c r="AB12" s="28" t="s">
        <v>4516</v>
      </c>
      <c r="AC12" s="109">
        <v>2.931</v>
      </c>
      <c r="AD12" s="106">
        <v>0.47291666666666665</v>
      </c>
    </row>
    <row r="13" spans="1:37">
      <c r="A13" s="1">
        <f t="shared" si="0"/>
        <v>11</v>
      </c>
      <c r="B13" s="1" t="s">
        <v>4026</v>
      </c>
      <c r="C13" s="26" t="s">
        <v>1720</v>
      </c>
      <c r="D13" s="3">
        <v>21000</v>
      </c>
      <c r="F13" s="3" t="s">
        <v>4025</v>
      </c>
      <c r="H13" s="1" t="s">
        <v>4024</v>
      </c>
      <c r="J13" s="1" t="s">
        <v>2351</v>
      </c>
      <c r="K13" s="1" t="s">
        <v>3987</v>
      </c>
      <c r="L13" s="1">
        <v>2013</v>
      </c>
      <c r="AA13" s="95" t="s">
        <v>2405</v>
      </c>
      <c r="AB13" s="28" t="s">
        <v>4517</v>
      </c>
      <c r="AC13" s="109">
        <v>0.137154</v>
      </c>
      <c r="AD13" s="106">
        <v>6.0416666666666667E-2</v>
      </c>
    </row>
    <row r="14" spans="1:37">
      <c r="A14" s="1">
        <f t="shared" si="0"/>
        <v>12</v>
      </c>
      <c r="B14" s="1" t="s">
        <v>1150</v>
      </c>
      <c r="C14" s="26" t="s">
        <v>1720</v>
      </c>
      <c r="D14" s="3">
        <v>30000</v>
      </c>
      <c r="E14" s="1" t="s">
        <v>7</v>
      </c>
      <c r="F14" s="3">
        <v>2500</v>
      </c>
      <c r="G14" s="4">
        <v>44363</v>
      </c>
      <c r="H14" s="1" t="s">
        <v>4024</v>
      </c>
      <c r="I14" s="1" t="s">
        <v>4023</v>
      </c>
      <c r="J14" s="1" t="s">
        <v>2351</v>
      </c>
      <c r="K14" s="1" t="s">
        <v>3987</v>
      </c>
      <c r="L14" s="1">
        <v>2009</v>
      </c>
      <c r="M14" s="1" t="s">
        <v>4022</v>
      </c>
      <c r="N14" s="1" t="s">
        <v>4021</v>
      </c>
      <c r="O14" s="25" t="s">
        <v>5</v>
      </c>
      <c r="P14" s="25">
        <v>3000</v>
      </c>
      <c r="Q14" s="25" t="s">
        <v>4020</v>
      </c>
      <c r="R14" s="25" t="s">
        <v>1</v>
      </c>
      <c r="S14" s="25" t="s">
        <v>1</v>
      </c>
      <c r="T14" s="25" t="s">
        <v>1</v>
      </c>
      <c r="U14" s="25" t="s">
        <v>1</v>
      </c>
      <c r="V14" s="25" t="s">
        <v>1</v>
      </c>
      <c r="W14" s="25" t="s">
        <v>1</v>
      </c>
      <c r="X14" s="25" t="s">
        <v>1</v>
      </c>
      <c r="Y14" s="25" t="s">
        <v>1</v>
      </c>
      <c r="Z14" s="25" t="s">
        <v>1</v>
      </c>
      <c r="AA14" s="95" t="s">
        <v>2080</v>
      </c>
      <c r="AB14" s="28" t="s">
        <v>4518</v>
      </c>
      <c r="AC14" s="109">
        <v>0.19157099999999999</v>
      </c>
      <c r="AD14" s="106">
        <v>4.1666666666666664E-2</v>
      </c>
    </row>
    <row r="15" spans="1:37">
      <c r="A15" s="1">
        <f t="shared" si="0"/>
        <v>13</v>
      </c>
      <c r="B15" s="1" t="s">
        <v>4019</v>
      </c>
      <c r="C15" s="26" t="s">
        <v>4018</v>
      </c>
      <c r="D15" s="3">
        <v>20000</v>
      </c>
      <c r="E15" s="1" t="s">
        <v>3875</v>
      </c>
      <c r="F15" s="3" t="s">
        <v>1</v>
      </c>
      <c r="G15" s="4">
        <v>39591</v>
      </c>
      <c r="H15" s="1" t="s">
        <v>4017</v>
      </c>
      <c r="I15" s="1" t="s">
        <v>4016</v>
      </c>
      <c r="J15" s="1" t="s">
        <v>2351</v>
      </c>
      <c r="K15" s="1" t="s">
        <v>2568</v>
      </c>
      <c r="L15" s="1">
        <v>1999</v>
      </c>
      <c r="M15" s="1" t="s">
        <v>3549</v>
      </c>
      <c r="N15" s="1" t="s">
        <v>3875</v>
      </c>
      <c r="O15" s="25" t="s">
        <v>1</v>
      </c>
      <c r="P15" s="25" t="s">
        <v>1</v>
      </c>
      <c r="Q15" s="25" t="s">
        <v>1</v>
      </c>
      <c r="R15" s="25" t="s">
        <v>1</v>
      </c>
      <c r="S15" s="25" t="s">
        <v>1</v>
      </c>
      <c r="T15" s="25" t="s">
        <v>1</v>
      </c>
      <c r="U15" s="25" t="s">
        <v>1</v>
      </c>
      <c r="V15" s="25" t="s">
        <v>1</v>
      </c>
      <c r="W15" s="25" t="s">
        <v>1</v>
      </c>
      <c r="X15" s="25" t="s">
        <v>1</v>
      </c>
      <c r="Y15" s="25" t="s">
        <v>1</v>
      </c>
      <c r="Z15" s="25" t="s">
        <v>1</v>
      </c>
      <c r="AA15" s="95" t="s">
        <v>4015</v>
      </c>
      <c r="AB15" s="28" t="s">
        <v>4519</v>
      </c>
      <c r="AC15" s="109">
        <v>1.0269999999999999</v>
      </c>
      <c r="AD15" s="106">
        <v>0.56805555555555554</v>
      </c>
    </row>
    <row r="16" spans="1:37">
      <c r="A16" s="1">
        <f t="shared" si="0"/>
        <v>14</v>
      </c>
      <c r="B16" s="1" t="s">
        <v>4014</v>
      </c>
      <c r="C16" s="26" t="s">
        <v>4013</v>
      </c>
      <c r="D16" s="3">
        <v>12570</v>
      </c>
      <c r="E16" s="1" t="s">
        <v>1</v>
      </c>
      <c r="F16" s="1" t="s">
        <v>1</v>
      </c>
      <c r="G16" s="1" t="s">
        <v>1</v>
      </c>
      <c r="H16" s="1" t="s">
        <v>4012</v>
      </c>
      <c r="J16" s="1" t="s">
        <v>2082</v>
      </c>
      <c r="K16" s="1" t="s">
        <v>2362</v>
      </c>
      <c r="L16" s="1">
        <v>1986</v>
      </c>
      <c r="M16" s="1" t="s">
        <v>4011</v>
      </c>
      <c r="N16" s="1" t="s">
        <v>1</v>
      </c>
      <c r="O16" s="1" t="s">
        <v>1</v>
      </c>
      <c r="P16" s="1" t="s">
        <v>1</v>
      </c>
      <c r="Q16" s="1" t="s">
        <v>1</v>
      </c>
      <c r="R16" s="1" t="s">
        <v>1</v>
      </c>
      <c r="S16" s="1" t="s">
        <v>1</v>
      </c>
      <c r="T16" s="1" t="s">
        <v>1</v>
      </c>
      <c r="U16" s="1" t="s">
        <v>1</v>
      </c>
      <c r="V16" s="1" t="s">
        <v>1</v>
      </c>
      <c r="W16" s="1" t="s">
        <v>1</v>
      </c>
      <c r="X16" s="1" t="s">
        <v>1</v>
      </c>
      <c r="Y16" s="1" t="s">
        <v>1</v>
      </c>
      <c r="Z16" s="1" t="s">
        <v>1</v>
      </c>
      <c r="AA16" s="95" t="s">
        <v>4010</v>
      </c>
      <c r="AB16" s="28" t="s">
        <v>4009</v>
      </c>
      <c r="AC16" s="109">
        <v>0.49878899999999998</v>
      </c>
      <c r="AD16" s="106">
        <v>7.0833333333333331E-2</v>
      </c>
    </row>
    <row r="17" spans="1:30">
      <c r="A17" s="1">
        <f t="shared" si="0"/>
        <v>15</v>
      </c>
      <c r="B17" s="1" t="s">
        <v>4008</v>
      </c>
      <c r="C17" s="26" t="s">
        <v>4007</v>
      </c>
      <c r="D17" s="3">
        <v>11000</v>
      </c>
      <c r="E17" s="1" t="s">
        <v>3875</v>
      </c>
      <c r="F17" s="3">
        <v>740</v>
      </c>
      <c r="G17" s="4">
        <v>44560</v>
      </c>
      <c r="H17" s="1" t="s">
        <v>2081</v>
      </c>
      <c r="I17" s="1" t="s">
        <v>4006</v>
      </c>
      <c r="J17" s="1" t="s">
        <v>2082</v>
      </c>
      <c r="K17" s="1" t="s">
        <v>2081</v>
      </c>
      <c r="L17" s="32">
        <v>41913</v>
      </c>
      <c r="M17" s="1" t="s">
        <v>3549</v>
      </c>
      <c r="N17" s="1" t="s">
        <v>3875</v>
      </c>
      <c r="O17" s="25" t="s">
        <v>4005</v>
      </c>
      <c r="P17" s="25">
        <v>1000</v>
      </c>
      <c r="Q17" s="25" t="s">
        <v>1178</v>
      </c>
      <c r="R17" s="25" t="s">
        <v>4004</v>
      </c>
      <c r="S17" s="25">
        <v>320</v>
      </c>
      <c r="T17" s="25" t="s">
        <v>4003</v>
      </c>
      <c r="U17" s="25" t="s">
        <v>18</v>
      </c>
      <c r="V17" s="25">
        <v>600</v>
      </c>
      <c r="W17" s="25" t="s">
        <v>4002</v>
      </c>
      <c r="X17" s="25" t="s">
        <v>7</v>
      </c>
      <c r="Y17" s="25">
        <v>410</v>
      </c>
      <c r="Z17" s="25" t="s">
        <v>4001</v>
      </c>
      <c r="AA17" s="95" t="s">
        <v>4000</v>
      </c>
      <c r="AB17" s="28" t="s">
        <v>4520</v>
      </c>
      <c r="AC17" s="109">
        <v>0.55719300000000005</v>
      </c>
      <c r="AD17" s="106">
        <v>0.80763888888888891</v>
      </c>
    </row>
    <row r="18" spans="1:30">
      <c r="A18" s="1">
        <f t="shared" si="0"/>
        <v>16</v>
      </c>
      <c r="B18" s="1" t="s">
        <v>166</v>
      </c>
      <c r="C18" s="26" t="s">
        <v>1720</v>
      </c>
      <c r="D18" s="3">
        <v>8500</v>
      </c>
      <c r="E18" s="1" t="s">
        <v>8</v>
      </c>
      <c r="F18" s="3" t="s">
        <v>1</v>
      </c>
      <c r="G18" s="4">
        <v>44626</v>
      </c>
      <c r="H18" s="1" t="s">
        <v>3855</v>
      </c>
      <c r="I18" s="1" t="s">
        <v>3999</v>
      </c>
      <c r="J18" s="1" t="s">
        <v>2351</v>
      </c>
      <c r="K18" s="1" t="s">
        <v>3987</v>
      </c>
      <c r="L18" s="1">
        <v>2016</v>
      </c>
      <c r="N18" s="1" t="s">
        <v>1</v>
      </c>
      <c r="O18" s="25" t="s">
        <v>18</v>
      </c>
      <c r="P18" s="25" t="s">
        <v>3998</v>
      </c>
      <c r="Q18" s="25" t="s">
        <v>3997</v>
      </c>
      <c r="R18" s="25" t="s">
        <v>18</v>
      </c>
      <c r="S18" s="25" t="s">
        <v>3996</v>
      </c>
      <c r="T18" s="25" t="s">
        <v>3995</v>
      </c>
      <c r="U18" s="25" t="s">
        <v>7</v>
      </c>
      <c r="V18" s="25" t="s">
        <v>3994</v>
      </c>
      <c r="W18" s="25" t="s">
        <v>3993</v>
      </c>
      <c r="X18" s="25" t="s">
        <v>5</v>
      </c>
      <c r="Y18" s="25">
        <v>102</v>
      </c>
      <c r="Z18" s="25" t="s">
        <v>3992</v>
      </c>
      <c r="AA18" s="95" t="s">
        <v>3991</v>
      </c>
      <c r="AB18" s="28" t="s">
        <v>3990</v>
      </c>
      <c r="AC18" s="109">
        <v>2.2433000000000002E-2</v>
      </c>
      <c r="AD18" s="106">
        <v>0.51597222222222217</v>
      </c>
    </row>
    <row r="19" spans="1:30">
      <c r="A19" s="1">
        <f t="shared" si="0"/>
        <v>17</v>
      </c>
      <c r="B19" s="1" t="s">
        <v>260</v>
      </c>
      <c r="C19" s="26" t="s">
        <v>1720</v>
      </c>
      <c r="D19" s="3">
        <v>8000</v>
      </c>
      <c r="E19" s="1" t="s">
        <v>8</v>
      </c>
      <c r="F19" s="3">
        <v>600</v>
      </c>
      <c r="G19" s="4">
        <v>44502</v>
      </c>
      <c r="H19" s="1" t="s">
        <v>3989</v>
      </c>
      <c r="I19" s="1" t="s">
        <v>3988</v>
      </c>
      <c r="J19" s="1" t="s">
        <v>2082</v>
      </c>
      <c r="K19" s="1" t="s">
        <v>3987</v>
      </c>
      <c r="L19" s="1">
        <v>2016</v>
      </c>
      <c r="M19" s="1" t="s">
        <v>3986</v>
      </c>
      <c r="N19" s="1" t="s">
        <v>3985</v>
      </c>
      <c r="O19" s="25" t="s">
        <v>3984</v>
      </c>
      <c r="P19" s="25">
        <v>500</v>
      </c>
      <c r="Q19" s="25" t="s">
        <v>3983</v>
      </c>
      <c r="R19" s="25" t="s">
        <v>3982</v>
      </c>
      <c r="S19" s="25">
        <v>940</v>
      </c>
      <c r="T19" s="25" t="s">
        <v>3981</v>
      </c>
      <c r="U19" s="25" t="s">
        <v>5</v>
      </c>
      <c r="V19" s="25">
        <v>92</v>
      </c>
      <c r="W19" s="25" t="s">
        <v>3980</v>
      </c>
      <c r="X19" s="25" t="s">
        <v>5</v>
      </c>
      <c r="Y19" s="25">
        <v>1</v>
      </c>
      <c r="Z19" s="25" t="s">
        <v>878</v>
      </c>
      <c r="AA19" s="95" t="s">
        <v>2080</v>
      </c>
      <c r="AB19" s="28" t="s">
        <v>3979</v>
      </c>
      <c r="AC19" s="109">
        <v>2.6478000000000002E-2</v>
      </c>
      <c r="AD19" s="106">
        <v>5.5555555555555552E-2</v>
      </c>
    </row>
    <row r="20" spans="1:30">
      <c r="A20" s="1">
        <f t="shared" si="0"/>
        <v>18</v>
      </c>
      <c r="B20" s="1" t="s">
        <v>3978</v>
      </c>
      <c r="C20" s="26" t="s">
        <v>1720</v>
      </c>
      <c r="D20" s="3">
        <v>7000</v>
      </c>
      <c r="E20" s="1" t="s">
        <v>9</v>
      </c>
      <c r="F20" s="3">
        <v>325</v>
      </c>
      <c r="G20" s="4">
        <v>44299</v>
      </c>
      <c r="H20" s="1" t="s">
        <v>3197</v>
      </c>
      <c r="I20" s="1" t="s">
        <v>3977</v>
      </c>
      <c r="J20" s="1" t="s">
        <v>2616</v>
      </c>
      <c r="K20" s="1" t="s">
        <v>2093</v>
      </c>
      <c r="L20" s="32">
        <v>42522</v>
      </c>
      <c r="M20" s="1" t="s">
        <v>3976</v>
      </c>
      <c r="N20" s="1" t="s">
        <v>3975</v>
      </c>
      <c r="O20" s="25" t="s">
        <v>3974</v>
      </c>
      <c r="P20" s="25">
        <v>155</v>
      </c>
      <c r="Q20" s="25" t="s">
        <v>3973</v>
      </c>
      <c r="R20" s="25" t="s">
        <v>18</v>
      </c>
      <c r="S20" s="25">
        <v>100</v>
      </c>
      <c r="T20" s="25" t="s">
        <v>3972</v>
      </c>
      <c r="U20" s="25" t="s">
        <v>7</v>
      </c>
      <c r="V20" s="25">
        <v>18</v>
      </c>
      <c r="W20" s="25" t="s">
        <v>3971</v>
      </c>
      <c r="X20" s="25" t="s">
        <v>5</v>
      </c>
      <c r="Y20" s="25">
        <v>4.5</v>
      </c>
      <c r="Z20" s="25" t="s">
        <v>3970</v>
      </c>
      <c r="AA20" s="95" t="s">
        <v>2405</v>
      </c>
      <c r="AB20" s="28" t="s">
        <v>4521</v>
      </c>
      <c r="AC20" s="109">
        <v>0.38327699999999998</v>
      </c>
      <c r="AD20" s="106">
        <v>0.11875000000000001</v>
      </c>
    </row>
    <row r="21" spans="1:30">
      <c r="A21" s="1">
        <f t="shared" si="0"/>
        <v>19</v>
      </c>
      <c r="B21" s="1" t="s">
        <v>3969</v>
      </c>
      <c r="C21" s="26" t="s">
        <v>1720</v>
      </c>
      <c r="D21" s="3">
        <v>7000</v>
      </c>
      <c r="E21" s="1" t="s">
        <v>9</v>
      </c>
      <c r="F21" s="3">
        <v>250</v>
      </c>
      <c r="G21" s="4">
        <v>44350</v>
      </c>
      <c r="H21" s="1" t="s">
        <v>3968</v>
      </c>
      <c r="I21" s="1" t="s">
        <v>3967</v>
      </c>
      <c r="J21" s="1" t="s">
        <v>2082</v>
      </c>
      <c r="K21" s="1" t="s">
        <v>2163</v>
      </c>
      <c r="L21" s="1">
        <v>2015</v>
      </c>
      <c r="M21" s="1" t="s">
        <v>3966</v>
      </c>
      <c r="N21" s="1" t="s">
        <v>3965</v>
      </c>
      <c r="O21" s="25" t="s">
        <v>8</v>
      </c>
      <c r="P21" s="25">
        <v>200</v>
      </c>
      <c r="Q21" s="25" t="s">
        <v>3964</v>
      </c>
      <c r="R21" s="25" t="s">
        <v>18</v>
      </c>
      <c r="S21" s="25" t="s">
        <v>3963</v>
      </c>
      <c r="T21" s="25" t="s">
        <v>3962</v>
      </c>
      <c r="U21" s="25" t="s">
        <v>7</v>
      </c>
      <c r="V21" s="25">
        <v>40</v>
      </c>
      <c r="W21" s="25" t="s">
        <v>3961</v>
      </c>
      <c r="X21" s="25" t="s">
        <v>5</v>
      </c>
      <c r="Y21" s="25">
        <v>22</v>
      </c>
      <c r="Z21" s="25" t="s">
        <v>3960</v>
      </c>
      <c r="AA21" s="95" t="s">
        <v>2085</v>
      </c>
      <c r="AB21" s="28" t="s">
        <v>3959</v>
      </c>
      <c r="AC21" s="109">
        <v>1.0680000000000001</v>
      </c>
      <c r="AD21" s="106">
        <v>0.16180555555555556</v>
      </c>
    </row>
    <row r="22" spans="1:30">
      <c r="A22" s="1">
        <f t="shared" si="0"/>
        <v>20</v>
      </c>
      <c r="B22" s="12" t="s">
        <v>3958</v>
      </c>
      <c r="C22" s="26" t="s">
        <v>1720</v>
      </c>
      <c r="D22" s="3">
        <v>6000</v>
      </c>
      <c r="E22" s="1" t="s">
        <v>513</v>
      </c>
      <c r="F22" s="3">
        <v>250</v>
      </c>
      <c r="G22" s="4">
        <v>44376</v>
      </c>
      <c r="H22" s="1" t="s">
        <v>2930</v>
      </c>
      <c r="I22" s="1" t="s">
        <v>3957</v>
      </c>
      <c r="J22" s="1" t="s">
        <v>2082</v>
      </c>
      <c r="K22" s="1" t="s">
        <v>2093</v>
      </c>
      <c r="L22" s="1">
        <v>2012</v>
      </c>
      <c r="N22" s="1" t="s">
        <v>3956</v>
      </c>
      <c r="O22" s="25" t="s">
        <v>55</v>
      </c>
      <c r="P22" s="25">
        <v>270</v>
      </c>
      <c r="Q22" s="25" t="s">
        <v>3955</v>
      </c>
      <c r="R22" s="25" t="s">
        <v>9</v>
      </c>
      <c r="S22" s="25">
        <v>206</v>
      </c>
      <c r="T22" s="25" t="s">
        <v>3954</v>
      </c>
      <c r="U22" s="25" t="s">
        <v>8</v>
      </c>
      <c r="V22" s="25">
        <v>100</v>
      </c>
      <c r="W22" s="25" t="s">
        <v>3953</v>
      </c>
      <c r="X22" s="25" t="s">
        <v>18</v>
      </c>
      <c r="Y22" s="25">
        <v>67.2</v>
      </c>
      <c r="Z22" s="25" t="s">
        <v>3952</v>
      </c>
      <c r="AA22" s="95" t="s">
        <v>2201</v>
      </c>
      <c r="AB22" s="28" t="s">
        <v>4522</v>
      </c>
      <c r="AC22" s="109">
        <v>0.221168</v>
      </c>
      <c r="AD22" s="106">
        <v>0.15</v>
      </c>
    </row>
    <row r="23" spans="1:30">
      <c r="A23" s="1">
        <f t="shared" si="0"/>
        <v>21</v>
      </c>
      <c r="B23" s="1" t="s">
        <v>215</v>
      </c>
      <c r="C23" s="26" t="s">
        <v>1720</v>
      </c>
      <c r="D23" s="3">
        <v>4400</v>
      </c>
      <c r="E23" s="1" t="s">
        <v>8</v>
      </c>
      <c r="F23" s="3">
        <v>676</v>
      </c>
      <c r="G23" s="4">
        <v>44299</v>
      </c>
      <c r="H23" s="1" t="s">
        <v>3951</v>
      </c>
      <c r="I23" s="1" t="s">
        <v>3950</v>
      </c>
      <c r="J23" s="1" t="s">
        <v>2082</v>
      </c>
      <c r="K23" s="1" t="s">
        <v>2903</v>
      </c>
      <c r="L23" s="1">
        <v>2017</v>
      </c>
      <c r="N23" s="1" t="s">
        <v>3949</v>
      </c>
      <c r="O23" s="25" t="s">
        <v>3948</v>
      </c>
      <c r="P23" s="25">
        <v>250</v>
      </c>
      <c r="Q23" s="25" t="s">
        <v>3947</v>
      </c>
      <c r="R23" s="25" t="s">
        <v>7</v>
      </c>
      <c r="S23" s="25">
        <v>150</v>
      </c>
      <c r="T23" s="25" t="s">
        <v>3946</v>
      </c>
      <c r="U23" s="25" t="s">
        <v>5</v>
      </c>
      <c r="V23" s="25">
        <v>56</v>
      </c>
      <c r="W23" s="25" t="s">
        <v>3945</v>
      </c>
      <c r="X23" s="25" t="s">
        <v>4</v>
      </c>
      <c r="Y23" s="25">
        <v>2</v>
      </c>
      <c r="Z23" s="25" t="s">
        <v>1127</v>
      </c>
      <c r="AA23" s="95" t="s">
        <v>2194</v>
      </c>
      <c r="AB23" s="28" t="s">
        <v>3944</v>
      </c>
      <c r="AC23" s="109">
        <v>1.1689E-2</v>
      </c>
      <c r="AD23" s="106">
        <v>0.14444444444444446</v>
      </c>
    </row>
    <row r="24" spans="1:30">
      <c r="A24" s="1">
        <f t="shared" si="0"/>
        <v>22</v>
      </c>
      <c r="B24" s="1" t="s">
        <v>252</v>
      </c>
      <c r="C24" s="26" t="s">
        <v>1720</v>
      </c>
      <c r="D24" s="3">
        <v>4200</v>
      </c>
      <c r="E24" s="1" t="s">
        <v>18</v>
      </c>
      <c r="F24" s="3">
        <v>820</v>
      </c>
      <c r="G24" s="4">
        <v>43223</v>
      </c>
      <c r="H24" s="1" t="s">
        <v>3943</v>
      </c>
      <c r="I24" s="1" t="s">
        <v>3942</v>
      </c>
      <c r="J24" s="1" t="s">
        <v>2082</v>
      </c>
      <c r="K24" s="1" t="s">
        <v>2392</v>
      </c>
      <c r="L24" s="1">
        <v>2012</v>
      </c>
      <c r="N24" s="1" t="s">
        <v>3941</v>
      </c>
      <c r="O24" s="25" t="s">
        <v>3940</v>
      </c>
      <c r="P24" s="25">
        <v>100</v>
      </c>
      <c r="Q24" s="25" t="s">
        <v>3939</v>
      </c>
      <c r="R24" s="25" t="s">
        <v>5</v>
      </c>
      <c r="S24" s="25">
        <v>20</v>
      </c>
      <c r="T24" s="25" t="s">
        <v>253</v>
      </c>
      <c r="U24" s="25" t="s">
        <v>1</v>
      </c>
      <c r="V24" s="25" t="s">
        <v>1</v>
      </c>
      <c r="W24" s="25" t="s">
        <v>1</v>
      </c>
      <c r="X24" s="25" t="s">
        <v>1</v>
      </c>
      <c r="Y24" s="25" t="s">
        <v>1</v>
      </c>
      <c r="Z24" s="25" t="s">
        <v>1</v>
      </c>
      <c r="AA24" s="95" t="s">
        <v>3938</v>
      </c>
      <c r="AB24" s="28" t="s">
        <v>3937</v>
      </c>
      <c r="AC24" s="109">
        <v>6.6556000000000004E-2</v>
      </c>
      <c r="AD24" s="106">
        <v>0.2590277777777778</v>
      </c>
    </row>
    <row r="25" spans="1:30">
      <c r="A25" s="1">
        <f t="shared" si="0"/>
        <v>23</v>
      </c>
      <c r="B25" s="1" t="s">
        <v>979</v>
      </c>
      <c r="C25" s="26" t="s">
        <v>1720</v>
      </c>
      <c r="D25" s="3">
        <v>4100</v>
      </c>
      <c r="E25" s="1" t="s">
        <v>18</v>
      </c>
      <c r="F25" s="3">
        <v>450</v>
      </c>
      <c r="G25" s="4">
        <v>45069</v>
      </c>
      <c r="H25" s="1" t="s">
        <v>3936</v>
      </c>
      <c r="I25" s="1" t="s">
        <v>3935</v>
      </c>
      <c r="J25" s="1" t="s">
        <v>2616</v>
      </c>
      <c r="K25" s="1" t="s">
        <v>3223</v>
      </c>
      <c r="L25" s="1">
        <v>2021</v>
      </c>
      <c r="M25" s="1" t="s">
        <v>3934</v>
      </c>
      <c r="N25" s="1" t="s">
        <v>3933</v>
      </c>
      <c r="O25" s="25" t="s">
        <v>1108</v>
      </c>
      <c r="P25" s="25">
        <v>300</v>
      </c>
      <c r="Q25" s="25" t="s">
        <v>3932</v>
      </c>
      <c r="R25" s="25" t="s">
        <v>7</v>
      </c>
      <c r="S25" s="25">
        <v>580</v>
      </c>
      <c r="T25" s="25" t="s">
        <v>982</v>
      </c>
      <c r="U25" s="25" t="s">
        <v>5</v>
      </c>
      <c r="V25" s="25">
        <v>124</v>
      </c>
      <c r="W25" s="25" t="s">
        <v>3931</v>
      </c>
      <c r="X25" s="25" t="s">
        <v>1</v>
      </c>
      <c r="Y25" s="25" t="s">
        <v>1</v>
      </c>
      <c r="Z25" s="25" t="s">
        <v>1</v>
      </c>
      <c r="AA25" s="95" t="s">
        <v>2405</v>
      </c>
      <c r="AB25" s="28" t="s">
        <v>4523</v>
      </c>
      <c r="AC25" s="109">
        <v>3.4249999999999998</v>
      </c>
      <c r="AD25" s="106">
        <v>0.1173611111111111</v>
      </c>
    </row>
    <row r="26" spans="1:30">
      <c r="A26" s="1">
        <f t="shared" si="0"/>
        <v>24</v>
      </c>
      <c r="B26" s="1" t="s">
        <v>49</v>
      </c>
      <c r="C26" s="26" t="s">
        <v>1720</v>
      </c>
      <c r="D26" s="3">
        <v>4100</v>
      </c>
      <c r="E26" s="1" t="s">
        <v>55</v>
      </c>
      <c r="F26" s="3">
        <v>100</v>
      </c>
      <c r="G26" s="4">
        <v>44515</v>
      </c>
      <c r="I26" s="1" t="s">
        <v>3930</v>
      </c>
      <c r="J26" s="1" t="s">
        <v>2082</v>
      </c>
      <c r="K26" s="1" t="s">
        <v>2108</v>
      </c>
      <c r="L26" s="1">
        <v>2012</v>
      </c>
      <c r="N26" s="1" t="s">
        <v>3929</v>
      </c>
      <c r="O26" s="25" t="s">
        <v>9</v>
      </c>
      <c r="P26" s="25" t="s">
        <v>3928</v>
      </c>
      <c r="Q26" s="25" t="s">
        <v>3927</v>
      </c>
      <c r="R26" s="25" t="s">
        <v>8</v>
      </c>
      <c r="S26" s="25" t="s">
        <v>3926</v>
      </c>
      <c r="T26" s="25" t="s">
        <v>3925</v>
      </c>
      <c r="U26" s="25" t="s">
        <v>18</v>
      </c>
      <c r="V26" s="25">
        <v>60</v>
      </c>
      <c r="W26" s="25" t="s">
        <v>3924</v>
      </c>
      <c r="X26" s="25" t="s">
        <v>18</v>
      </c>
      <c r="Y26" s="25">
        <v>50</v>
      </c>
      <c r="Z26" s="25" t="s">
        <v>3923</v>
      </c>
      <c r="AA26" s="95" t="s">
        <v>2080</v>
      </c>
      <c r="AB26" s="28" t="s">
        <v>3922</v>
      </c>
      <c r="AC26" s="109">
        <v>0.24010600000000001</v>
      </c>
      <c r="AD26" s="106">
        <v>0.30833333333333335</v>
      </c>
    </row>
    <row r="27" spans="1:30">
      <c r="A27" s="1">
        <f t="shared" si="0"/>
        <v>25</v>
      </c>
      <c r="B27" s="1" t="s">
        <v>1159</v>
      </c>
      <c r="C27" s="26" t="s">
        <v>1720</v>
      </c>
      <c r="D27" s="3">
        <v>4000</v>
      </c>
      <c r="E27" s="1" t="s">
        <v>5</v>
      </c>
      <c r="F27" s="54">
        <v>1300</v>
      </c>
      <c r="G27" s="4">
        <v>44694</v>
      </c>
      <c r="H27" s="1" t="s">
        <v>3921</v>
      </c>
      <c r="I27" s="1" t="s">
        <v>3920</v>
      </c>
      <c r="J27" s="1" t="s">
        <v>2351</v>
      </c>
      <c r="K27" s="1" t="s">
        <v>2510</v>
      </c>
      <c r="L27" s="1">
        <v>2022</v>
      </c>
      <c r="M27" s="1" t="s">
        <v>3919</v>
      </c>
      <c r="N27" s="1" t="s">
        <v>3918</v>
      </c>
      <c r="O27" s="25" t="s">
        <v>5</v>
      </c>
      <c r="P27" s="25">
        <v>225</v>
      </c>
      <c r="Q27" s="1" t="s">
        <v>1160</v>
      </c>
      <c r="R27" s="25" t="s">
        <v>1</v>
      </c>
      <c r="S27" s="25" t="s">
        <v>1</v>
      </c>
      <c r="T27" s="25" t="s">
        <v>1</v>
      </c>
      <c r="U27" s="25" t="s">
        <v>1</v>
      </c>
      <c r="V27" s="25" t="s">
        <v>1</v>
      </c>
      <c r="W27" s="25" t="s">
        <v>1</v>
      </c>
      <c r="X27" s="25" t="s">
        <v>1</v>
      </c>
      <c r="Y27" s="25" t="s">
        <v>1</v>
      </c>
      <c r="Z27" s="25" t="s">
        <v>1</v>
      </c>
      <c r="AA27" s="95" t="s">
        <v>2194</v>
      </c>
      <c r="AB27" s="28" t="s">
        <v>4524</v>
      </c>
      <c r="AC27" s="109">
        <v>1.9219999999999999</v>
      </c>
      <c r="AD27" s="106">
        <v>0.27152777777777776</v>
      </c>
    </row>
    <row r="28" spans="1:30">
      <c r="A28" s="1">
        <f t="shared" si="0"/>
        <v>26</v>
      </c>
      <c r="B28" s="1" t="s">
        <v>76</v>
      </c>
      <c r="C28" s="26" t="s">
        <v>1720</v>
      </c>
      <c r="D28" s="3">
        <v>3800</v>
      </c>
      <c r="E28" s="1" t="s">
        <v>55</v>
      </c>
      <c r="F28" s="3">
        <v>250</v>
      </c>
      <c r="G28" s="4">
        <v>44510</v>
      </c>
      <c r="H28" s="1" t="s">
        <v>3917</v>
      </c>
      <c r="I28" s="1" t="s">
        <v>3916</v>
      </c>
      <c r="J28" s="1" t="s">
        <v>2138</v>
      </c>
      <c r="K28" s="1" t="s">
        <v>3915</v>
      </c>
      <c r="L28" s="1">
        <v>2016</v>
      </c>
      <c r="N28" s="1" t="s">
        <v>3914</v>
      </c>
      <c r="O28" s="25" t="s">
        <v>9</v>
      </c>
      <c r="P28" s="25" t="s">
        <v>3913</v>
      </c>
      <c r="Q28" s="25" t="s">
        <v>1</v>
      </c>
      <c r="R28" s="25" t="s">
        <v>8</v>
      </c>
      <c r="S28" s="25" t="s">
        <v>3912</v>
      </c>
      <c r="T28" s="25" t="s">
        <v>3911</v>
      </c>
      <c r="U28" s="25" t="s">
        <v>18</v>
      </c>
      <c r="V28" s="25">
        <v>60</v>
      </c>
      <c r="W28" s="25" t="s">
        <v>3910</v>
      </c>
      <c r="X28" s="25" t="s">
        <v>7</v>
      </c>
      <c r="Y28" s="25">
        <v>25</v>
      </c>
      <c r="Z28" s="25" t="s">
        <v>3909</v>
      </c>
      <c r="AA28" s="95" t="s">
        <v>2234</v>
      </c>
      <c r="AB28" s="28" t="s">
        <v>3908</v>
      </c>
      <c r="AC28" s="109">
        <v>6.4711000000000005E-2</v>
      </c>
      <c r="AD28" s="106">
        <v>5.0694444444444452E-2</v>
      </c>
    </row>
    <row r="29" spans="1:30">
      <c r="A29" s="1">
        <f t="shared" si="0"/>
        <v>27</v>
      </c>
      <c r="B29" s="1" t="s">
        <v>181</v>
      </c>
      <c r="C29" s="26" t="s">
        <v>1720</v>
      </c>
      <c r="D29" s="3">
        <v>3600</v>
      </c>
      <c r="E29" s="1" t="s">
        <v>55</v>
      </c>
      <c r="F29" s="3">
        <v>475</v>
      </c>
      <c r="G29" s="4">
        <v>44278</v>
      </c>
      <c r="H29" s="1" t="s">
        <v>3907</v>
      </c>
      <c r="I29" s="1" t="s">
        <v>3906</v>
      </c>
      <c r="J29" s="1" t="s">
        <v>2082</v>
      </c>
      <c r="K29" s="1" t="s">
        <v>3905</v>
      </c>
      <c r="L29" s="1">
        <v>2009</v>
      </c>
      <c r="N29" s="1" t="s">
        <v>3904</v>
      </c>
      <c r="O29" s="25" t="s">
        <v>3903</v>
      </c>
      <c r="P29" s="25">
        <v>392</v>
      </c>
      <c r="Q29" s="25" t="s">
        <v>3902</v>
      </c>
      <c r="R29" s="25" t="s">
        <v>3901</v>
      </c>
      <c r="S29" s="25">
        <v>130</v>
      </c>
      <c r="T29" s="25" t="s">
        <v>3900</v>
      </c>
      <c r="U29" s="25" t="s">
        <v>18</v>
      </c>
      <c r="V29" s="25">
        <v>34</v>
      </c>
      <c r="W29" s="25" t="s">
        <v>3899</v>
      </c>
      <c r="X29" s="25" t="s">
        <v>7</v>
      </c>
      <c r="Y29" s="25">
        <v>16.5</v>
      </c>
      <c r="Z29" s="25" t="s">
        <v>3898</v>
      </c>
      <c r="AA29" s="95" t="s">
        <v>2092</v>
      </c>
      <c r="AB29" s="28" t="s">
        <v>3897</v>
      </c>
      <c r="AC29" s="109">
        <v>8.6777999999999994E-2</v>
      </c>
      <c r="AD29" s="106">
        <v>0.11666666666666665</v>
      </c>
    </row>
    <row r="30" spans="1:30">
      <c r="B30" s="1" t="s">
        <v>2152</v>
      </c>
      <c r="C30" s="26" t="s">
        <v>1720</v>
      </c>
      <c r="D30" s="3">
        <v>3600</v>
      </c>
      <c r="E30" s="1" t="s">
        <v>8</v>
      </c>
      <c r="F30" s="3">
        <v>83</v>
      </c>
      <c r="G30" s="4">
        <v>44320</v>
      </c>
      <c r="H30" s="84" t="s">
        <v>5094</v>
      </c>
      <c r="I30" s="84" t="s">
        <v>5081</v>
      </c>
      <c r="J30" s="1" t="s">
        <v>2082</v>
      </c>
      <c r="K30" s="1" t="s">
        <v>2093</v>
      </c>
      <c r="L30" s="1">
        <v>2016</v>
      </c>
      <c r="M30" s="95" t="s">
        <v>5228</v>
      </c>
      <c r="N30" s="84" t="s">
        <v>5083</v>
      </c>
      <c r="O30" s="87" t="s">
        <v>18</v>
      </c>
      <c r="P30" s="87" t="s">
        <v>5089</v>
      </c>
      <c r="Q30" s="87" t="s">
        <v>5090</v>
      </c>
      <c r="R30" s="87" t="s">
        <v>7</v>
      </c>
      <c r="S30" s="25">
        <v>40</v>
      </c>
      <c r="T30" s="87" t="s">
        <v>5091</v>
      </c>
      <c r="U30" s="87" t="s">
        <v>5</v>
      </c>
      <c r="V30" s="25">
        <v>25</v>
      </c>
      <c r="W30" s="87" t="s">
        <v>5092</v>
      </c>
      <c r="X30" s="87" t="s">
        <v>5</v>
      </c>
      <c r="Y30" s="25">
        <v>15</v>
      </c>
      <c r="Z30" s="87" t="s">
        <v>5093</v>
      </c>
      <c r="AA30" s="95" t="s">
        <v>2092</v>
      </c>
      <c r="AB30" s="28" t="s">
        <v>2151</v>
      </c>
      <c r="AC30" s="109">
        <v>1.9585000000000002E-2</v>
      </c>
      <c r="AD30" s="106">
        <v>9.375E-2</v>
      </c>
    </row>
    <row r="31" spans="1:30">
      <c r="A31" s="1">
        <f>A29+1</f>
        <v>28</v>
      </c>
      <c r="B31" s="1" t="s">
        <v>239</v>
      </c>
      <c r="C31" s="26" t="s">
        <v>1720</v>
      </c>
      <c r="D31" s="3">
        <v>3300</v>
      </c>
      <c r="E31" s="1" t="s">
        <v>8</v>
      </c>
      <c r="F31" s="3">
        <v>750</v>
      </c>
      <c r="G31" s="4">
        <v>43593</v>
      </c>
      <c r="H31" s="1" t="s">
        <v>3896</v>
      </c>
      <c r="I31" s="1" t="s">
        <v>3895</v>
      </c>
      <c r="J31" s="1" t="s">
        <v>2082</v>
      </c>
      <c r="K31" s="1" t="s">
        <v>2081</v>
      </c>
      <c r="L31" s="1">
        <v>2011</v>
      </c>
      <c r="M31" s="1" t="s">
        <v>3894</v>
      </c>
      <c r="N31" s="1" t="s">
        <v>3893</v>
      </c>
      <c r="O31" s="25" t="s">
        <v>18</v>
      </c>
      <c r="P31" s="25">
        <v>460</v>
      </c>
      <c r="Q31" s="25" t="s">
        <v>3892</v>
      </c>
      <c r="R31" s="25" t="s">
        <v>18</v>
      </c>
      <c r="S31" s="25">
        <v>100</v>
      </c>
      <c r="T31" s="25" t="s">
        <v>3891</v>
      </c>
      <c r="U31" s="25" t="s">
        <v>7</v>
      </c>
      <c r="V31" s="25">
        <v>22</v>
      </c>
      <c r="W31" s="25" t="s">
        <v>3890</v>
      </c>
      <c r="X31" s="25" t="s">
        <v>5</v>
      </c>
      <c r="Y31" s="25" t="s">
        <v>1</v>
      </c>
      <c r="Z31" s="25" t="s">
        <v>3889</v>
      </c>
      <c r="AA31" s="95" t="s">
        <v>2413</v>
      </c>
      <c r="AB31" s="28" t="s">
        <v>3888</v>
      </c>
      <c r="AC31" s="109">
        <v>5.3029E-2</v>
      </c>
      <c r="AD31" s="106">
        <v>5.7638888888888885E-2</v>
      </c>
    </row>
    <row r="32" spans="1:30">
      <c r="A32" s="1">
        <f t="shared" si="0"/>
        <v>29</v>
      </c>
      <c r="B32" s="1" t="s">
        <v>159</v>
      </c>
      <c r="C32" s="26" t="s">
        <v>1720</v>
      </c>
      <c r="D32" s="3">
        <v>3500</v>
      </c>
      <c r="E32" s="1" t="s">
        <v>55</v>
      </c>
      <c r="F32" s="3">
        <v>200</v>
      </c>
      <c r="G32" s="4">
        <v>44907</v>
      </c>
      <c r="H32" s="1" t="s">
        <v>3887</v>
      </c>
      <c r="I32" s="1" t="s">
        <v>3886</v>
      </c>
      <c r="J32" s="1" t="s">
        <v>2082</v>
      </c>
      <c r="K32" s="1" t="s">
        <v>2903</v>
      </c>
      <c r="L32" s="1">
        <v>2013</v>
      </c>
      <c r="N32" s="1" t="s">
        <v>3885</v>
      </c>
      <c r="O32" s="25" t="s">
        <v>9</v>
      </c>
      <c r="P32" s="25" t="s">
        <v>3884</v>
      </c>
      <c r="Q32" s="25" t="s">
        <v>3883</v>
      </c>
      <c r="R32" s="25" t="s">
        <v>8</v>
      </c>
      <c r="S32" s="25">
        <v>100</v>
      </c>
      <c r="T32" s="25" t="s">
        <v>3882</v>
      </c>
      <c r="U32" s="25" t="s">
        <v>18</v>
      </c>
      <c r="V32" s="25">
        <v>101</v>
      </c>
      <c r="W32" s="25" t="s">
        <v>3881</v>
      </c>
      <c r="X32" s="25" t="s">
        <v>7</v>
      </c>
      <c r="Y32" s="25">
        <v>28</v>
      </c>
      <c r="Z32" s="25" t="s">
        <v>3880</v>
      </c>
      <c r="AA32" s="95" t="s">
        <v>2531</v>
      </c>
      <c r="AB32" s="28" t="s">
        <v>3879</v>
      </c>
      <c r="AC32" s="109">
        <v>0.65510400000000002</v>
      </c>
      <c r="AD32" s="106">
        <v>6.1111111111111116E-2</v>
      </c>
    </row>
    <row r="33" spans="1:30">
      <c r="A33" s="1">
        <f t="shared" si="0"/>
        <v>30</v>
      </c>
      <c r="B33" s="1" t="s">
        <v>3878</v>
      </c>
      <c r="C33" s="26" t="s">
        <v>3877</v>
      </c>
      <c r="D33" s="3">
        <v>3500</v>
      </c>
      <c r="E33" s="1" t="s">
        <v>3875</v>
      </c>
      <c r="F33" s="3">
        <v>651</v>
      </c>
      <c r="G33" s="4">
        <v>44174</v>
      </c>
      <c r="H33" s="1" t="s">
        <v>2082</v>
      </c>
      <c r="I33" s="1" t="s">
        <v>3876</v>
      </c>
      <c r="J33" s="1" t="s">
        <v>2082</v>
      </c>
      <c r="K33" s="1" t="s">
        <v>2273</v>
      </c>
      <c r="L33" s="1">
        <v>2009</v>
      </c>
      <c r="N33" s="1" t="s">
        <v>3875</v>
      </c>
      <c r="O33" s="25" t="s">
        <v>55</v>
      </c>
      <c r="P33" s="25">
        <v>106</v>
      </c>
      <c r="Q33" s="25" t="s">
        <v>3874</v>
      </c>
      <c r="S33" s="25" t="s">
        <v>1</v>
      </c>
      <c r="T33" s="25" t="s">
        <v>1</v>
      </c>
      <c r="U33" s="25" t="s">
        <v>1</v>
      </c>
      <c r="V33" s="25" t="s">
        <v>1</v>
      </c>
      <c r="W33" s="25" t="s">
        <v>1</v>
      </c>
      <c r="X33" s="25" t="s">
        <v>1</v>
      </c>
      <c r="Y33" s="25" t="s">
        <v>1</v>
      </c>
      <c r="Z33" s="25" t="s">
        <v>1</v>
      </c>
      <c r="AA33" s="95" t="s">
        <v>3175</v>
      </c>
      <c r="AB33" s="28" t="s">
        <v>4525</v>
      </c>
      <c r="AC33" s="109">
        <v>0.17391100000000001</v>
      </c>
      <c r="AD33" s="106">
        <v>6.458333333333334E-2</v>
      </c>
    </row>
    <row r="34" spans="1:30">
      <c r="A34" s="1">
        <f t="shared" si="0"/>
        <v>31</v>
      </c>
      <c r="B34" s="1" t="s">
        <v>218</v>
      </c>
      <c r="C34" s="26" t="s">
        <v>1720</v>
      </c>
      <c r="D34" s="3">
        <v>3500</v>
      </c>
      <c r="E34" s="1" t="s">
        <v>8</v>
      </c>
      <c r="F34" s="3">
        <v>700</v>
      </c>
      <c r="G34" s="4">
        <v>44218</v>
      </c>
      <c r="H34" s="1" t="s">
        <v>3873</v>
      </c>
      <c r="I34" s="1" t="s">
        <v>3872</v>
      </c>
      <c r="J34" s="1" t="s">
        <v>2082</v>
      </c>
      <c r="K34" s="1" t="s">
        <v>2093</v>
      </c>
      <c r="L34" s="1">
        <v>2014</v>
      </c>
      <c r="M34" s="1" t="s">
        <v>3871</v>
      </c>
      <c r="N34" s="1" t="s">
        <v>3870</v>
      </c>
      <c r="O34" s="25" t="s">
        <v>18</v>
      </c>
      <c r="P34" s="25" t="s">
        <v>3869</v>
      </c>
      <c r="Q34" s="25" t="s">
        <v>3868</v>
      </c>
      <c r="R34" s="25" t="s">
        <v>18</v>
      </c>
      <c r="S34" s="25">
        <v>140</v>
      </c>
      <c r="T34" s="25" t="s">
        <v>3867</v>
      </c>
      <c r="U34" s="25" t="s">
        <v>7</v>
      </c>
      <c r="V34" s="25" t="s">
        <v>1</v>
      </c>
      <c r="W34" s="25" t="s">
        <v>3866</v>
      </c>
      <c r="X34" s="25" t="s">
        <v>5</v>
      </c>
      <c r="Y34" s="25" t="s">
        <v>1</v>
      </c>
      <c r="Z34" s="25" t="s">
        <v>3865</v>
      </c>
      <c r="AA34" s="95" t="s">
        <v>2413</v>
      </c>
      <c r="AB34" s="28" t="s">
        <v>3864</v>
      </c>
      <c r="AC34" s="109">
        <v>0.41541</v>
      </c>
      <c r="AD34" s="106">
        <v>0.21111111111111111</v>
      </c>
    </row>
    <row r="35" spans="1:30">
      <c r="A35" s="1">
        <f t="shared" si="0"/>
        <v>32</v>
      </c>
      <c r="B35" s="1" t="s">
        <v>2155</v>
      </c>
      <c r="C35" s="26" t="s">
        <v>1720</v>
      </c>
      <c r="D35" s="3">
        <v>3400</v>
      </c>
      <c r="E35" s="1" t="s">
        <v>8</v>
      </c>
      <c r="F35" s="3">
        <v>175</v>
      </c>
      <c r="G35" s="4">
        <v>44511</v>
      </c>
      <c r="H35" s="84" t="s">
        <v>5080</v>
      </c>
      <c r="I35" s="84" t="s">
        <v>5070</v>
      </c>
      <c r="J35" s="1" t="s">
        <v>2082</v>
      </c>
      <c r="K35" s="1" t="s">
        <v>2154</v>
      </c>
      <c r="L35" s="1">
        <v>2017</v>
      </c>
      <c r="N35" s="84" t="s">
        <v>5072</v>
      </c>
      <c r="O35" s="87" t="s">
        <v>18</v>
      </c>
      <c r="P35" s="87" t="s">
        <v>5075</v>
      </c>
      <c r="Q35" s="87" t="s">
        <v>5076</v>
      </c>
      <c r="R35" s="87" t="s">
        <v>7</v>
      </c>
      <c r="S35" s="25">
        <v>40</v>
      </c>
      <c r="T35" s="87" t="s">
        <v>5074</v>
      </c>
      <c r="U35" s="87" t="s">
        <v>5</v>
      </c>
      <c r="V35" s="25">
        <v>11.5</v>
      </c>
      <c r="W35" s="87" t="s">
        <v>5077</v>
      </c>
      <c r="X35" s="87" t="s">
        <v>4</v>
      </c>
      <c r="Y35" s="87" t="s">
        <v>1</v>
      </c>
      <c r="Z35" s="87" t="s">
        <v>5079</v>
      </c>
      <c r="AA35" s="95" t="s">
        <v>2080</v>
      </c>
      <c r="AB35" s="28" t="s">
        <v>2153</v>
      </c>
      <c r="AC35" s="109">
        <v>6.0814E-2</v>
      </c>
      <c r="AD35" s="106">
        <v>5.6250000000000001E-2</v>
      </c>
    </row>
    <row r="36" spans="1:30">
      <c r="A36" s="1">
        <f t="shared" si="0"/>
        <v>33</v>
      </c>
      <c r="B36" s="1" t="s">
        <v>3863</v>
      </c>
      <c r="C36" s="26" t="s">
        <v>1720</v>
      </c>
      <c r="D36" s="3">
        <v>3000</v>
      </c>
      <c r="E36" s="1" t="s">
        <v>1</v>
      </c>
      <c r="F36" s="3" t="s">
        <v>1</v>
      </c>
      <c r="G36" s="3" t="s">
        <v>1</v>
      </c>
      <c r="H36" s="1" t="s">
        <v>3862</v>
      </c>
      <c r="I36" s="1" t="s">
        <v>3861</v>
      </c>
      <c r="J36" s="1" t="s">
        <v>2082</v>
      </c>
      <c r="K36" s="1" t="s">
        <v>2108</v>
      </c>
      <c r="L36" s="1">
        <v>2017</v>
      </c>
      <c r="M36" s="95" t="s">
        <v>5229</v>
      </c>
      <c r="N36" s="1" t="s">
        <v>1</v>
      </c>
      <c r="O36" s="1" t="s">
        <v>1</v>
      </c>
      <c r="P36" s="1" t="s">
        <v>1</v>
      </c>
      <c r="Q36" s="1" t="s">
        <v>1</v>
      </c>
      <c r="R36" s="1" t="s">
        <v>1</v>
      </c>
      <c r="S36" s="1" t="s">
        <v>1</v>
      </c>
      <c r="T36" s="1" t="s">
        <v>1</v>
      </c>
      <c r="U36" s="1" t="s">
        <v>1</v>
      </c>
      <c r="V36" s="1" t="s">
        <v>1</v>
      </c>
      <c r="W36" s="1" t="s">
        <v>1</v>
      </c>
      <c r="X36" s="1" t="s">
        <v>1</v>
      </c>
      <c r="Y36" s="1" t="s">
        <v>1</v>
      </c>
      <c r="Z36" s="1" t="s">
        <v>1</v>
      </c>
      <c r="AA36" s="95" t="s">
        <v>2194</v>
      </c>
      <c r="AB36" s="28" t="s">
        <v>3860</v>
      </c>
      <c r="AC36" s="109">
        <v>1.9136E-2</v>
      </c>
      <c r="AD36" s="106">
        <v>5.6250000000000001E-2</v>
      </c>
    </row>
    <row r="37" spans="1:30">
      <c r="A37" s="1">
        <f t="shared" si="0"/>
        <v>34</v>
      </c>
      <c r="B37" s="1" t="s">
        <v>950</v>
      </c>
      <c r="C37" s="26" t="s">
        <v>1720</v>
      </c>
      <c r="D37" s="3">
        <v>3000</v>
      </c>
      <c r="E37" s="1" t="s">
        <v>4</v>
      </c>
      <c r="F37" s="3">
        <v>100</v>
      </c>
      <c r="G37" s="4">
        <v>44846</v>
      </c>
      <c r="H37" s="1" t="s">
        <v>3859</v>
      </c>
      <c r="I37" s="1" t="s">
        <v>3858</v>
      </c>
      <c r="J37" s="1" t="s">
        <v>2351</v>
      </c>
      <c r="K37" s="1" t="s">
        <v>2751</v>
      </c>
      <c r="L37" s="1">
        <v>2019</v>
      </c>
      <c r="M37" s="1" t="s">
        <v>3857</v>
      </c>
      <c r="N37" s="1" t="s">
        <v>3856</v>
      </c>
      <c r="O37" s="25" t="s">
        <v>1</v>
      </c>
      <c r="P37" s="25" t="s">
        <v>1</v>
      </c>
      <c r="Q37" s="25" t="s">
        <v>1</v>
      </c>
      <c r="R37" s="25" t="s">
        <v>1</v>
      </c>
      <c r="S37" s="25" t="s">
        <v>1</v>
      </c>
      <c r="T37" s="25" t="s">
        <v>1</v>
      </c>
      <c r="U37" s="25" t="s">
        <v>1</v>
      </c>
      <c r="V37" s="25" t="s">
        <v>1</v>
      </c>
      <c r="W37" s="25" t="s">
        <v>1</v>
      </c>
      <c r="X37" s="25" t="s">
        <v>1</v>
      </c>
      <c r="Y37" s="25" t="s">
        <v>1</v>
      </c>
      <c r="Z37" s="25" t="s">
        <v>1</v>
      </c>
      <c r="AA37" s="95" t="s">
        <v>2132</v>
      </c>
      <c r="AB37" s="28" t="s">
        <v>4526</v>
      </c>
      <c r="AC37" s="109">
        <v>2.9129999999999998</v>
      </c>
      <c r="AD37" s="106">
        <v>8.1944444444444445E-2</v>
      </c>
    </row>
    <row r="38" spans="1:30">
      <c r="A38" s="1">
        <f t="shared" si="0"/>
        <v>35</v>
      </c>
      <c r="B38" s="1" t="s">
        <v>203</v>
      </c>
      <c r="C38" s="26" t="s">
        <v>1720</v>
      </c>
      <c r="D38" s="3">
        <v>2500</v>
      </c>
      <c r="E38" s="1" t="s">
        <v>18</v>
      </c>
      <c r="F38" s="3">
        <v>500</v>
      </c>
      <c r="G38" s="4">
        <v>44274</v>
      </c>
      <c r="H38" s="1" t="s">
        <v>3855</v>
      </c>
      <c r="J38" s="1" t="s">
        <v>2082</v>
      </c>
      <c r="K38" s="1" t="s">
        <v>2246</v>
      </c>
      <c r="L38" s="1">
        <v>2016</v>
      </c>
      <c r="N38" s="1" t="s">
        <v>3854</v>
      </c>
      <c r="O38" s="25" t="s">
        <v>7</v>
      </c>
      <c r="P38" s="25" t="s">
        <v>3853</v>
      </c>
      <c r="Q38" s="25" t="s">
        <v>3852</v>
      </c>
      <c r="R38" s="25" t="s">
        <v>7</v>
      </c>
      <c r="S38" s="25">
        <v>32</v>
      </c>
      <c r="T38" s="25" t="s">
        <v>1096</v>
      </c>
      <c r="U38" s="25" t="s">
        <v>7</v>
      </c>
      <c r="V38" s="25">
        <v>46</v>
      </c>
      <c r="W38" s="25" t="s">
        <v>3851</v>
      </c>
      <c r="X38" s="25" t="s">
        <v>5</v>
      </c>
      <c r="Y38" s="25" t="s">
        <v>1</v>
      </c>
      <c r="Z38" s="25" t="s">
        <v>3850</v>
      </c>
      <c r="AA38" s="95" t="s">
        <v>2413</v>
      </c>
      <c r="AB38" s="28" t="s">
        <v>3849</v>
      </c>
      <c r="AC38" s="109">
        <v>3.5132999999999998E-2</v>
      </c>
      <c r="AD38" s="106">
        <v>6.1805555555555558E-2</v>
      </c>
    </row>
    <row r="39" spans="1:30">
      <c r="A39" s="1">
        <f t="shared" si="0"/>
        <v>36</v>
      </c>
      <c r="B39" s="1" t="s">
        <v>719</v>
      </c>
      <c r="C39" s="26" t="s">
        <v>1720</v>
      </c>
      <c r="D39" s="53">
        <v>2500</v>
      </c>
      <c r="E39" s="1" t="s">
        <v>9</v>
      </c>
      <c r="F39" s="3">
        <v>222</v>
      </c>
      <c r="G39" s="4">
        <v>44194</v>
      </c>
      <c r="H39" s="1" t="s">
        <v>3847</v>
      </c>
      <c r="I39" s="1" t="s">
        <v>3848</v>
      </c>
      <c r="J39" s="1" t="s">
        <v>2138</v>
      </c>
      <c r="K39" s="1" t="s">
        <v>3847</v>
      </c>
      <c r="L39" s="1">
        <v>2016</v>
      </c>
      <c r="M39" s="1" t="s">
        <v>3846</v>
      </c>
      <c r="N39" s="1" t="s">
        <v>3845</v>
      </c>
      <c r="O39" s="25" t="s">
        <v>8</v>
      </c>
      <c r="P39" s="25" t="s">
        <v>3844</v>
      </c>
      <c r="Q39" s="25" t="s">
        <v>3843</v>
      </c>
      <c r="R39" s="25" t="s">
        <v>8</v>
      </c>
      <c r="S39" s="25" t="s">
        <v>3842</v>
      </c>
      <c r="T39" s="25" t="s">
        <v>3841</v>
      </c>
      <c r="U39" s="25" t="s">
        <v>18</v>
      </c>
      <c r="V39" s="25">
        <v>50</v>
      </c>
      <c r="W39" s="25" t="s">
        <v>3840</v>
      </c>
      <c r="X39" s="25" t="s">
        <v>5</v>
      </c>
      <c r="Y39" s="25">
        <v>30</v>
      </c>
      <c r="Z39" s="25" t="s">
        <v>3839</v>
      </c>
      <c r="AA39" s="95" t="s">
        <v>3838</v>
      </c>
      <c r="AB39" s="28" t="s">
        <v>3837</v>
      </c>
      <c r="AC39" s="109">
        <v>3.8457999999999999E-2</v>
      </c>
      <c r="AD39" s="106">
        <v>0.11388888888888889</v>
      </c>
    </row>
    <row r="40" spans="1:30">
      <c r="A40" s="1">
        <f t="shared" si="0"/>
        <v>37</v>
      </c>
      <c r="B40" s="1" t="s">
        <v>3</v>
      </c>
      <c r="C40" s="26" t="s">
        <v>1720</v>
      </c>
      <c r="D40" s="3">
        <v>2200</v>
      </c>
      <c r="E40" s="1" t="s">
        <v>9</v>
      </c>
      <c r="F40" s="3">
        <v>90</v>
      </c>
      <c r="G40" s="4">
        <v>44721</v>
      </c>
      <c r="H40" s="1" t="s">
        <v>3836</v>
      </c>
      <c r="I40" s="1" t="s">
        <v>3835</v>
      </c>
      <c r="J40" s="1" t="s">
        <v>2227</v>
      </c>
      <c r="K40" s="1" t="s">
        <v>3834</v>
      </c>
      <c r="L40" s="1">
        <v>2015</v>
      </c>
      <c r="N40" s="1" t="s">
        <v>3833</v>
      </c>
      <c r="O40" s="25" t="s">
        <v>8</v>
      </c>
      <c r="P40" s="25" t="s">
        <v>3832</v>
      </c>
      <c r="Q40" s="25" t="s">
        <v>3831</v>
      </c>
      <c r="R40" s="25" t="s">
        <v>18</v>
      </c>
      <c r="S40" s="25">
        <v>70</v>
      </c>
      <c r="T40" s="25" t="s">
        <v>3830</v>
      </c>
      <c r="U40" s="25" t="s">
        <v>7</v>
      </c>
      <c r="V40" s="25">
        <v>25</v>
      </c>
      <c r="W40" s="25" t="s">
        <v>3829</v>
      </c>
      <c r="X40" s="25" t="s">
        <v>5</v>
      </c>
      <c r="Y40" s="25">
        <v>10</v>
      </c>
      <c r="Z40" s="25" t="s">
        <v>3828</v>
      </c>
      <c r="AA40" s="95" t="s">
        <v>2088</v>
      </c>
      <c r="AB40" s="28" t="s">
        <v>3827</v>
      </c>
      <c r="AC40" s="109">
        <v>2.2540000000000001E-2</v>
      </c>
      <c r="AD40" s="106">
        <v>3.888888888888889E-2</v>
      </c>
    </row>
    <row r="41" spans="1:30">
      <c r="A41" s="1">
        <f t="shared" si="0"/>
        <v>38</v>
      </c>
      <c r="B41" s="1" t="s">
        <v>3826</v>
      </c>
      <c r="C41" s="26" t="s">
        <v>1720</v>
      </c>
      <c r="D41" s="3">
        <v>2100</v>
      </c>
      <c r="E41" s="1" t="s">
        <v>9</v>
      </c>
      <c r="F41" s="3">
        <v>400</v>
      </c>
      <c r="G41" s="4">
        <v>44608</v>
      </c>
      <c r="H41" s="1" t="s">
        <v>3825</v>
      </c>
      <c r="I41" s="1" t="s">
        <v>3824</v>
      </c>
      <c r="J41" s="1" t="s">
        <v>2082</v>
      </c>
      <c r="K41" s="1" t="s">
        <v>2568</v>
      </c>
      <c r="L41" s="1">
        <v>2008</v>
      </c>
      <c r="N41" s="1" t="s">
        <v>3823</v>
      </c>
      <c r="O41" s="25" t="s">
        <v>8</v>
      </c>
      <c r="P41" s="25">
        <v>140</v>
      </c>
      <c r="Q41" s="25" t="s">
        <v>3822</v>
      </c>
      <c r="R41" s="25" t="s">
        <v>18</v>
      </c>
      <c r="S41" s="25">
        <v>110</v>
      </c>
      <c r="T41" s="25" t="s">
        <v>3821</v>
      </c>
      <c r="U41" s="25" t="s">
        <v>7</v>
      </c>
      <c r="V41" s="25">
        <v>9.4</v>
      </c>
      <c r="W41" s="25" t="s">
        <v>3820</v>
      </c>
      <c r="X41" s="25" t="s">
        <v>5</v>
      </c>
      <c r="Y41" s="25">
        <v>5.5</v>
      </c>
      <c r="Z41" s="25" t="s">
        <v>3819</v>
      </c>
      <c r="AA41" s="95" t="s">
        <v>2194</v>
      </c>
      <c r="AB41" s="28" t="s">
        <v>4527</v>
      </c>
      <c r="AC41" s="109">
        <v>6.0018000000000002E-2</v>
      </c>
      <c r="AD41" s="106">
        <v>6.25E-2</v>
      </c>
    </row>
    <row r="42" spans="1:30" s="12" customFormat="1">
      <c r="A42" s="1">
        <f t="shared" si="0"/>
        <v>39</v>
      </c>
      <c r="B42" s="12" t="s">
        <v>895</v>
      </c>
      <c r="C42" s="35" t="s">
        <v>1720</v>
      </c>
      <c r="D42" s="15">
        <v>2100</v>
      </c>
      <c r="E42" s="12" t="s">
        <v>18</v>
      </c>
      <c r="F42" s="15">
        <v>200</v>
      </c>
      <c r="G42" s="42">
        <v>44377</v>
      </c>
      <c r="H42" s="12" t="s">
        <v>2747</v>
      </c>
      <c r="I42" s="12" t="s">
        <v>3818</v>
      </c>
      <c r="J42" s="12" t="s">
        <v>2082</v>
      </c>
      <c r="K42" s="12" t="s">
        <v>3817</v>
      </c>
      <c r="L42" s="12">
        <v>2016</v>
      </c>
      <c r="N42" s="12" t="s">
        <v>3816</v>
      </c>
      <c r="O42" s="24" t="s">
        <v>7</v>
      </c>
      <c r="P42" s="24">
        <v>75</v>
      </c>
      <c r="Q42" s="24" t="s">
        <v>3815</v>
      </c>
      <c r="R42" s="24" t="s">
        <v>5</v>
      </c>
      <c r="S42" s="24">
        <v>30</v>
      </c>
      <c r="T42" s="24" t="s">
        <v>3814</v>
      </c>
      <c r="U42" s="24" t="s">
        <v>1</v>
      </c>
      <c r="V42" s="24" t="s">
        <v>1</v>
      </c>
      <c r="W42" s="24" t="s">
        <v>1</v>
      </c>
      <c r="X42" s="24" t="s">
        <v>1</v>
      </c>
      <c r="Y42" s="24" t="s">
        <v>1</v>
      </c>
      <c r="Z42" s="24" t="s">
        <v>1</v>
      </c>
      <c r="AA42" s="12" t="s">
        <v>2405</v>
      </c>
      <c r="AB42" s="28" t="s">
        <v>4528</v>
      </c>
      <c r="AC42" s="109">
        <v>5.4670999999999997E-2</v>
      </c>
      <c r="AD42" s="106">
        <v>9.4444444444444442E-2</v>
      </c>
    </row>
    <row r="43" spans="1:30">
      <c r="A43" s="1">
        <f t="shared" si="0"/>
        <v>40</v>
      </c>
      <c r="B43" s="1" t="s">
        <v>967</v>
      </c>
      <c r="C43" s="26" t="s">
        <v>1720</v>
      </c>
      <c r="D43" s="3">
        <v>2000</v>
      </c>
      <c r="E43" s="1" t="s">
        <v>18</v>
      </c>
      <c r="F43" s="3">
        <v>270</v>
      </c>
      <c r="G43" s="4">
        <v>45048</v>
      </c>
      <c r="H43" s="1" t="s">
        <v>3813</v>
      </c>
      <c r="I43" s="1" t="s">
        <v>3812</v>
      </c>
      <c r="J43" s="1" t="s">
        <v>2616</v>
      </c>
      <c r="K43" s="1" t="s">
        <v>3223</v>
      </c>
      <c r="L43" s="1">
        <v>2019</v>
      </c>
      <c r="M43" s="1" t="s">
        <v>3811</v>
      </c>
      <c r="N43" s="1" t="s">
        <v>3810</v>
      </c>
      <c r="O43" s="25" t="s">
        <v>7</v>
      </c>
      <c r="P43" s="25">
        <v>130</v>
      </c>
      <c r="Q43" s="25" t="s">
        <v>3809</v>
      </c>
      <c r="R43" s="25" t="s">
        <v>5</v>
      </c>
      <c r="S43" s="25">
        <v>40</v>
      </c>
      <c r="T43" s="25" t="s">
        <v>3808</v>
      </c>
      <c r="U43" s="25" t="s">
        <v>1</v>
      </c>
      <c r="V43" s="25" t="s">
        <v>1</v>
      </c>
      <c r="W43" s="25" t="s">
        <v>1</v>
      </c>
      <c r="X43" s="25" t="s">
        <v>1</v>
      </c>
      <c r="Y43" s="25" t="s">
        <v>1</v>
      </c>
      <c r="Z43" s="25" t="s">
        <v>1</v>
      </c>
      <c r="AA43" s="95" t="s">
        <v>2957</v>
      </c>
      <c r="AB43" s="28" t="s">
        <v>4529</v>
      </c>
      <c r="AC43" s="109">
        <v>0.75510100000000002</v>
      </c>
      <c r="AD43" s="106">
        <v>7.3611111111111113E-2</v>
      </c>
    </row>
    <row r="44" spans="1:30">
      <c r="A44" s="1">
        <f t="shared" si="0"/>
        <v>41</v>
      </c>
      <c r="B44" s="1" t="s">
        <v>2176</v>
      </c>
      <c r="C44" s="26" t="s">
        <v>1720</v>
      </c>
      <c r="D44" s="3">
        <v>2000</v>
      </c>
      <c r="E44" s="1" t="s">
        <v>8</v>
      </c>
      <c r="F44" s="3">
        <v>220</v>
      </c>
      <c r="G44" s="4">
        <v>44287</v>
      </c>
      <c r="H44" s="1" t="s">
        <v>4496</v>
      </c>
      <c r="I44" s="1" t="s">
        <v>2175</v>
      </c>
      <c r="J44" s="1" t="s">
        <v>2138</v>
      </c>
      <c r="K44" s="1" t="s">
        <v>2154</v>
      </c>
      <c r="L44" s="1">
        <v>2016</v>
      </c>
      <c r="N44" s="1" t="s">
        <v>2174</v>
      </c>
      <c r="O44" s="25" t="s">
        <v>8</v>
      </c>
      <c r="P44" s="25">
        <v>200</v>
      </c>
      <c r="Q44" s="25" t="s">
        <v>4503</v>
      </c>
      <c r="R44" s="25" t="s">
        <v>18</v>
      </c>
      <c r="S44" s="25">
        <v>100</v>
      </c>
      <c r="T44" s="25" t="s">
        <v>4510</v>
      </c>
      <c r="U44" s="25" t="s">
        <v>5</v>
      </c>
      <c r="V44" s="25" t="s">
        <v>1</v>
      </c>
      <c r="W44" s="25" t="s">
        <v>4511</v>
      </c>
      <c r="X44" s="25" t="s">
        <v>4</v>
      </c>
      <c r="Y44" s="25" t="s">
        <v>1</v>
      </c>
      <c r="Z44" s="25" t="s">
        <v>4512</v>
      </c>
      <c r="AA44" s="95" t="s">
        <v>2173</v>
      </c>
      <c r="AB44" s="28" t="s">
        <v>2172</v>
      </c>
      <c r="AC44" s="109">
        <v>1.7038000000000001E-2</v>
      </c>
      <c r="AD44" s="106">
        <v>0.13749999999999998</v>
      </c>
    </row>
    <row r="45" spans="1:30">
      <c r="A45" s="1">
        <f t="shared" si="0"/>
        <v>42</v>
      </c>
      <c r="B45" s="1" t="s">
        <v>3807</v>
      </c>
      <c r="C45" s="26" t="s">
        <v>1720</v>
      </c>
      <c r="D45" s="3">
        <v>2000</v>
      </c>
      <c r="E45" s="1" t="s">
        <v>18</v>
      </c>
      <c r="F45" s="3">
        <v>100</v>
      </c>
      <c r="G45" s="4">
        <v>44690</v>
      </c>
      <c r="H45" s="1" t="s">
        <v>3806</v>
      </c>
      <c r="I45" s="1" t="s">
        <v>3805</v>
      </c>
      <c r="J45" s="1" t="s">
        <v>2616</v>
      </c>
      <c r="K45" s="1" t="s">
        <v>2093</v>
      </c>
      <c r="L45" s="1">
        <v>2016</v>
      </c>
      <c r="M45" s="52" t="s">
        <v>3804</v>
      </c>
      <c r="N45" s="1" t="s">
        <v>3803</v>
      </c>
      <c r="O45" s="25" t="s">
        <v>7</v>
      </c>
      <c r="P45" s="25">
        <v>40</v>
      </c>
      <c r="Q45" s="25" t="s">
        <v>3802</v>
      </c>
      <c r="R45" s="25" t="s">
        <v>5</v>
      </c>
      <c r="S45" s="25">
        <v>15</v>
      </c>
      <c r="T45" s="25" t="s">
        <v>3801</v>
      </c>
      <c r="U45" s="25" t="s">
        <v>4</v>
      </c>
      <c r="V45" s="25">
        <v>4</v>
      </c>
      <c r="W45" s="25" t="s">
        <v>3800</v>
      </c>
      <c r="X45" s="25" t="s">
        <v>285</v>
      </c>
      <c r="Y45" s="25">
        <v>1.2</v>
      </c>
      <c r="Z45" s="25" t="s">
        <v>3799</v>
      </c>
      <c r="AA45" s="95" t="s">
        <v>2092</v>
      </c>
      <c r="AB45" s="28" t="s">
        <v>4530</v>
      </c>
      <c r="AC45" s="109">
        <v>20.74</v>
      </c>
      <c r="AD45" s="106">
        <v>0.17500000000000002</v>
      </c>
    </row>
    <row r="46" spans="1:30">
      <c r="A46" s="1">
        <f t="shared" si="0"/>
        <v>43</v>
      </c>
      <c r="B46" s="1" t="s">
        <v>3798</v>
      </c>
      <c r="C46" s="26" t="s">
        <v>1720</v>
      </c>
      <c r="D46" s="3">
        <v>2000</v>
      </c>
      <c r="E46" s="1" t="s">
        <v>7</v>
      </c>
      <c r="F46" s="3">
        <v>138</v>
      </c>
      <c r="G46" s="4">
        <v>44872</v>
      </c>
      <c r="H46" s="1" t="s">
        <v>3797</v>
      </c>
      <c r="J46" s="1" t="s">
        <v>2082</v>
      </c>
      <c r="K46" s="1" t="s">
        <v>3336</v>
      </c>
      <c r="L46" s="1">
        <v>2014</v>
      </c>
      <c r="M46" s="1" t="s">
        <v>3796</v>
      </c>
      <c r="N46" s="1" t="s">
        <v>1</v>
      </c>
      <c r="O46" s="25" t="s">
        <v>5</v>
      </c>
      <c r="P46" s="25" t="s">
        <v>1</v>
      </c>
      <c r="Q46" s="25" t="s">
        <v>3795</v>
      </c>
      <c r="AA46" s="95" t="s">
        <v>2413</v>
      </c>
    </row>
    <row r="47" spans="1:30">
      <c r="A47" s="1">
        <f t="shared" si="0"/>
        <v>44</v>
      </c>
      <c r="B47" s="1" t="s">
        <v>3794</v>
      </c>
      <c r="C47" s="26" t="s">
        <v>1720</v>
      </c>
      <c r="D47" s="3">
        <v>2000</v>
      </c>
      <c r="E47" s="1" t="s">
        <v>18</v>
      </c>
      <c r="F47" s="3">
        <v>50</v>
      </c>
      <c r="G47" s="4">
        <v>44380</v>
      </c>
      <c r="I47" s="1" t="s">
        <v>3793</v>
      </c>
      <c r="J47" s="1" t="s">
        <v>2351</v>
      </c>
      <c r="K47" s="1" t="s">
        <v>2333</v>
      </c>
      <c r="L47" s="1">
        <v>2014</v>
      </c>
      <c r="N47" s="1" t="s">
        <v>3792</v>
      </c>
      <c r="O47" s="25" t="s">
        <v>7</v>
      </c>
      <c r="P47" s="25">
        <v>150</v>
      </c>
      <c r="Q47" s="25" t="s">
        <v>3791</v>
      </c>
      <c r="R47" s="25" t="s">
        <v>5</v>
      </c>
      <c r="S47" s="25">
        <f>150/6</f>
        <v>25</v>
      </c>
      <c r="T47" s="25" t="s">
        <v>3790</v>
      </c>
      <c r="U47" s="25" t="s">
        <v>1</v>
      </c>
      <c r="V47" s="25" t="s">
        <v>1</v>
      </c>
      <c r="W47" s="25" t="s">
        <v>1</v>
      </c>
      <c r="X47" s="25" t="s">
        <v>1</v>
      </c>
      <c r="Y47" s="25" t="s">
        <v>1</v>
      </c>
      <c r="Z47" s="25" t="s">
        <v>1</v>
      </c>
      <c r="AA47" s="95" t="s">
        <v>3696</v>
      </c>
    </row>
    <row r="48" spans="1:30">
      <c r="A48" s="1">
        <f t="shared" si="0"/>
        <v>45</v>
      </c>
      <c r="B48" s="1" t="s">
        <v>41</v>
      </c>
      <c r="C48" s="26" t="s">
        <v>1720</v>
      </c>
      <c r="D48" s="3">
        <v>2000</v>
      </c>
      <c r="E48" s="1" t="s">
        <v>9</v>
      </c>
      <c r="F48" s="3">
        <v>230</v>
      </c>
      <c r="G48" s="4">
        <v>44984</v>
      </c>
      <c r="H48" s="1" t="s">
        <v>3788</v>
      </c>
      <c r="I48" s="1" t="s">
        <v>3789</v>
      </c>
      <c r="J48" s="1" t="s">
        <v>2138</v>
      </c>
      <c r="K48" s="1" t="s">
        <v>3788</v>
      </c>
      <c r="L48" s="1">
        <v>2014</v>
      </c>
      <c r="M48" s="1" t="s">
        <v>3787</v>
      </c>
      <c r="N48" s="1" t="s">
        <v>3786</v>
      </c>
      <c r="O48" s="25" t="s">
        <v>8</v>
      </c>
      <c r="P48" s="25" t="s">
        <v>3785</v>
      </c>
      <c r="Q48" s="25" t="s">
        <v>3784</v>
      </c>
      <c r="R48" s="25" t="s">
        <v>18</v>
      </c>
      <c r="S48" s="25">
        <v>100</v>
      </c>
      <c r="T48" s="25" t="s">
        <v>3783</v>
      </c>
      <c r="U48" s="25" t="s">
        <v>7</v>
      </c>
      <c r="V48" s="25">
        <v>42</v>
      </c>
      <c r="W48" s="25" t="s">
        <v>3782</v>
      </c>
      <c r="X48" s="25" t="s">
        <v>5</v>
      </c>
      <c r="Y48" s="25">
        <v>25</v>
      </c>
      <c r="Z48" s="25" t="s">
        <v>3781</v>
      </c>
      <c r="AA48" s="95" t="s">
        <v>3175</v>
      </c>
      <c r="AB48" s="28" t="s">
        <v>3780</v>
      </c>
      <c r="AC48" s="109">
        <v>9.7415000000000002E-2</v>
      </c>
      <c r="AD48" s="106">
        <v>0.1111111111111111</v>
      </c>
    </row>
    <row r="49" spans="1:30">
      <c r="A49" s="1">
        <f t="shared" si="0"/>
        <v>46</v>
      </c>
      <c r="B49" s="1" t="s">
        <v>2170</v>
      </c>
      <c r="C49" s="26" t="s">
        <v>1720</v>
      </c>
      <c r="D49" s="3">
        <v>2000</v>
      </c>
      <c r="E49" s="1" t="s">
        <v>7</v>
      </c>
      <c r="F49" s="3">
        <f>147*1.2</f>
        <v>176.4</v>
      </c>
      <c r="G49" s="4">
        <v>44578</v>
      </c>
      <c r="H49" s="1" t="s">
        <v>4567</v>
      </c>
      <c r="I49" s="1" t="s">
        <v>4564</v>
      </c>
      <c r="J49" s="1" t="s">
        <v>4566</v>
      </c>
      <c r="K49" s="1" t="s">
        <v>2154</v>
      </c>
      <c r="L49" s="1">
        <v>2017</v>
      </c>
      <c r="N49" s="1" t="s">
        <v>4568</v>
      </c>
      <c r="O49" s="25" t="s">
        <v>5</v>
      </c>
      <c r="P49" s="25">
        <v>20</v>
      </c>
      <c r="Q49" s="25" t="s">
        <v>4575</v>
      </c>
      <c r="R49" s="25" t="s">
        <v>5</v>
      </c>
      <c r="S49" s="25">
        <v>20</v>
      </c>
      <c r="T49" s="25" t="s">
        <v>4577</v>
      </c>
      <c r="U49" s="25" t="s">
        <v>4</v>
      </c>
      <c r="V49" s="25">
        <v>3</v>
      </c>
      <c r="W49" s="25" t="s">
        <v>4578</v>
      </c>
      <c r="X49" s="25" t="s">
        <v>1</v>
      </c>
      <c r="Y49" s="25" t="s">
        <v>1</v>
      </c>
      <c r="Z49" s="97" t="s">
        <v>1</v>
      </c>
      <c r="AA49" s="95" t="s">
        <v>2132</v>
      </c>
      <c r="AB49" s="28" t="s">
        <v>2169</v>
      </c>
      <c r="AC49" s="109">
        <v>4.0629999999999999E-2</v>
      </c>
      <c r="AD49" s="106">
        <v>0.11875000000000001</v>
      </c>
    </row>
    <row r="50" spans="1:30">
      <c r="A50" s="1">
        <f t="shared" si="0"/>
        <v>47</v>
      </c>
      <c r="B50" s="1" t="s">
        <v>3779</v>
      </c>
      <c r="C50" s="26" t="s">
        <v>1720</v>
      </c>
      <c r="D50" s="3">
        <v>1900</v>
      </c>
      <c r="E50" s="1" t="s">
        <v>9</v>
      </c>
      <c r="F50" s="3">
        <v>220</v>
      </c>
      <c r="G50" s="4">
        <v>44357</v>
      </c>
      <c r="H50" s="1" t="s">
        <v>3778</v>
      </c>
      <c r="I50" s="1" t="s">
        <v>3777</v>
      </c>
      <c r="J50" s="1" t="s">
        <v>2082</v>
      </c>
      <c r="K50" s="1" t="s">
        <v>2167</v>
      </c>
      <c r="L50" s="1">
        <v>2016</v>
      </c>
      <c r="N50" s="1" t="s">
        <v>3776</v>
      </c>
      <c r="O50" s="25" t="s">
        <v>8</v>
      </c>
      <c r="P50" s="25" t="s">
        <v>3775</v>
      </c>
      <c r="Q50" s="25" t="s">
        <v>3774</v>
      </c>
      <c r="R50" s="25" t="s">
        <v>18</v>
      </c>
      <c r="S50" s="25">
        <v>28</v>
      </c>
      <c r="T50" s="25" t="s">
        <v>3773</v>
      </c>
      <c r="U50" s="25" t="s">
        <v>7</v>
      </c>
      <c r="V50" s="25">
        <v>18</v>
      </c>
      <c r="W50" s="25" t="s">
        <v>3772</v>
      </c>
      <c r="X50" s="25" t="s">
        <v>5</v>
      </c>
      <c r="Y50" s="25">
        <v>5.8</v>
      </c>
      <c r="Z50" s="97" t="s">
        <v>1</v>
      </c>
      <c r="AA50" s="95" t="s">
        <v>2320</v>
      </c>
      <c r="AB50" s="28" t="s">
        <v>3771</v>
      </c>
      <c r="AC50" s="109">
        <v>6.0490000000000004</v>
      </c>
      <c r="AD50" s="106">
        <v>0.11319444444444444</v>
      </c>
    </row>
    <row r="51" spans="1:30">
      <c r="A51" s="1">
        <f t="shared" si="0"/>
        <v>48</v>
      </c>
      <c r="B51" s="1" t="s">
        <v>2150</v>
      </c>
      <c r="C51" s="26" t="s">
        <v>1720</v>
      </c>
      <c r="D51" s="3">
        <v>1600</v>
      </c>
      <c r="E51" s="95" t="s">
        <v>9</v>
      </c>
      <c r="F51" s="3">
        <v>100</v>
      </c>
      <c r="G51" s="4">
        <v>44507</v>
      </c>
      <c r="H51" s="95" t="s">
        <v>5188</v>
      </c>
      <c r="I51" s="95" t="s">
        <v>5186</v>
      </c>
      <c r="J51" s="1" t="s">
        <v>2082</v>
      </c>
      <c r="K51" s="1" t="s">
        <v>2093</v>
      </c>
      <c r="L51" s="1">
        <v>2012</v>
      </c>
      <c r="N51" s="95" t="s">
        <v>5189</v>
      </c>
      <c r="O51" s="97" t="s">
        <v>8</v>
      </c>
      <c r="P51" s="25">
        <v>72.5</v>
      </c>
      <c r="Q51" s="97" t="s">
        <v>5193</v>
      </c>
      <c r="R51" s="97" t="s">
        <v>18</v>
      </c>
      <c r="S51" s="25">
        <v>40</v>
      </c>
      <c r="T51" s="97" t="s">
        <v>5197</v>
      </c>
      <c r="U51" s="97" t="s">
        <v>7</v>
      </c>
      <c r="V51" s="25">
        <v>25</v>
      </c>
      <c r="W51" s="97" t="s">
        <v>5200</v>
      </c>
      <c r="X51" s="97" t="s">
        <v>5</v>
      </c>
      <c r="Y51" s="25">
        <v>8.9</v>
      </c>
      <c r="Z51" s="97" t="s">
        <v>5201</v>
      </c>
      <c r="AA51" s="95" t="s">
        <v>2080</v>
      </c>
      <c r="AB51" s="28" t="s">
        <v>2149</v>
      </c>
      <c r="AC51" s="109">
        <v>0.50777300000000003</v>
      </c>
      <c r="AD51" s="106">
        <v>0.13333333333333333</v>
      </c>
    </row>
    <row r="52" spans="1:30">
      <c r="A52" s="1">
        <f t="shared" si="0"/>
        <v>49</v>
      </c>
      <c r="B52" s="1" t="s">
        <v>775</v>
      </c>
      <c r="C52" s="26" t="s">
        <v>1720</v>
      </c>
      <c r="D52" s="3">
        <v>1500</v>
      </c>
      <c r="E52" s="1" t="s">
        <v>5</v>
      </c>
      <c r="F52" s="3">
        <v>125</v>
      </c>
      <c r="G52" s="4">
        <v>44852</v>
      </c>
      <c r="H52" s="1" t="s">
        <v>2603</v>
      </c>
      <c r="I52" s="1" t="s">
        <v>3770</v>
      </c>
      <c r="J52" s="1" t="s">
        <v>2351</v>
      </c>
      <c r="K52" s="1" t="s">
        <v>2751</v>
      </c>
      <c r="L52" s="1">
        <v>2021</v>
      </c>
      <c r="M52" s="1" t="s">
        <v>3769</v>
      </c>
      <c r="N52" s="1" t="s">
        <v>3768</v>
      </c>
      <c r="O52" s="25" t="s">
        <v>4</v>
      </c>
      <c r="P52" s="25">
        <v>6</v>
      </c>
      <c r="Q52" s="25" t="s">
        <v>3767</v>
      </c>
      <c r="R52" s="25" t="s">
        <v>285</v>
      </c>
      <c r="S52" s="25">
        <v>1</v>
      </c>
      <c r="T52" s="25" t="s">
        <v>3766</v>
      </c>
      <c r="U52" s="25" t="s">
        <v>1</v>
      </c>
      <c r="V52" s="25" t="s">
        <v>1</v>
      </c>
      <c r="W52" s="25" t="s">
        <v>1</v>
      </c>
      <c r="X52" s="25" t="s">
        <v>1</v>
      </c>
      <c r="Y52" s="25" t="s">
        <v>1</v>
      </c>
      <c r="Z52" s="97" t="s">
        <v>1</v>
      </c>
      <c r="AA52" s="95" t="s">
        <v>3765</v>
      </c>
      <c r="AB52" s="28" t="s">
        <v>5248</v>
      </c>
      <c r="AC52" s="108">
        <v>3.9180000000000001</v>
      </c>
      <c r="AD52" s="115">
        <v>0.1673611111111111</v>
      </c>
    </row>
    <row r="53" spans="1:30">
      <c r="A53" s="1">
        <f t="shared" si="0"/>
        <v>50</v>
      </c>
      <c r="B53" s="95" t="s">
        <v>5209</v>
      </c>
      <c r="C53" s="26" t="s">
        <v>1720</v>
      </c>
      <c r="D53" s="99">
        <v>1500</v>
      </c>
      <c r="E53" s="1" t="s">
        <v>55</v>
      </c>
      <c r="F53" s="99">
        <v>100</v>
      </c>
      <c r="G53" s="4">
        <v>44474</v>
      </c>
      <c r="H53" s="95" t="s">
        <v>5211</v>
      </c>
      <c r="I53" s="95" t="s">
        <v>5210</v>
      </c>
      <c r="J53" s="1" t="s">
        <v>2082</v>
      </c>
      <c r="K53" s="1" t="s">
        <v>2093</v>
      </c>
      <c r="L53" s="1">
        <v>2013</v>
      </c>
      <c r="M53" s="95" t="s">
        <v>5230</v>
      </c>
      <c r="N53" s="95" t="s">
        <v>5212</v>
      </c>
      <c r="O53" s="97" t="s">
        <v>9</v>
      </c>
      <c r="P53" s="25">
        <v>43</v>
      </c>
      <c r="Q53" s="97" t="s">
        <v>5215</v>
      </c>
      <c r="R53" s="97" t="s">
        <v>8</v>
      </c>
      <c r="S53" s="97" t="s">
        <v>5216</v>
      </c>
      <c r="T53" s="97" t="s">
        <v>5217</v>
      </c>
      <c r="U53" s="97" t="s">
        <v>18</v>
      </c>
      <c r="V53" s="25">
        <v>27</v>
      </c>
      <c r="W53" s="97" t="s">
        <v>5218</v>
      </c>
      <c r="X53" s="97" t="s">
        <v>7</v>
      </c>
      <c r="Y53" s="25">
        <v>10.5</v>
      </c>
      <c r="Z53" s="97" t="s">
        <v>1153</v>
      </c>
      <c r="AA53" s="95" t="s">
        <v>2085</v>
      </c>
      <c r="AB53" s="28" t="s">
        <v>2148</v>
      </c>
      <c r="AC53" s="109">
        <v>6.9675000000000001E-2</v>
      </c>
      <c r="AD53" s="106">
        <v>2.8472222222222222E-2</v>
      </c>
    </row>
    <row r="54" spans="1:30">
      <c r="A54" s="1">
        <f t="shared" si="0"/>
        <v>51</v>
      </c>
      <c r="B54" s="1" t="s">
        <v>59</v>
      </c>
      <c r="C54" s="26" t="s">
        <v>1720</v>
      </c>
      <c r="D54" s="3">
        <v>1500</v>
      </c>
      <c r="E54" s="1" t="s">
        <v>8</v>
      </c>
      <c r="F54" s="3">
        <v>250</v>
      </c>
      <c r="G54" s="4">
        <v>45069</v>
      </c>
      <c r="H54" s="1" t="s">
        <v>3764</v>
      </c>
      <c r="I54" s="1" t="s">
        <v>3763</v>
      </c>
      <c r="J54" s="1" t="s">
        <v>2082</v>
      </c>
      <c r="K54" s="1" t="s">
        <v>2280</v>
      </c>
      <c r="L54" s="1">
        <v>2016</v>
      </c>
      <c r="M54" s="1" t="s">
        <v>3762</v>
      </c>
      <c r="N54" s="1" t="s">
        <v>3761</v>
      </c>
      <c r="O54" s="25" t="s">
        <v>18</v>
      </c>
      <c r="P54" s="25">
        <v>100</v>
      </c>
      <c r="Q54" s="25" t="s">
        <v>3760</v>
      </c>
      <c r="R54" s="25" t="s">
        <v>7</v>
      </c>
      <c r="S54" s="25" t="s">
        <v>1</v>
      </c>
      <c r="T54" s="25" t="s">
        <v>3759</v>
      </c>
      <c r="U54" s="25" t="s">
        <v>5</v>
      </c>
      <c r="V54" s="25">
        <v>29.5</v>
      </c>
      <c r="W54" s="25" t="s">
        <v>3758</v>
      </c>
      <c r="X54" s="25" t="s">
        <v>1</v>
      </c>
      <c r="Y54" s="25" t="s">
        <v>1</v>
      </c>
      <c r="Z54" s="97" t="s">
        <v>1</v>
      </c>
      <c r="AA54" s="95" t="s">
        <v>2132</v>
      </c>
      <c r="AB54" s="28" t="s">
        <v>3757</v>
      </c>
      <c r="AC54" s="109">
        <v>0.60908600000000002</v>
      </c>
      <c r="AD54" s="106">
        <v>0.31597222222222221</v>
      </c>
    </row>
    <row r="55" spans="1:30">
      <c r="A55" s="1">
        <f t="shared" si="0"/>
        <v>52</v>
      </c>
      <c r="B55" s="1" t="s">
        <v>972</v>
      </c>
      <c r="C55" s="26" t="s">
        <v>1720</v>
      </c>
      <c r="D55" s="3">
        <v>1400</v>
      </c>
      <c r="E55" s="1" t="s">
        <v>8</v>
      </c>
      <c r="F55" s="3">
        <v>100</v>
      </c>
      <c r="G55" s="4">
        <v>45051</v>
      </c>
      <c r="H55" s="1" t="s">
        <v>2346</v>
      </c>
      <c r="I55" s="1" t="s">
        <v>3756</v>
      </c>
      <c r="J55" s="1" t="s">
        <v>2351</v>
      </c>
      <c r="K55" s="1" t="s">
        <v>2345</v>
      </c>
      <c r="L55" s="32">
        <v>43101</v>
      </c>
      <c r="M55" s="1" t="s">
        <v>4446</v>
      </c>
      <c r="N55" s="1" t="s">
        <v>3755</v>
      </c>
      <c r="O55" s="25" t="s">
        <v>18</v>
      </c>
      <c r="P55" s="25">
        <v>50</v>
      </c>
      <c r="Q55" s="25" t="s">
        <v>3754</v>
      </c>
      <c r="R55" s="25" t="s">
        <v>7</v>
      </c>
      <c r="S55" s="25">
        <v>35</v>
      </c>
      <c r="T55" s="25" t="s">
        <v>3753</v>
      </c>
      <c r="U55" s="25" t="s">
        <v>5</v>
      </c>
      <c r="V55" s="25">
        <v>8.5</v>
      </c>
      <c r="W55" s="25" t="s">
        <v>3752</v>
      </c>
      <c r="X55" s="25" t="s">
        <v>4</v>
      </c>
      <c r="Y55" s="25">
        <v>2</v>
      </c>
      <c r="Z55" s="97" t="s">
        <v>3751</v>
      </c>
      <c r="AA55" s="95" t="s">
        <v>2092</v>
      </c>
      <c r="AB55" s="28" t="s">
        <v>5249</v>
      </c>
      <c r="AC55" s="108">
        <v>5.6790000000000003</v>
      </c>
      <c r="AD55" s="115">
        <v>0.16666666666666666</v>
      </c>
    </row>
    <row r="56" spans="1:30">
      <c r="A56" s="1">
        <f t="shared" si="0"/>
        <v>53</v>
      </c>
      <c r="B56" s="1" t="s">
        <v>617</v>
      </c>
      <c r="C56" s="26" t="s">
        <v>1720</v>
      </c>
      <c r="D56" s="3">
        <v>1300</v>
      </c>
      <c r="E56" s="1" t="s">
        <v>9</v>
      </c>
      <c r="F56" s="3">
        <v>132</v>
      </c>
      <c r="G56" s="4">
        <v>44215</v>
      </c>
      <c r="H56" s="1" t="s">
        <v>3750</v>
      </c>
      <c r="I56" s="1" t="s">
        <v>3749</v>
      </c>
      <c r="J56" s="1" t="s">
        <v>2351</v>
      </c>
      <c r="K56" s="1" t="s">
        <v>2099</v>
      </c>
      <c r="L56" s="1">
        <v>2016</v>
      </c>
      <c r="N56" s="1" t="s">
        <v>3748</v>
      </c>
      <c r="O56" s="25" t="s">
        <v>8</v>
      </c>
      <c r="P56" s="25">
        <v>42</v>
      </c>
      <c r="Q56" s="25" t="s">
        <v>3747</v>
      </c>
      <c r="R56" s="25" t="s">
        <v>18</v>
      </c>
      <c r="S56" s="25">
        <v>48</v>
      </c>
      <c r="T56" s="25" t="s">
        <v>3746</v>
      </c>
      <c r="U56" s="25" t="s">
        <v>7</v>
      </c>
      <c r="V56" s="25">
        <v>25</v>
      </c>
      <c r="W56" s="25" t="s">
        <v>3745</v>
      </c>
      <c r="X56" s="25" t="s">
        <v>5</v>
      </c>
      <c r="Y56" s="25">
        <v>5.8</v>
      </c>
      <c r="Z56" s="97" t="s">
        <v>3744</v>
      </c>
      <c r="AA56" s="95" t="s">
        <v>2092</v>
      </c>
      <c r="AB56" s="28" t="s">
        <v>5250</v>
      </c>
      <c r="AC56" s="108">
        <v>2.2080000000000002</v>
      </c>
      <c r="AD56" s="115">
        <v>7.2222222222222229E-2</v>
      </c>
    </row>
    <row r="57" spans="1:30">
      <c r="A57" s="1">
        <f t="shared" si="0"/>
        <v>54</v>
      </c>
      <c r="B57" s="1" t="s">
        <v>2168</v>
      </c>
      <c r="C57" s="26" t="s">
        <v>1720</v>
      </c>
      <c r="D57" s="3">
        <v>1300</v>
      </c>
      <c r="E57" s="1" t="s">
        <v>18</v>
      </c>
      <c r="F57" s="3">
        <v>200</v>
      </c>
      <c r="G57" s="4">
        <v>44557</v>
      </c>
      <c r="H57" s="1" t="s">
        <v>4638</v>
      </c>
      <c r="I57" s="1" t="s">
        <v>4637</v>
      </c>
      <c r="J57" s="1" t="s">
        <v>2082</v>
      </c>
      <c r="K57" s="1" t="s">
        <v>2167</v>
      </c>
      <c r="L57" s="1">
        <v>2016</v>
      </c>
      <c r="N57" s="1" t="s">
        <v>4639</v>
      </c>
      <c r="O57" s="25" t="s">
        <v>7</v>
      </c>
      <c r="P57" s="25">
        <v>40</v>
      </c>
      <c r="Q57" s="25" t="s">
        <v>4644</v>
      </c>
      <c r="R57" s="25" t="s">
        <v>5</v>
      </c>
      <c r="S57" s="25">
        <v>13.3</v>
      </c>
      <c r="T57" s="25" t="s">
        <v>1</v>
      </c>
      <c r="U57" s="25" t="s">
        <v>1</v>
      </c>
      <c r="V57" s="25" t="s">
        <v>1</v>
      </c>
      <c r="W57" s="25" t="s">
        <v>1</v>
      </c>
      <c r="X57" s="25" t="s">
        <v>1</v>
      </c>
      <c r="Y57" s="25" t="s">
        <v>1</v>
      </c>
      <c r="Z57" s="97" t="s">
        <v>1</v>
      </c>
      <c r="AA57" s="95" t="s">
        <v>2166</v>
      </c>
      <c r="AB57" s="28" t="s">
        <v>2165</v>
      </c>
      <c r="AC57" s="109">
        <v>4.1040000000000001</v>
      </c>
      <c r="AD57" s="106">
        <v>0.13541666666666666</v>
      </c>
    </row>
    <row r="58" spans="1:30">
      <c r="A58" s="1">
        <f t="shared" si="0"/>
        <v>55</v>
      </c>
      <c r="B58" s="1" t="s">
        <v>82</v>
      </c>
      <c r="C58" s="26" t="s">
        <v>1720</v>
      </c>
      <c r="D58" s="3">
        <v>1285.7142857142858</v>
      </c>
      <c r="E58" s="1" t="s">
        <v>18</v>
      </c>
      <c r="F58" s="3">
        <v>257.14285714285717</v>
      </c>
      <c r="G58" s="4">
        <v>44201</v>
      </c>
      <c r="H58" s="1" t="s">
        <v>2415</v>
      </c>
      <c r="I58" s="1" t="s">
        <v>3743</v>
      </c>
      <c r="J58" s="1" t="s">
        <v>2082</v>
      </c>
      <c r="K58" s="1" t="s">
        <v>2138</v>
      </c>
      <c r="L58" s="1">
        <v>2018</v>
      </c>
      <c r="N58" s="1" t="s">
        <v>3742</v>
      </c>
      <c r="O58" s="25" t="s">
        <v>7</v>
      </c>
      <c r="P58" s="25">
        <v>100</v>
      </c>
      <c r="Q58" s="25" t="s">
        <v>3741</v>
      </c>
      <c r="R58" s="25" t="s">
        <v>5</v>
      </c>
      <c r="S58" s="25">
        <v>43</v>
      </c>
      <c r="T58" s="25" t="s">
        <v>3740</v>
      </c>
      <c r="U58" s="25" t="s">
        <v>4</v>
      </c>
      <c r="V58" s="30">
        <f>340/7</f>
        <v>48.571428571428569</v>
      </c>
      <c r="W58" s="25" t="s">
        <v>3739</v>
      </c>
      <c r="X58" s="25" t="s">
        <v>1</v>
      </c>
      <c r="Y58" s="25" t="s">
        <v>1</v>
      </c>
      <c r="Z58" s="97" t="s">
        <v>1</v>
      </c>
      <c r="AA58" s="95" t="s">
        <v>3696</v>
      </c>
      <c r="AB58" s="28" t="s">
        <v>3738</v>
      </c>
      <c r="AC58" s="109">
        <v>1.1807E-2</v>
      </c>
      <c r="AD58" s="106">
        <v>0.10486111111111111</v>
      </c>
    </row>
    <row r="59" spans="1:30">
      <c r="A59" s="1">
        <f t="shared" si="0"/>
        <v>56</v>
      </c>
      <c r="B59" s="1" t="s">
        <v>2171</v>
      </c>
      <c r="C59" s="26" t="s">
        <v>1720</v>
      </c>
      <c r="D59" s="3">
        <f>7700/7</f>
        <v>1100</v>
      </c>
      <c r="E59" s="1" t="s">
        <v>7</v>
      </c>
      <c r="F59" s="3">
        <f>1300/7</f>
        <v>185.71428571428572</v>
      </c>
      <c r="G59" s="4">
        <v>44648</v>
      </c>
      <c r="H59" s="1" t="s">
        <v>4555</v>
      </c>
      <c r="I59" s="1" t="s">
        <v>4556</v>
      </c>
      <c r="J59" s="1" t="s">
        <v>2082</v>
      </c>
      <c r="K59" s="1" t="s">
        <v>2154</v>
      </c>
      <c r="L59" s="1">
        <v>2014</v>
      </c>
      <c r="M59" s="1" t="s">
        <v>4561</v>
      </c>
      <c r="N59" s="1" t="s">
        <v>4557</v>
      </c>
      <c r="O59" s="25" t="s">
        <v>5</v>
      </c>
      <c r="P59" s="25" t="s">
        <v>1</v>
      </c>
      <c r="Q59" s="25" t="s">
        <v>4560</v>
      </c>
      <c r="R59" s="25" t="s">
        <v>1</v>
      </c>
      <c r="S59" s="25" t="s">
        <v>1</v>
      </c>
      <c r="T59" s="25" t="s">
        <v>1</v>
      </c>
      <c r="U59" s="25" t="s">
        <v>1</v>
      </c>
      <c r="V59" s="25" t="s">
        <v>1</v>
      </c>
      <c r="W59" s="25" t="s">
        <v>1</v>
      </c>
      <c r="X59" s="25" t="s">
        <v>1</v>
      </c>
      <c r="Y59" s="25" t="s">
        <v>1</v>
      </c>
      <c r="Z59" s="25" t="s">
        <v>1</v>
      </c>
      <c r="AA59" s="95" t="s">
        <v>4553</v>
      </c>
      <c r="AB59" s="28" t="s">
        <v>4554</v>
      </c>
      <c r="AC59" s="109"/>
      <c r="AD59" s="101"/>
    </row>
    <row r="60" spans="1:30">
      <c r="A60" s="1">
        <f t="shared" si="0"/>
        <v>57</v>
      </c>
      <c r="B60" s="1" t="s">
        <v>3737</v>
      </c>
      <c r="C60" s="26" t="s">
        <v>1720</v>
      </c>
      <c r="D60" s="3">
        <v>1100</v>
      </c>
      <c r="E60" s="1" t="s">
        <v>18</v>
      </c>
      <c r="F60" s="3">
        <v>130</v>
      </c>
      <c r="G60" s="4">
        <v>44323</v>
      </c>
      <c r="H60" s="1" t="s">
        <v>3736</v>
      </c>
      <c r="I60" s="1" t="s">
        <v>3735</v>
      </c>
      <c r="J60" s="1" t="s">
        <v>2082</v>
      </c>
      <c r="K60" s="1" t="s">
        <v>2682</v>
      </c>
      <c r="L60" s="1">
        <v>2016</v>
      </c>
      <c r="N60" s="1" t="s">
        <v>3734</v>
      </c>
      <c r="O60" s="25" t="s">
        <v>7</v>
      </c>
      <c r="P60" s="25">
        <v>44</v>
      </c>
      <c r="Q60" s="25" t="s">
        <v>3733</v>
      </c>
      <c r="R60" s="25" t="s">
        <v>5</v>
      </c>
      <c r="S60" s="25">
        <v>15</v>
      </c>
      <c r="T60" s="25" t="s">
        <v>3732</v>
      </c>
      <c r="U60" s="25" t="s">
        <v>4</v>
      </c>
      <c r="V60" s="25">
        <v>2.5</v>
      </c>
      <c r="W60" s="25" t="s">
        <v>3731</v>
      </c>
      <c r="X60" s="25" t="s">
        <v>285</v>
      </c>
      <c r="Y60" s="25" t="s">
        <v>1</v>
      </c>
      <c r="Z60" s="25" t="s">
        <v>3730</v>
      </c>
      <c r="AA60" s="95" t="s">
        <v>2957</v>
      </c>
    </row>
    <row r="61" spans="1:30">
      <c r="A61" s="1">
        <f t="shared" si="0"/>
        <v>58</v>
      </c>
      <c r="B61" s="1" t="s">
        <v>3729</v>
      </c>
      <c r="C61" s="26" t="s">
        <v>1720</v>
      </c>
      <c r="D61" s="3">
        <v>1000</v>
      </c>
      <c r="E61" s="1" t="s">
        <v>18</v>
      </c>
      <c r="F61" s="3">
        <v>135</v>
      </c>
      <c r="G61" s="4">
        <v>44482</v>
      </c>
      <c r="H61" s="1" t="s">
        <v>3728</v>
      </c>
      <c r="I61" s="1" t="s">
        <v>3727</v>
      </c>
      <c r="J61" s="1" t="s">
        <v>2616</v>
      </c>
      <c r="K61" s="1" t="s">
        <v>2093</v>
      </c>
      <c r="L61" s="1">
        <v>2017</v>
      </c>
      <c r="M61" s="1" t="s">
        <v>3726</v>
      </c>
      <c r="N61" s="1" t="s">
        <v>3725</v>
      </c>
      <c r="O61" s="25" t="s">
        <v>7</v>
      </c>
      <c r="P61" s="25">
        <v>45</v>
      </c>
      <c r="Q61" s="25" t="s">
        <v>3724</v>
      </c>
      <c r="R61" s="25" t="s">
        <v>5</v>
      </c>
      <c r="S61" s="25">
        <v>5</v>
      </c>
      <c r="T61" s="25" t="s">
        <v>3723</v>
      </c>
      <c r="U61" s="25" t="s">
        <v>1</v>
      </c>
      <c r="V61" s="25" t="s">
        <v>1</v>
      </c>
      <c r="W61" s="25" t="s">
        <v>1</v>
      </c>
      <c r="X61" s="25" t="s">
        <v>1</v>
      </c>
      <c r="Y61" s="25" t="s">
        <v>1</v>
      </c>
      <c r="Z61" s="25" t="s">
        <v>1</v>
      </c>
      <c r="AA61" s="95" t="s">
        <v>2405</v>
      </c>
    </row>
    <row r="62" spans="1:30" s="95" customFormat="1">
      <c r="A62" s="95">
        <f t="shared" si="0"/>
        <v>59</v>
      </c>
      <c r="B62" s="12" t="s">
        <v>3722</v>
      </c>
      <c r="C62" s="35" t="s">
        <v>1720</v>
      </c>
      <c r="D62" s="15">
        <v>1000</v>
      </c>
      <c r="E62" s="12" t="s">
        <v>5</v>
      </c>
      <c r="F62" s="15">
        <v>150</v>
      </c>
      <c r="G62" s="14">
        <v>45008</v>
      </c>
      <c r="H62" s="12" t="s">
        <v>948</v>
      </c>
      <c r="I62" s="12" t="s">
        <v>3721</v>
      </c>
      <c r="J62" s="12" t="s">
        <v>2351</v>
      </c>
      <c r="K62" s="12" t="s">
        <v>2510</v>
      </c>
      <c r="L62" s="12">
        <v>2021</v>
      </c>
      <c r="M62" s="95" t="s">
        <v>3720</v>
      </c>
      <c r="N62" s="95" t="s">
        <v>3719</v>
      </c>
      <c r="O62" s="97" t="s">
        <v>4</v>
      </c>
      <c r="P62" s="97" t="s">
        <v>1</v>
      </c>
      <c r="Q62" s="97" t="s">
        <v>3718</v>
      </c>
      <c r="R62" s="97" t="s">
        <v>1</v>
      </c>
      <c r="S62" s="97" t="s">
        <v>1</v>
      </c>
      <c r="T62" s="97" t="s">
        <v>1</v>
      </c>
      <c r="U62" s="97" t="s">
        <v>1</v>
      </c>
      <c r="V62" s="97" t="s">
        <v>1</v>
      </c>
      <c r="W62" s="97" t="s">
        <v>1</v>
      </c>
      <c r="X62" s="97" t="s">
        <v>1</v>
      </c>
      <c r="Y62" s="97" t="s">
        <v>1</v>
      </c>
      <c r="Z62" s="97" t="s">
        <v>1</v>
      </c>
      <c r="AA62" s="95" t="s">
        <v>3717</v>
      </c>
      <c r="AB62" s="28" t="s">
        <v>5231</v>
      </c>
      <c r="AC62" s="108">
        <v>180.9</v>
      </c>
      <c r="AD62" s="114" t="s">
        <v>5232</v>
      </c>
    </row>
    <row r="63" spans="1:30">
      <c r="A63" s="1">
        <f t="shared" si="0"/>
        <v>60</v>
      </c>
      <c r="B63" s="1" t="s">
        <v>964</v>
      </c>
      <c r="C63" s="26" t="s">
        <v>1720</v>
      </c>
      <c r="D63" s="3">
        <v>1000</v>
      </c>
      <c r="E63" s="1" t="s">
        <v>7</v>
      </c>
      <c r="F63" s="3">
        <v>350</v>
      </c>
      <c r="G63" s="4">
        <v>44999</v>
      </c>
      <c r="H63" s="1" t="s">
        <v>1</v>
      </c>
      <c r="I63" s="1" t="s">
        <v>3716</v>
      </c>
      <c r="J63" s="45" t="s">
        <v>2082</v>
      </c>
      <c r="K63" s="45" t="s">
        <v>2786</v>
      </c>
      <c r="L63" s="1">
        <v>2022</v>
      </c>
      <c r="M63" s="1" t="s">
        <v>3715</v>
      </c>
      <c r="N63" s="1" t="s">
        <v>3714</v>
      </c>
      <c r="O63" s="25" t="s">
        <v>5</v>
      </c>
      <c r="P63" s="25">
        <v>65</v>
      </c>
      <c r="Q63" s="25" t="s">
        <v>3713</v>
      </c>
      <c r="R63" s="25" t="s">
        <v>1</v>
      </c>
      <c r="S63" s="25" t="s">
        <v>1</v>
      </c>
      <c r="T63" s="25" t="s">
        <v>1</v>
      </c>
      <c r="U63" s="25" t="s">
        <v>1</v>
      </c>
      <c r="V63" s="25" t="s">
        <v>1</v>
      </c>
      <c r="W63" s="25" t="s">
        <v>1</v>
      </c>
      <c r="X63" s="25" t="s">
        <v>1</v>
      </c>
      <c r="Y63" s="25" t="s">
        <v>1</v>
      </c>
      <c r="Z63" s="25" t="s">
        <v>1</v>
      </c>
      <c r="AA63" s="95" t="s">
        <v>2405</v>
      </c>
    </row>
    <row r="64" spans="1:30">
      <c r="A64" s="1">
        <f t="shared" si="0"/>
        <v>61</v>
      </c>
      <c r="B64" s="1" t="s">
        <v>3712</v>
      </c>
      <c r="C64" s="26" t="s">
        <v>1720</v>
      </c>
      <c r="D64" s="3">
        <v>1000</v>
      </c>
      <c r="E64" s="1" t="s">
        <v>3711</v>
      </c>
      <c r="F64" s="3">
        <v>0</v>
      </c>
      <c r="G64" s="2" t="s">
        <v>1</v>
      </c>
      <c r="H64" s="1" t="s">
        <v>3710</v>
      </c>
      <c r="I64" s="1" t="s">
        <v>3709</v>
      </c>
      <c r="J64" s="1" t="s">
        <v>2351</v>
      </c>
      <c r="K64" s="1" t="s">
        <v>2751</v>
      </c>
      <c r="L64" s="32">
        <v>44754</v>
      </c>
      <c r="M64" s="1" t="s">
        <v>3708</v>
      </c>
      <c r="N64" s="1" t="s">
        <v>1</v>
      </c>
      <c r="O64" s="25" t="s">
        <v>1</v>
      </c>
      <c r="P64" s="25" t="s">
        <v>1</v>
      </c>
      <c r="Q64" s="25" t="s">
        <v>1</v>
      </c>
      <c r="R64" s="25" t="s">
        <v>1</v>
      </c>
      <c r="S64" s="25" t="s">
        <v>1</v>
      </c>
      <c r="T64" s="25" t="s">
        <v>1</v>
      </c>
      <c r="U64" s="25" t="s">
        <v>1</v>
      </c>
      <c r="V64" s="25" t="s">
        <v>1</v>
      </c>
      <c r="W64" s="25" t="s">
        <v>1</v>
      </c>
      <c r="X64" s="25" t="s">
        <v>1</v>
      </c>
      <c r="Y64" s="25" t="s">
        <v>1</v>
      </c>
      <c r="Z64" s="25" t="s">
        <v>1</v>
      </c>
      <c r="AA64" s="95" t="s">
        <v>3707</v>
      </c>
    </row>
    <row r="65" spans="1:30">
      <c r="A65" s="1">
        <f t="shared" si="0"/>
        <v>62</v>
      </c>
      <c r="B65" s="1" t="s">
        <v>3706</v>
      </c>
      <c r="C65" s="26" t="s">
        <v>1720</v>
      </c>
      <c r="D65" s="3">
        <v>1000</v>
      </c>
      <c r="E65" s="1" t="s">
        <v>7</v>
      </c>
      <c r="F65" s="3">
        <v>300</v>
      </c>
      <c r="G65" s="4">
        <v>44453</v>
      </c>
      <c r="H65" s="1" t="s">
        <v>3705</v>
      </c>
      <c r="I65" s="1" t="s">
        <v>3704</v>
      </c>
      <c r="J65" s="1" t="s">
        <v>2351</v>
      </c>
      <c r="K65" s="1" t="s">
        <v>3549</v>
      </c>
      <c r="L65" s="32">
        <v>43817</v>
      </c>
      <c r="M65" s="1" t="s">
        <v>3549</v>
      </c>
      <c r="N65" s="1" t="s">
        <v>3703</v>
      </c>
      <c r="O65" s="25" t="s">
        <v>1</v>
      </c>
      <c r="P65" s="25" t="s">
        <v>1</v>
      </c>
      <c r="Q65" s="25" t="s">
        <v>1</v>
      </c>
      <c r="R65" s="25" t="s">
        <v>1</v>
      </c>
      <c r="S65" s="25" t="s">
        <v>1</v>
      </c>
      <c r="T65" s="25" t="s">
        <v>1</v>
      </c>
      <c r="U65" s="25" t="s">
        <v>1</v>
      </c>
      <c r="V65" s="25" t="s">
        <v>1</v>
      </c>
      <c r="W65" s="25" t="s">
        <v>1</v>
      </c>
      <c r="X65" s="25" t="s">
        <v>1</v>
      </c>
      <c r="Y65" s="25" t="s">
        <v>1</v>
      </c>
      <c r="Z65" s="25" t="s">
        <v>1</v>
      </c>
      <c r="AA65" s="95" t="s">
        <v>3660</v>
      </c>
    </row>
    <row r="66" spans="1:30">
      <c r="A66" s="1">
        <f t="shared" si="0"/>
        <v>63</v>
      </c>
      <c r="B66" s="1" t="s">
        <v>66</v>
      </c>
      <c r="C66" s="26" t="s">
        <v>1720</v>
      </c>
      <c r="D66" s="3">
        <v>1000</v>
      </c>
      <c r="E66" s="1" t="s">
        <v>7</v>
      </c>
      <c r="F66" s="3">
        <f>1600/7</f>
        <v>228.57142857142858</v>
      </c>
      <c r="G66" s="4">
        <v>44550</v>
      </c>
      <c r="H66" s="1" t="s">
        <v>3702</v>
      </c>
      <c r="I66" s="1" t="s">
        <v>3701</v>
      </c>
      <c r="J66" s="1" t="s">
        <v>2138</v>
      </c>
      <c r="K66" s="1" t="s">
        <v>3700</v>
      </c>
      <c r="L66" s="1">
        <v>2018</v>
      </c>
      <c r="N66" s="1" t="s">
        <v>3699</v>
      </c>
      <c r="O66" s="25" t="s">
        <v>5</v>
      </c>
      <c r="P66" s="51">
        <f>500/7</f>
        <v>71.428571428571431</v>
      </c>
      <c r="Q66" s="25" t="s">
        <v>3698</v>
      </c>
      <c r="R66" s="25" t="s">
        <v>5</v>
      </c>
      <c r="S66" s="25">
        <v>50</v>
      </c>
      <c r="T66" s="25" t="s">
        <v>3697</v>
      </c>
      <c r="U66" s="25" t="s">
        <v>1</v>
      </c>
      <c r="V66" s="25" t="s">
        <v>1</v>
      </c>
      <c r="W66" s="25" t="s">
        <v>1</v>
      </c>
      <c r="X66" s="25" t="s">
        <v>1</v>
      </c>
      <c r="Y66" s="25" t="s">
        <v>1</v>
      </c>
      <c r="Z66" s="25" t="s">
        <v>1</v>
      </c>
      <c r="AA66" s="95" t="s">
        <v>3696</v>
      </c>
      <c r="AB66" s="28" t="s">
        <v>3695</v>
      </c>
      <c r="AC66" s="109"/>
      <c r="AD66" s="101"/>
    </row>
    <row r="67" spans="1:30">
      <c r="A67" s="1">
        <f t="shared" si="0"/>
        <v>64</v>
      </c>
      <c r="B67" s="1" t="s">
        <v>3694</v>
      </c>
      <c r="C67" s="26" t="s">
        <v>1720</v>
      </c>
      <c r="D67" s="3">
        <v>1000</v>
      </c>
      <c r="E67" s="1" t="s">
        <v>18</v>
      </c>
      <c r="F67" s="3">
        <v>235</v>
      </c>
      <c r="G67" s="4">
        <v>44384</v>
      </c>
      <c r="H67" s="1" t="s">
        <v>3693</v>
      </c>
      <c r="I67" s="1" t="s">
        <v>3692</v>
      </c>
      <c r="J67" s="1" t="s">
        <v>2082</v>
      </c>
      <c r="K67" s="1" t="s">
        <v>2081</v>
      </c>
      <c r="L67" s="1">
        <v>2015</v>
      </c>
      <c r="N67" s="1" t="s">
        <v>3691</v>
      </c>
      <c r="O67" s="25" t="s">
        <v>7</v>
      </c>
      <c r="P67" s="25">
        <v>43</v>
      </c>
      <c r="Q67" s="25" t="s">
        <v>3690</v>
      </c>
      <c r="R67" s="25" t="s">
        <v>5</v>
      </c>
      <c r="S67" s="25">
        <v>31</v>
      </c>
      <c r="T67" s="25" t="s">
        <v>502</v>
      </c>
      <c r="U67" s="25" t="s">
        <v>5</v>
      </c>
      <c r="V67" s="25">
        <v>15</v>
      </c>
      <c r="W67" s="25" t="s">
        <v>3689</v>
      </c>
      <c r="X67" s="25" t="s">
        <v>5</v>
      </c>
      <c r="Y67" s="25">
        <v>28</v>
      </c>
      <c r="Z67" s="25" t="s">
        <v>3688</v>
      </c>
      <c r="AA67" s="95" t="s">
        <v>2115</v>
      </c>
      <c r="AB67" s="28" t="s">
        <v>3687</v>
      </c>
      <c r="AC67" s="109"/>
      <c r="AD67" s="101"/>
    </row>
    <row r="68" spans="1:30">
      <c r="A68" s="1">
        <f t="shared" si="0"/>
        <v>65</v>
      </c>
      <c r="B68" s="1" t="s">
        <v>1059</v>
      </c>
      <c r="C68" s="26" t="s">
        <v>1720</v>
      </c>
      <c r="D68" s="3">
        <v>1000</v>
      </c>
      <c r="E68" s="1" t="s">
        <v>18</v>
      </c>
      <c r="F68" s="3">
        <v>100</v>
      </c>
      <c r="G68" s="4">
        <v>44699</v>
      </c>
      <c r="H68" s="1" t="s">
        <v>3686</v>
      </c>
      <c r="I68" s="1" t="s">
        <v>3685</v>
      </c>
      <c r="J68" s="1" t="s">
        <v>2082</v>
      </c>
      <c r="K68" s="1" t="s">
        <v>2273</v>
      </c>
      <c r="L68" s="1">
        <v>2019</v>
      </c>
      <c r="M68" s="1" t="s">
        <v>3684</v>
      </c>
      <c r="N68" s="1" t="s">
        <v>3683</v>
      </c>
      <c r="O68" s="25" t="s">
        <v>7</v>
      </c>
      <c r="P68" s="25">
        <v>40</v>
      </c>
      <c r="Q68" s="25" t="s">
        <v>3682</v>
      </c>
      <c r="R68" s="25" t="s">
        <v>5</v>
      </c>
      <c r="S68" s="25">
        <v>15</v>
      </c>
      <c r="T68" s="25" t="s">
        <v>3681</v>
      </c>
      <c r="U68" s="25" t="s">
        <v>1</v>
      </c>
      <c r="V68" s="25" t="s">
        <v>1</v>
      </c>
      <c r="W68" s="25" t="s">
        <v>1</v>
      </c>
      <c r="X68" s="25" t="s">
        <v>1</v>
      </c>
      <c r="Y68" s="25" t="s">
        <v>1</v>
      </c>
      <c r="Z68" s="25" t="s">
        <v>1</v>
      </c>
      <c r="AA68" s="95" t="s">
        <v>2194</v>
      </c>
    </row>
    <row r="69" spans="1:30">
      <c r="A69" s="1">
        <f t="shared" si="0"/>
        <v>66</v>
      </c>
      <c r="B69" s="1" t="s">
        <v>530</v>
      </c>
      <c r="C69" s="26" t="s">
        <v>1720</v>
      </c>
      <c r="D69" s="3">
        <v>1000</v>
      </c>
      <c r="E69" s="1" t="s">
        <v>8</v>
      </c>
      <c r="F69" s="3">
        <v>100</v>
      </c>
      <c r="G69" s="4">
        <v>44419</v>
      </c>
      <c r="H69" s="1" t="s">
        <v>3680</v>
      </c>
      <c r="I69" s="1" t="s">
        <v>3679</v>
      </c>
      <c r="J69" s="1" t="s">
        <v>2082</v>
      </c>
      <c r="K69" s="1" t="s">
        <v>2298</v>
      </c>
      <c r="L69" s="1">
        <v>2016</v>
      </c>
      <c r="N69" s="1" t="s">
        <v>3678</v>
      </c>
      <c r="O69" s="25" t="s">
        <v>18</v>
      </c>
      <c r="P69" s="25">
        <v>60</v>
      </c>
      <c r="Q69" s="25" t="s">
        <v>3677</v>
      </c>
      <c r="R69" s="25" t="s">
        <v>7</v>
      </c>
      <c r="S69" s="25">
        <v>30</v>
      </c>
      <c r="T69" s="25" t="s">
        <v>3676</v>
      </c>
      <c r="U69" s="25" t="s">
        <v>5</v>
      </c>
      <c r="V69" s="25">
        <v>7</v>
      </c>
      <c r="W69" s="25" t="s">
        <v>3675</v>
      </c>
      <c r="X69" s="25" t="s">
        <v>4</v>
      </c>
      <c r="Y69" s="25">
        <v>3</v>
      </c>
      <c r="Z69" s="25" t="s">
        <v>3674</v>
      </c>
      <c r="AA69" s="95" t="s">
        <v>2085</v>
      </c>
    </row>
    <row r="70" spans="1:30">
      <c r="A70" s="1">
        <f t="shared" si="0"/>
        <v>67</v>
      </c>
      <c r="B70" s="1" t="s">
        <v>1021</v>
      </c>
      <c r="C70" s="26" t="s">
        <v>1720</v>
      </c>
      <c r="D70" s="3">
        <v>1000</v>
      </c>
      <c r="E70" s="1" t="s">
        <v>18</v>
      </c>
      <c r="F70" s="3">
        <v>100</v>
      </c>
      <c r="G70" s="4">
        <v>44754</v>
      </c>
      <c r="H70" s="1" t="s">
        <v>3673</v>
      </c>
      <c r="I70" s="1" t="s">
        <v>3672</v>
      </c>
      <c r="J70" s="1" t="s">
        <v>2616</v>
      </c>
      <c r="K70" s="1" t="s">
        <v>2093</v>
      </c>
      <c r="L70" s="1">
        <v>2019</v>
      </c>
      <c r="M70" s="1" t="s">
        <v>3671</v>
      </c>
      <c r="N70" s="1" t="s">
        <v>3670</v>
      </c>
      <c r="O70" s="25" t="s">
        <v>7</v>
      </c>
      <c r="P70" s="25">
        <v>35</v>
      </c>
      <c r="Q70" s="25" t="s">
        <v>3669</v>
      </c>
      <c r="R70" s="25" t="s">
        <v>5</v>
      </c>
      <c r="S70" s="25">
        <v>20</v>
      </c>
      <c r="T70" s="25" t="s">
        <v>3668</v>
      </c>
      <c r="U70" s="25" t="s">
        <v>4</v>
      </c>
      <c r="V70" s="25">
        <v>5</v>
      </c>
      <c r="W70" s="25" t="s">
        <v>3667</v>
      </c>
      <c r="X70" s="25" t="s">
        <v>1</v>
      </c>
      <c r="Y70" s="25" t="s">
        <v>1</v>
      </c>
      <c r="Z70" s="25" t="s">
        <v>1</v>
      </c>
      <c r="AA70" s="95" t="s">
        <v>2405</v>
      </c>
    </row>
    <row r="71" spans="1:30">
      <c r="A71" s="1">
        <f t="shared" si="0"/>
        <v>68</v>
      </c>
      <c r="B71" s="12" t="s">
        <v>3666</v>
      </c>
      <c r="C71" s="35" t="s">
        <v>1720</v>
      </c>
      <c r="D71" s="15">
        <v>1000</v>
      </c>
      <c r="E71" s="12" t="s">
        <v>7</v>
      </c>
      <c r="F71" s="15">
        <v>100</v>
      </c>
      <c r="G71" s="14">
        <v>44565</v>
      </c>
      <c r="H71" s="12" t="s">
        <v>3665</v>
      </c>
      <c r="I71" s="12" t="s">
        <v>3664</v>
      </c>
      <c r="J71" s="12" t="s">
        <v>2351</v>
      </c>
      <c r="K71" s="12" t="s">
        <v>3663</v>
      </c>
      <c r="L71" s="32">
        <v>43466</v>
      </c>
      <c r="M71" s="1" t="s">
        <v>3549</v>
      </c>
      <c r="N71" s="45" t="s">
        <v>3662</v>
      </c>
      <c r="O71" s="25" t="s">
        <v>5</v>
      </c>
      <c r="P71" s="25">
        <v>30</v>
      </c>
      <c r="Q71" s="25" t="s">
        <v>3661</v>
      </c>
      <c r="R71" s="25" t="s">
        <v>1</v>
      </c>
      <c r="S71" s="25" t="s">
        <v>1</v>
      </c>
      <c r="T71" s="25" t="s">
        <v>1</v>
      </c>
      <c r="U71" s="25" t="s">
        <v>1</v>
      </c>
      <c r="V71" s="25" t="s">
        <v>1</v>
      </c>
      <c r="W71" s="25" t="s">
        <v>1</v>
      </c>
      <c r="X71" s="25" t="s">
        <v>1</v>
      </c>
      <c r="Y71" s="25" t="s">
        <v>1</v>
      </c>
      <c r="Z71" s="25" t="s">
        <v>1</v>
      </c>
      <c r="AA71" s="95" t="s">
        <v>3660</v>
      </c>
    </row>
    <row r="72" spans="1:30">
      <c r="A72" s="1">
        <f t="shared" si="0"/>
        <v>69</v>
      </c>
      <c r="B72" s="1" t="s">
        <v>844</v>
      </c>
      <c r="C72" s="26" t="s">
        <v>1720</v>
      </c>
      <c r="D72" s="3">
        <v>1000</v>
      </c>
      <c r="E72" s="1" t="s">
        <v>18</v>
      </c>
      <c r="F72" s="3">
        <v>99</v>
      </c>
      <c r="G72" s="4">
        <v>44796</v>
      </c>
      <c r="H72" s="1" t="s">
        <v>2903</v>
      </c>
      <c r="I72" s="1" t="s">
        <v>3659</v>
      </c>
      <c r="J72" s="1" t="s">
        <v>2616</v>
      </c>
      <c r="K72" s="1" t="s">
        <v>2093</v>
      </c>
      <c r="L72" s="1">
        <v>2019</v>
      </c>
      <c r="M72" s="1" t="s">
        <v>3658</v>
      </c>
      <c r="N72" s="1" t="s">
        <v>3657</v>
      </c>
      <c r="O72" s="25" t="s">
        <v>1136</v>
      </c>
      <c r="P72" s="25">
        <v>100</v>
      </c>
      <c r="Q72" s="25" t="s">
        <v>3656</v>
      </c>
      <c r="R72" s="25" t="s">
        <v>7</v>
      </c>
      <c r="S72" s="25">
        <v>40</v>
      </c>
      <c r="T72" s="25" t="s">
        <v>3655</v>
      </c>
      <c r="U72" s="25" t="s">
        <v>5</v>
      </c>
      <c r="V72" s="25">
        <v>20</v>
      </c>
      <c r="W72" s="25" t="s">
        <v>3654</v>
      </c>
      <c r="X72" s="25" t="s">
        <v>1</v>
      </c>
      <c r="Y72" s="25" t="s">
        <v>1</v>
      </c>
      <c r="Z72" s="25" t="s">
        <v>1</v>
      </c>
      <c r="AA72" s="95" t="s">
        <v>2405</v>
      </c>
    </row>
    <row r="73" spans="1:30">
      <c r="A73" s="1">
        <f t="shared" si="0"/>
        <v>70</v>
      </c>
      <c r="B73" s="1" t="s">
        <v>411</v>
      </c>
      <c r="C73" s="26" t="s">
        <v>1720</v>
      </c>
      <c r="D73" s="3">
        <v>1000</v>
      </c>
      <c r="E73" s="1" t="s">
        <v>18</v>
      </c>
      <c r="F73" s="3">
        <v>90</v>
      </c>
      <c r="G73" s="4">
        <v>45090</v>
      </c>
      <c r="I73" s="1" t="s">
        <v>3653</v>
      </c>
      <c r="J73" s="1" t="s">
        <v>2082</v>
      </c>
      <c r="K73" s="1" t="s">
        <v>2345</v>
      </c>
      <c r="L73" s="1">
        <v>2017</v>
      </c>
      <c r="N73" s="1" t="s">
        <v>3652</v>
      </c>
      <c r="O73" s="25" t="s">
        <v>7</v>
      </c>
      <c r="P73" s="25">
        <v>50</v>
      </c>
      <c r="Q73" s="25" t="s">
        <v>3651</v>
      </c>
      <c r="R73" s="25" t="s">
        <v>5</v>
      </c>
      <c r="S73" s="25">
        <v>12.5</v>
      </c>
      <c r="T73" s="25" t="s">
        <v>3650</v>
      </c>
      <c r="U73" s="25" t="s">
        <v>4</v>
      </c>
      <c r="V73" s="25">
        <v>3.1</v>
      </c>
      <c r="W73" s="25" t="s">
        <v>3649</v>
      </c>
      <c r="X73" s="25" t="s">
        <v>285</v>
      </c>
      <c r="Y73" s="25">
        <v>1</v>
      </c>
      <c r="Z73" s="25" t="s">
        <v>3648</v>
      </c>
      <c r="AA73" s="95" t="s">
        <v>2206</v>
      </c>
    </row>
    <row r="74" spans="1:30">
      <c r="A74" s="1">
        <f t="shared" si="0"/>
        <v>71</v>
      </c>
      <c r="B74" s="1" t="s">
        <v>889</v>
      </c>
      <c r="C74" s="26" t="s">
        <v>1720</v>
      </c>
      <c r="D74" s="3">
        <v>1000</v>
      </c>
      <c r="E74" s="1" t="s">
        <v>18</v>
      </c>
      <c r="F74" s="3">
        <v>85</v>
      </c>
      <c r="G74" s="4">
        <v>44417</v>
      </c>
      <c r="H74" s="1" t="s">
        <v>3647</v>
      </c>
      <c r="I74" s="1" t="s">
        <v>3646</v>
      </c>
      <c r="J74" s="1" t="s">
        <v>2082</v>
      </c>
      <c r="K74" s="1" t="s">
        <v>2093</v>
      </c>
      <c r="L74" s="1">
        <v>2019</v>
      </c>
      <c r="M74" s="1" t="s">
        <v>3645</v>
      </c>
      <c r="N74" s="1" t="s">
        <v>3644</v>
      </c>
      <c r="O74" s="25" t="s">
        <v>7</v>
      </c>
      <c r="P74" s="25">
        <v>35</v>
      </c>
      <c r="Q74" s="25" t="s">
        <v>3643</v>
      </c>
      <c r="R74" s="25" t="s">
        <v>5</v>
      </c>
      <c r="S74" s="25">
        <v>12</v>
      </c>
      <c r="T74" s="25" t="s">
        <v>3642</v>
      </c>
      <c r="U74" s="25" t="s">
        <v>4</v>
      </c>
      <c r="V74" s="25">
        <v>3.3</v>
      </c>
      <c r="W74" s="25" t="s">
        <v>3641</v>
      </c>
      <c r="X74" s="25" t="s">
        <v>1</v>
      </c>
      <c r="Y74" s="25" t="s">
        <v>1</v>
      </c>
      <c r="Z74" s="25" t="s">
        <v>1</v>
      </c>
      <c r="AA74" s="95" t="s">
        <v>3175</v>
      </c>
    </row>
    <row r="75" spans="1:30">
      <c r="A75" s="1">
        <f t="shared" si="0"/>
        <v>72</v>
      </c>
      <c r="B75" s="1" t="s">
        <v>1079</v>
      </c>
      <c r="C75" s="26" t="s">
        <v>1720</v>
      </c>
      <c r="D75" s="3">
        <v>1000</v>
      </c>
      <c r="E75" s="1" t="s">
        <v>7</v>
      </c>
      <c r="F75" s="3">
        <v>100</v>
      </c>
      <c r="G75" s="4">
        <v>45106</v>
      </c>
      <c r="I75" s="1" t="s">
        <v>3640</v>
      </c>
      <c r="J75" s="1" t="s">
        <v>2082</v>
      </c>
      <c r="K75" s="1" t="s">
        <v>2751</v>
      </c>
      <c r="L75" s="1">
        <v>2022</v>
      </c>
      <c r="N75" s="1" t="s">
        <v>3639</v>
      </c>
      <c r="O75" s="25" t="s">
        <v>5</v>
      </c>
      <c r="P75" s="25">
        <v>65</v>
      </c>
      <c r="Q75" s="1" t="s">
        <v>3638</v>
      </c>
      <c r="R75" s="25" t="s">
        <v>1</v>
      </c>
      <c r="S75" s="25" t="s">
        <v>1</v>
      </c>
      <c r="T75" s="25" t="s">
        <v>1</v>
      </c>
      <c r="U75" s="25" t="s">
        <v>1</v>
      </c>
      <c r="V75" s="25" t="s">
        <v>1</v>
      </c>
      <c r="W75" s="25" t="s">
        <v>1</v>
      </c>
      <c r="X75" s="25" t="s">
        <v>1</v>
      </c>
      <c r="Y75" s="25" t="s">
        <v>1</v>
      </c>
      <c r="Z75" s="25" t="s">
        <v>1</v>
      </c>
      <c r="AA75" s="95" t="s">
        <v>2405</v>
      </c>
    </row>
    <row r="76" spans="1:30">
      <c r="A76" s="1">
        <f t="shared" ref="A76:A141" si="1">A75+1</f>
        <v>73</v>
      </c>
      <c r="B76" s="1" t="s">
        <v>610</v>
      </c>
      <c r="C76" s="26" t="s">
        <v>1720</v>
      </c>
      <c r="D76" s="3">
        <v>800</v>
      </c>
      <c r="E76" s="1" t="s">
        <v>18</v>
      </c>
      <c r="F76" s="3">
        <v>125</v>
      </c>
      <c r="G76" s="4">
        <v>44663</v>
      </c>
      <c r="H76" s="1" t="s">
        <v>3637</v>
      </c>
      <c r="I76" s="1" t="s">
        <v>3636</v>
      </c>
      <c r="J76" s="1" t="s">
        <v>2082</v>
      </c>
      <c r="K76" s="1" t="s">
        <v>3635</v>
      </c>
      <c r="L76" s="1">
        <v>2017</v>
      </c>
      <c r="N76" s="1" t="s">
        <v>3634</v>
      </c>
      <c r="O76" s="25" t="s">
        <v>7</v>
      </c>
      <c r="P76" s="25">
        <v>54</v>
      </c>
      <c r="Q76" s="25" t="s">
        <v>3633</v>
      </c>
      <c r="R76" s="25" t="s">
        <v>5</v>
      </c>
      <c r="S76" s="25">
        <v>26</v>
      </c>
      <c r="T76" s="25" t="s">
        <v>3632</v>
      </c>
      <c r="U76" s="25" t="s">
        <v>5</v>
      </c>
      <c r="V76" s="25">
        <v>8</v>
      </c>
      <c r="W76" s="25" t="s">
        <v>3631</v>
      </c>
      <c r="X76" s="25" t="s">
        <v>5</v>
      </c>
      <c r="Y76" s="25">
        <v>26</v>
      </c>
      <c r="Z76" s="25" t="s">
        <v>3630</v>
      </c>
      <c r="AA76" s="95" t="s">
        <v>2085</v>
      </c>
    </row>
    <row r="77" spans="1:30">
      <c r="A77" s="1">
        <f t="shared" si="1"/>
        <v>74</v>
      </c>
      <c r="B77" s="1" t="s">
        <v>265</v>
      </c>
      <c r="C77" s="26" t="s">
        <v>1720</v>
      </c>
      <c r="D77" s="3">
        <v>800</v>
      </c>
      <c r="E77" s="1" t="s">
        <v>8</v>
      </c>
      <c r="F77" s="3">
        <v>111</v>
      </c>
      <c r="G77" s="4">
        <v>44782</v>
      </c>
      <c r="H77" s="1" t="s">
        <v>3629</v>
      </c>
      <c r="I77" s="1" t="s">
        <v>3628</v>
      </c>
      <c r="J77" s="1" t="s">
        <v>2082</v>
      </c>
      <c r="K77" s="1" t="s">
        <v>2212</v>
      </c>
      <c r="L77" s="1">
        <v>2017</v>
      </c>
      <c r="N77" s="1" t="s">
        <v>3627</v>
      </c>
      <c r="O77" s="25" t="s">
        <v>18</v>
      </c>
      <c r="P77" s="25">
        <v>55</v>
      </c>
      <c r="Q77" s="25" t="s">
        <v>3626</v>
      </c>
      <c r="R77" s="25" t="s">
        <v>7</v>
      </c>
      <c r="S77" s="25">
        <v>16</v>
      </c>
      <c r="T77" s="25" t="s">
        <v>3625</v>
      </c>
      <c r="U77" s="25" t="s">
        <v>5</v>
      </c>
      <c r="V77" s="25">
        <v>14</v>
      </c>
      <c r="W77" s="25" t="s">
        <v>3624</v>
      </c>
      <c r="X77" s="25" t="s">
        <v>4</v>
      </c>
      <c r="Y77" s="25">
        <v>3.5</v>
      </c>
      <c r="Z77" s="25" t="s">
        <v>3623</v>
      </c>
      <c r="AA77" s="95" t="s">
        <v>2085</v>
      </c>
      <c r="AB77" s="28" t="s">
        <v>3622</v>
      </c>
      <c r="AC77" s="109"/>
      <c r="AD77" s="101"/>
    </row>
    <row r="78" spans="1:30">
      <c r="A78" s="1">
        <f t="shared" si="1"/>
        <v>75</v>
      </c>
      <c r="B78" s="1" t="s">
        <v>15</v>
      </c>
      <c r="C78" s="26" t="s">
        <v>1720</v>
      </c>
      <c r="D78" s="3">
        <v>794</v>
      </c>
      <c r="E78" s="1" t="s">
        <v>8</v>
      </c>
      <c r="F78" s="3">
        <v>220</v>
      </c>
      <c r="G78" s="4">
        <v>44502</v>
      </c>
      <c r="H78" s="1" t="s">
        <v>3621</v>
      </c>
      <c r="I78" s="1" t="s">
        <v>3620</v>
      </c>
      <c r="J78" s="1" t="s">
        <v>2082</v>
      </c>
      <c r="K78" s="1" t="s">
        <v>2375</v>
      </c>
      <c r="L78" s="1">
        <v>2013</v>
      </c>
      <c r="N78" s="1" t="s">
        <v>3619</v>
      </c>
      <c r="O78" s="25" t="s">
        <v>8</v>
      </c>
      <c r="P78" s="25" t="s">
        <v>3618</v>
      </c>
      <c r="Q78" s="25" t="s">
        <v>3617</v>
      </c>
      <c r="R78" s="25" t="s">
        <v>18</v>
      </c>
      <c r="S78" s="25">
        <v>60</v>
      </c>
      <c r="T78" s="25" t="s">
        <v>3616</v>
      </c>
      <c r="U78" s="25" t="s">
        <v>7</v>
      </c>
      <c r="V78" s="25">
        <v>28</v>
      </c>
      <c r="W78" s="25" t="s">
        <v>3615</v>
      </c>
      <c r="X78" s="25" t="s">
        <v>5</v>
      </c>
      <c r="Y78" s="25">
        <v>10</v>
      </c>
      <c r="Z78" s="25" t="s">
        <v>3614</v>
      </c>
      <c r="AA78" s="95" t="s">
        <v>2531</v>
      </c>
      <c r="AB78" s="28" t="s">
        <v>3613</v>
      </c>
      <c r="AC78" s="109"/>
      <c r="AD78" s="101"/>
    </row>
    <row r="79" spans="1:30">
      <c r="B79" s="1" t="s">
        <v>2147</v>
      </c>
      <c r="C79" s="26" t="s">
        <v>1720</v>
      </c>
      <c r="D79" s="3">
        <v>790</v>
      </c>
      <c r="E79" s="1" t="s">
        <v>8</v>
      </c>
      <c r="F79" s="3">
        <v>110</v>
      </c>
      <c r="G79" s="4">
        <v>44567</v>
      </c>
      <c r="H79" s="95" t="s">
        <v>5222</v>
      </c>
      <c r="I79" s="95" t="s">
        <v>5221</v>
      </c>
      <c r="J79" s="1" t="s">
        <v>2082</v>
      </c>
      <c r="K79" s="1" t="s">
        <v>2093</v>
      </c>
      <c r="L79" s="1">
        <v>2018</v>
      </c>
      <c r="N79" s="95" t="s">
        <v>5224</v>
      </c>
      <c r="O79" s="97" t="s">
        <v>18</v>
      </c>
      <c r="P79" s="25">
        <v>40</v>
      </c>
      <c r="Q79" s="97" t="s">
        <v>5244</v>
      </c>
      <c r="R79" s="97" t="s">
        <v>7</v>
      </c>
      <c r="S79" s="25">
        <v>25</v>
      </c>
      <c r="T79" s="97" t="s">
        <v>5245</v>
      </c>
      <c r="U79" s="97" t="s">
        <v>5</v>
      </c>
      <c r="V79" s="25">
        <v>10</v>
      </c>
      <c r="W79" s="97" t="s">
        <v>5246</v>
      </c>
      <c r="X79" s="97" t="s">
        <v>4</v>
      </c>
      <c r="Y79" s="25">
        <v>3.9</v>
      </c>
      <c r="Z79" s="97" t="s">
        <v>5247</v>
      </c>
      <c r="AA79" s="95" t="s">
        <v>2085</v>
      </c>
      <c r="AB79" s="28" t="s">
        <v>2146</v>
      </c>
      <c r="AC79" s="109"/>
      <c r="AD79" s="101"/>
    </row>
    <row r="80" spans="1:30">
      <c r="A80" s="1">
        <f>A78+1</f>
        <v>76</v>
      </c>
      <c r="B80" s="1" t="s">
        <v>34</v>
      </c>
      <c r="C80" s="26" t="s">
        <v>1720</v>
      </c>
      <c r="D80" s="3">
        <v>770</v>
      </c>
      <c r="E80" s="1" t="s">
        <v>18</v>
      </c>
      <c r="F80" s="3">
        <v>230</v>
      </c>
      <c r="G80" s="4">
        <v>43634</v>
      </c>
      <c r="H80" s="1" t="s">
        <v>2741</v>
      </c>
      <c r="I80" s="1" t="s">
        <v>3612</v>
      </c>
      <c r="J80" s="1" t="s">
        <v>2082</v>
      </c>
      <c r="K80" s="1" t="s">
        <v>3275</v>
      </c>
      <c r="L80" s="1">
        <v>2016</v>
      </c>
      <c r="N80" s="1" t="s">
        <v>3611</v>
      </c>
      <c r="O80" s="25" t="s">
        <v>7</v>
      </c>
      <c r="P80" s="25">
        <v>45</v>
      </c>
      <c r="Q80" s="25" t="s">
        <v>3610</v>
      </c>
      <c r="R80" s="25" t="s">
        <v>5</v>
      </c>
      <c r="S80" s="25">
        <v>18</v>
      </c>
      <c r="T80" s="25" t="s">
        <v>3609</v>
      </c>
      <c r="U80" s="25" t="s">
        <v>4</v>
      </c>
      <c r="V80" s="25" t="s">
        <v>1</v>
      </c>
      <c r="W80" s="25" t="s">
        <v>3608</v>
      </c>
      <c r="X80" s="25" t="s">
        <v>285</v>
      </c>
      <c r="Y80" s="25">
        <v>0.5</v>
      </c>
      <c r="Z80" s="41">
        <v>42430</v>
      </c>
      <c r="AA80" s="95" t="s">
        <v>2531</v>
      </c>
      <c r="AB80" s="28" t="s">
        <v>3607</v>
      </c>
      <c r="AC80" s="109"/>
      <c r="AD80" s="101"/>
    </row>
    <row r="81" spans="1:30">
      <c r="A81" s="1">
        <f t="shared" si="1"/>
        <v>77</v>
      </c>
      <c r="B81" s="1" t="s">
        <v>1105</v>
      </c>
      <c r="C81" s="26" t="s">
        <v>1720</v>
      </c>
      <c r="D81" s="3">
        <v>750</v>
      </c>
      <c r="E81" s="1" t="s">
        <v>7</v>
      </c>
      <c r="F81" s="3">
        <v>100</v>
      </c>
      <c r="G81" s="4">
        <v>45042</v>
      </c>
      <c r="H81" s="1" t="s">
        <v>3408</v>
      </c>
      <c r="I81" s="1" t="s">
        <v>3606</v>
      </c>
      <c r="J81" s="1" t="s">
        <v>2616</v>
      </c>
      <c r="K81" s="1" t="s">
        <v>3407</v>
      </c>
      <c r="L81" s="1">
        <v>2019</v>
      </c>
      <c r="M81" s="1" t="s">
        <v>3605</v>
      </c>
      <c r="N81" s="1" t="s">
        <v>3604</v>
      </c>
      <c r="O81" s="25" t="s">
        <v>5</v>
      </c>
      <c r="P81" s="25">
        <v>28</v>
      </c>
      <c r="Q81" s="25" t="s">
        <v>3603</v>
      </c>
      <c r="R81" s="25" t="s">
        <v>4</v>
      </c>
      <c r="S81" s="25">
        <v>10</v>
      </c>
      <c r="T81" s="25" t="s">
        <v>3602</v>
      </c>
      <c r="U81" s="25" t="s">
        <v>1</v>
      </c>
      <c r="V81" s="25" t="s">
        <v>1</v>
      </c>
      <c r="W81" s="25" t="s">
        <v>1</v>
      </c>
      <c r="X81" s="25" t="s">
        <v>1</v>
      </c>
      <c r="Y81" s="25" t="s">
        <v>1</v>
      </c>
      <c r="Z81" s="25" t="s">
        <v>1</v>
      </c>
      <c r="AA81" s="95" t="s">
        <v>2092</v>
      </c>
    </row>
    <row r="82" spans="1:30">
      <c r="A82" s="1">
        <f t="shared" si="1"/>
        <v>78</v>
      </c>
      <c r="B82" s="1" t="s">
        <v>1080</v>
      </c>
      <c r="C82" s="26" t="s">
        <v>1720</v>
      </c>
      <c r="D82" s="3">
        <v>750</v>
      </c>
      <c r="E82" s="1" t="s">
        <v>18</v>
      </c>
      <c r="F82" s="3">
        <v>85</v>
      </c>
      <c r="G82" s="4">
        <v>44501</v>
      </c>
      <c r="H82" s="1" t="s">
        <v>2930</v>
      </c>
      <c r="I82" s="1" t="s">
        <v>3601</v>
      </c>
      <c r="J82" s="1" t="s">
        <v>2616</v>
      </c>
      <c r="K82" s="1" t="s">
        <v>2093</v>
      </c>
      <c r="L82" s="32">
        <v>43670</v>
      </c>
      <c r="M82" s="1" t="s">
        <v>3600</v>
      </c>
      <c r="N82" s="1" t="s">
        <v>3599</v>
      </c>
      <c r="O82" s="25" t="s">
        <v>7</v>
      </c>
      <c r="P82" s="25">
        <v>28</v>
      </c>
      <c r="Q82" s="25" t="s">
        <v>3598</v>
      </c>
      <c r="R82" s="25" t="s">
        <v>5</v>
      </c>
      <c r="S82" s="25">
        <v>15</v>
      </c>
      <c r="T82" s="25" t="s">
        <v>3597</v>
      </c>
      <c r="U82" s="25" t="s">
        <v>4</v>
      </c>
      <c r="V82" s="25">
        <v>3.9</v>
      </c>
      <c r="W82" s="25" t="s">
        <v>3596</v>
      </c>
      <c r="X82" s="25" t="s">
        <v>1</v>
      </c>
      <c r="Y82" s="25" t="s">
        <v>1</v>
      </c>
      <c r="Z82" s="25" t="s">
        <v>1</v>
      </c>
      <c r="AA82" s="95" t="s">
        <v>2953</v>
      </c>
    </row>
    <row r="83" spans="1:30">
      <c r="A83" s="1">
        <f t="shared" si="1"/>
        <v>79</v>
      </c>
      <c r="B83" s="1" t="s">
        <v>2157</v>
      </c>
      <c r="C83" s="26" t="s">
        <v>1720</v>
      </c>
      <c r="D83" s="3">
        <v>700</v>
      </c>
      <c r="E83" s="1" t="s">
        <v>18</v>
      </c>
      <c r="F83" s="3">
        <v>300</v>
      </c>
      <c r="G83" s="4">
        <v>44300</v>
      </c>
      <c r="H83" s="84" t="s">
        <v>5036</v>
      </c>
      <c r="I83" s="84" t="s">
        <v>5034</v>
      </c>
      <c r="J83" s="1" t="s">
        <v>2082</v>
      </c>
      <c r="K83" s="84" t="s">
        <v>2138</v>
      </c>
      <c r="L83" s="1">
        <v>2016</v>
      </c>
      <c r="M83" s="84" t="s">
        <v>4819</v>
      </c>
      <c r="N83" s="84" t="s">
        <v>5037</v>
      </c>
      <c r="O83" s="87" t="s">
        <v>7</v>
      </c>
      <c r="P83" s="87" t="s">
        <v>1</v>
      </c>
      <c r="Q83" s="87" t="s">
        <v>5047</v>
      </c>
      <c r="R83" s="87" t="s">
        <v>5</v>
      </c>
      <c r="S83" s="25">
        <v>52.3</v>
      </c>
      <c r="T83" s="87" t="s">
        <v>5048</v>
      </c>
      <c r="U83" s="87" t="s">
        <v>4</v>
      </c>
      <c r="V83" s="25">
        <v>10.3</v>
      </c>
      <c r="W83" s="87" t="s">
        <v>5071</v>
      </c>
      <c r="X83" s="87" t="s">
        <v>1</v>
      </c>
      <c r="Y83" s="87" t="s">
        <v>1</v>
      </c>
      <c r="Z83" s="87" t="s">
        <v>1</v>
      </c>
      <c r="AA83" s="95" t="s">
        <v>2080</v>
      </c>
      <c r="AB83" s="28" t="s">
        <v>2156</v>
      </c>
      <c r="AC83" s="109"/>
      <c r="AD83" s="101"/>
    </row>
    <row r="84" spans="1:30">
      <c r="A84" s="1">
        <f t="shared" si="1"/>
        <v>80</v>
      </c>
      <c r="B84" s="1" t="s">
        <v>3595</v>
      </c>
      <c r="C84" s="26" t="s">
        <v>1720</v>
      </c>
      <c r="D84" s="3">
        <v>615</v>
      </c>
      <c r="E84" s="1" t="s">
        <v>8</v>
      </c>
      <c r="F84" s="3">
        <v>135</v>
      </c>
      <c r="G84" s="4">
        <v>44880</v>
      </c>
      <c r="H84" s="1" t="s">
        <v>3594</v>
      </c>
      <c r="I84" s="1" t="s">
        <v>3593</v>
      </c>
      <c r="J84" s="1" t="s">
        <v>2082</v>
      </c>
      <c r="K84" s="1" t="s">
        <v>2093</v>
      </c>
      <c r="L84" s="1">
        <v>2013</v>
      </c>
      <c r="N84" s="1" t="s">
        <v>3592</v>
      </c>
      <c r="O84" s="25" t="s">
        <v>18</v>
      </c>
      <c r="P84" s="25">
        <v>73</v>
      </c>
      <c r="Q84" s="25" t="s">
        <v>3591</v>
      </c>
      <c r="R84" s="25" t="s">
        <v>7</v>
      </c>
      <c r="S84" s="25">
        <v>32</v>
      </c>
      <c r="T84" s="25" t="s">
        <v>3590</v>
      </c>
      <c r="U84" s="25" t="s">
        <v>1</v>
      </c>
      <c r="V84" s="25" t="s">
        <v>1</v>
      </c>
      <c r="W84" s="25" t="s">
        <v>1</v>
      </c>
      <c r="X84" s="25" t="s">
        <v>1</v>
      </c>
      <c r="Y84" s="25" t="s">
        <v>1</v>
      </c>
      <c r="Z84" s="25" t="s">
        <v>1</v>
      </c>
      <c r="AA84" s="95" t="s">
        <v>3038</v>
      </c>
      <c r="AB84" s="28" t="s">
        <v>3589</v>
      </c>
      <c r="AC84" s="109"/>
      <c r="AD84" s="101"/>
    </row>
    <row r="85" spans="1:30">
      <c r="A85" s="1">
        <f t="shared" si="1"/>
        <v>81</v>
      </c>
      <c r="B85" s="1" t="s">
        <v>3588</v>
      </c>
      <c r="C85" s="26" t="s">
        <v>1720</v>
      </c>
      <c r="D85" s="3">
        <v>600</v>
      </c>
      <c r="E85" s="1" t="s">
        <v>7</v>
      </c>
      <c r="F85" s="3">
        <v>64</v>
      </c>
      <c r="G85" s="4">
        <v>44754</v>
      </c>
      <c r="H85" s="1" t="s">
        <v>3587</v>
      </c>
      <c r="I85" s="1" t="s">
        <v>3586</v>
      </c>
      <c r="J85" s="1" t="s">
        <v>2616</v>
      </c>
      <c r="K85" s="1" t="s">
        <v>3223</v>
      </c>
      <c r="L85" s="1">
        <v>2017</v>
      </c>
      <c r="M85" s="28" t="s">
        <v>3585</v>
      </c>
      <c r="N85" s="45" t="s">
        <v>3584</v>
      </c>
      <c r="O85" s="25" t="s">
        <v>7</v>
      </c>
      <c r="P85" s="25">
        <v>20</v>
      </c>
      <c r="Q85" s="25" t="s">
        <v>3583</v>
      </c>
      <c r="R85" s="25" t="s">
        <v>5</v>
      </c>
      <c r="S85" s="25">
        <v>34.5</v>
      </c>
      <c r="T85" s="25" t="s">
        <v>3582</v>
      </c>
      <c r="U85" s="25" t="s">
        <v>4</v>
      </c>
      <c r="V85" s="25" t="s">
        <v>1</v>
      </c>
      <c r="W85" s="25" t="s">
        <v>3582</v>
      </c>
      <c r="X85" s="25" t="s">
        <v>1</v>
      </c>
      <c r="Y85" s="25" t="s">
        <v>1</v>
      </c>
      <c r="Z85" s="25" t="s">
        <v>1</v>
      </c>
      <c r="AA85" s="95" t="s">
        <v>2115</v>
      </c>
    </row>
    <row r="86" spans="1:30">
      <c r="A86" s="1">
        <f t="shared" si="1"/>
        <v>82</v>
      </c>
      <c r="B86" s="1" t="s">
        <v>3581</v>
      </c>
      <c r="C86" s="26" t="s">
        <v>1720</v>
      </c>
      <c r="D86" s="3">
        <v>550</v>
      </c>
      <c r="E86" s="1" t="s">
        <v>18</v>
      </c>
      <c r="F86" s="3">
        <v>50</v>
      </c>
      <c r="G86" s="4">
        <v>44861</v>
      </c>
      <c r="H86" s="1" t="s">
        <v>3580</v>
      </c>
      <c r="I86" s="1" t="s">
        <v>3579</v>
      </c>
      <c r="J86" s="1" t="s">
        <v>2351</v>
      </c>
      <c r="K86" s="1" t="s">
        <v>2345</v>
      </c>
      <c r="L86" s="1">
        <v>2017</v>
      </c>
      <c r="M86" s="1" t="s">
        <v>3578</v>
      </c>
      <c r="N86" s="1" t="s">
        <v>3577</v>
      </c>
      <c r="O86" s="25" t="s">
        <v>7</v>
      </c>
      <c r="P86" s="25">
        <v>30</v>
      </c>
      <c r="Q86" s="25" t="s">
        <v>3576</v>
      </c>
      <c r="R86" s="25" t="s">
        <v>5</v>
      </c>
      <c r="S86" s="25">
        <v>15</v>
      </c>
      <c r="T86" s="25" t="s">
        <v>3575</v>
      </c>
      <c r="U86" s="25" t="s">
        <v>4</v>
      </c>
      <c r="V86" s="25">
        <v>5</v>
      </c>
      <c r="W86" s="25" t="s">
        <v>1175</v>
      </c>
      <c r="X86" s="25" t="s">
        <v>1</v>
      </c>
      <c r="Y86" s="25" t="s">
        <v>1</v>
      </c>
      <c r="Z86" s="25" t="s">
        <v>1</v>
      </c>
      <c r="AA86" s="95" t="s">
        <v>2405</v>
      </c>
    </row>
    <row r="87" spans="1:30">
      <c r="A87" s="1">
        <f t="shared" si="1"/>
        <v>83</v>
      </c>
      <c r="B87" s="1" t="s">
        <v>1177</v>
      </c>
      <c r="C87" s="26" t="s">
        <v>1720</v>
      </c>
      <c r="D87" s="3">
        <v>500</v>
      </c>
      <c r="E87" s="1" t="s">
        <v>7</v>
      </c>
      <c r="F87" s="3">
        <v>140</v>
      </c>
      <c r="G87" s="31">
        <v>44393</v>
      </c>
      <c r="H87" s="1" t="s">
        <v>3574</v>
      </c>
      <c r="I87" s="1" t="s">
        <v>3573</v>
      </c>
      <c r="J87" s="1" t="s">
        <v>2082</v>
      </c>
      <c r="K87" s="1" t="s">
        <v>2093</v>
      </c>
      <c r="L87" s="1">
        <v>2019</v>
      </c>
      <c r="M87" s="1" t="s">
        <v>3572</v>
      </c>
      <c r="N87" s="1" t="s">
        <v>3571</v>
      </c>
      <c r="O87" s="25" t="s">
        <v>4</v>
      </c>
      <c r="P87" s="25">
        <v>50</v>
      </c>
      <c r="Q87" s="25" t="s">
        <v>1</v>
      </c>
      <c r="R87" s="25" t="s">
        <v>1</v>
      </c>
      <c r="S87" s="25" t="s">
        <v>1</v>
      </c>
      <c r="T87" s="25" t="s">
        <v>1</v>
      </c>
      <c r="U87" s="25" t="s">
        <v>1</v>
      </c>
      <c r="V87" s="25" t="s">
        <v>1</v>
      </c>
      <c r="W87" s="25" t="s">
        <v>1</v>
      </c>
      <c r="X87" s="25" t="s">
        <v>1</v>
      </c>
      <c r="Y87" s="25" t="s">
        <v>1</v>
      </c>
      <c r="Z87" s="25" t="s">
        <v>1</v>
      </c>
      <c r="AA87" s="95" t="s">
        <v>2194</v>
      </c>
    </row>
    <row r="88" spans="1:30">
      <c r="A88" s="1">
        <f t="shared" si="1"/>
        <v>84</v>
      </c>
      <c r="B88" s="1" t="s">
        <v>439</v>
      </c>
      <c r="C88" s="26" t="s">
        <v>1720</v>
      </c>
      <c r="D88" s="3">
        <v>500</v>
      </c>
      <c r="E88" s="1" t="s">
        <v>7</v>
      </c>
      <c r="F88" s="3">
        <v>93</v>
      </c>
      <c r="G88" s="31">
        <v>43018</v>
      </c>
      <c r="H88" s="1" t="s">
        <v>3570</v>
      </c>
      <c r="I88" s="1" t="s">
        <v>3569</v>
      </c>
      <c r="J88" s="1" t="s">
        <v>2082</v>
      </c>
      <c r="K88" s="1" t="s">
        <v>2184</v>
      </c>
      <c r="L88" s="1">
        <v>2016</v>
      </c>
      <c r="M88" s="1" t="s">
        <v>3568</v>
      </c>
      <c r="N88" s="1" t="s">
        <v>3567</v>
      </c>
      <c r="O88" s="25" t="s">
        <v>5</v>
      </c>
      <c r="P88" s="25">
        <v>15</v>
      </c>
      <c r="Q88" s="25" t="s">
        <v>3566</v>
      </c>
      <c r="R88" s="25" t="s">
        <v>1</v>
      </c>
      <c r="S88" s="25" t="s">
        <v>1</v>
      </c>
      <c r="T88" s="25" t="s">
        <v>1</v>
      </c>
      <c r="U88" s="25" t="s">
        <v>1</v>
      </c>
      <c r="V88" s="25" t="s">
        <v>1</v>
      </c>
      <c r="W88" s="25" t="s">
        <v>1</v>
      </c>
      <c r="X88" s="25" t="s">
        <v>1</v>
      </c>
      <c r="Y88" s="25" t="s">
        <v>1</v>
      </c>
      <c r="Z88" s="25" t="s">
        <v>1</v>
      </c>
      <c r="AA88" s="95" t="s">
        <v>3565</v>
      </c>
    </row>
    <row r="89" spans="1:30">
      <c r="A89" s="1">
        <f t="shared" si="1"/>
        <v>85</v>
      </c>
      <c r="B89" s="1" t="s">
        <v>325</v>
      </c>
      <c r="C89" s="26" t="s">
        <v>1720</v>
      </c>
      <c r="D89" s="3">
        <v>500</v>
      </c>
      <c r="E89" s="1" t="s">
        <v>18</v>
      </c>
      <c r="F89" s="3">
        <v>91</v>
      </c>
      <c r="G89" s="4">
        <v>44867</v>
      </c>
      <c r="H89" s="1" t="s">
        <v>3564</v>
      </c>
      <c r="I89" s="1" t="s">
        <v>3563</v>
      </c>
      <c r="J89" s="1" t="s">
        <v>2082</v>
      </c>
      <c r="K89" s="1" t="s">
        <v>3562</v>
      </c>
      <c r="L89" s="1">
        <v>2015</v>
      </c>
      <c r="N89" s="1" t="s">
        <v>3561</v>
      </c>
      <c r="O89" s="25" t="s">
        <v>7</v>
      </c>
      <c r="P89" s="25">
        <v>55</v>
      </c>
      <c r="Q89" s="25" t="s">
        <v>3560</v>
      </c>
      <c r="R89" s="25" t="s">
        <v>5</v>
      </c>
      <c r="S89" s="25">
        <v>16</v>
      </c>
      <c r="T89" s="25" t="s">
        <v>3559</v>
      </c>
      <c r="U89" s="25" t="s">
        <v>4</v>
      </c>
      <c r="V89" s="25">
        <v>3.2</v>
      </c>
      <c r="W89" s="25" t="s">
        <v>3558</v>
      </c>
      <c r="X89" s="25" t="s">
        <v>1</v>
      </c>
      <c r="Y89" s="25" t="s">
        <v>1</v>
      </c>
      <c r="Z89" s="25" t="s">
        <v>1</v>
      </c>
      <c r="AA89" s="95" t="s">
        <v>3557</v>
      </c>
    </row>
    <row r="90" spans="1:30">
      <c r="A90" s="1">
        <f t="shared" si="1"/>
        <v>86</v>
      </c>
      <c r="B90" s="1" t="s">
        <v>456</v>
      </c>
      <c r="C90" s="26" t="s">
        <v>1720</v>
      </c>
      <c r="D90" s="3">
        <v>500</v>
      </c>
      <c r="E90" s="1" t="s">
        <v>8</v>
      </c>
      <c r="F90" s="3">
        <v>90</v>
      </c>
      <c r="G90" s="4">
        <v>44776</v>
      </c>
      <c r="H90" s="1" t="s">
        <v>3556</v>
      </c>
      <c r="I90" s="1" t="s">
        <v>3555</v>
      </c>
      <c r="J90" s="1" t="s">
        <v>2082</v>
      </c>
      <c r="K90" s="1" t="s">
        <v>2127</v>
      </c>
      <c r="L90" s="1">
        <v>2017</v>
      </c>
      <c r="N90" s="1" t="s">
        <v>3554</v>
      </c>
      <c r="O90" s="25" t="s">
        <v>18</v>
      </c>
      <c r="P90" s="25">
        <v>40</v>
      </c>
      <c r="Q90" s="25" t="s">
        <v>3553</v>
      </c>
      <c r="R90" s="25" t="s">
        <v>7</v>
      </c>
      <c r="S90" s="25">
        <v>20</v>
      </c>
      <c r="T90" s="25" t="s">
        <v>3552</v>
      </c>
      <c r="U90" s="25" t="s">
        <v>7</v>
      </c>
      <c r="V90" s="25">
        <v>14.5</v>
      </c>
      <c r="W90" s="25" t="s">
        <v>1104</v>
      </c>
      <c r="X90" s="25" t="s">
        <v>1</v>
      </c>
      <c r="Y90" s="25" t="s">
        <v>1</v>
      </c>
      <c r="Z90" s="25" t="s">
        <v>1</v>
      </c>
      <c r="AA90" s="95" t="s">
        <v>2085</v>
      </c>
    </row>
    <row r="91" spans="1:30">
      <c r="A91" s="1">
        <f t="shared" si="1"/>
        <v>87</v>
      </c>
      <c r="B91" s="1" t="s">
        <v>3551</v>
      </c>
      <c r="C91" s="26" t="s">
        <v>1720</v>
      </c>
      <c r="D91" s="3">
        <v>500</v>
      </c>
      <c r="E91" s="1" t="s">
        <v>18</v>
      </c>
      <c r="F91" s="3">
        <v>80</v>
      </c>
      <c r="G91" s="4">
        <v>44782</v>
      </c>
      <c r="J91" s="1" t="s">
        <v>2082</v>
      </c>
      <c r="K91" s="1" t="s">
        <v>3550</v>
      </c>
      <c r="L91" s="34">
        <v>43497</v>
      </c>
      <c r="M91" s="1" t="s">
        <v>3549</v>
      </c>
      <c r="N91" s="1" t="s">
        <v>3548</v>
      </c>
      <c r="O91" s="25" t="s">
        <v>4</v>
      </c>
      <c r="P91" s="25">
        <v>14</v>
      </c>
      <c r="Q91" s="25" t="s">
        <v>3547</v>
      </c>
      <c r="R91" s="25" t="s">
        <v>560</v>
      </c>
      <c r="S91" s="25">
        <v>10</v>
      </c>
      <c r="T91" s="25" t="s">
        <v>3546</v>
      </c>
      <c r="U91" s="25" t="s">
        <v>1</v>
      </c>
      <c r="V91" s="25" t="s">
        <v>1</v>
      </c>
      <c r="W91" s="25" t="s">
        <v>1</v>
      </c>
      <c r="X91" s="25" t="s">
        <v>1</v>
      </c>
      <c r="Y91" s="25" t="s">
        <v>1</v>
      </c>
      <c r="Z91" s="25" t="s">
        <v>1</v>
      </c>
      <c r="AA91" s="95" t="s">
        <v>3545</v>
      </c>
    </row>
    <row r="92" spans="1:30">
      <c r="A92" s="1">
        <f t="shared" si="1"/>
        <v>88</v>
      </c>
      <c r="B92" s="1" t="s">
        <v>3544</v>
      </c>
      <c r="C92" s="26" t="s">
        <v>1720</v>
      </c>
      <c r="D92" s="3">
        <v>500</v>
      </c>
      <c r="E92" s="1" t="s">
        <v>7</v>
      </c>
      <c r="F92" s="3" t="s">
        <v>1</v>
      </c>
      <c r="G92" s="4">
        <v>44616</v>
      </c>
      <c r="H92" s="1" t="s">
        <v>3543</v>
      </c>
      <c r="J92" s="1" t="s">
        <v>2082</v>
      </c>
      <c r="K92" s="1" t="s">
        <v>2593</v>
      </c>
      <c r="L92" s="1">
        <v>2019</v>
      </c>
      <c r="M92" s="1" t="s">
        <v>3542</v>
      </c>
      <c r="N92" s="1" t="s">
        <v>253</v>
      </c>
      <c r="O92" s="25" t="s">
        <v>1</v>
      </c>
      <c r="P92" s="25" t="s">
        <v>1</v>
      </c>
      <c r="Q92" s="25" t="s">
        <v>1</v>
      </c>
      <c r="R92" s="25" t="s">
        <v>1</v>
      </c>
      <c r="S92" s="25" t="s">
        <v>1</v>
      </c>
      <c r="T92" s="25" t="s">
        <v>1</v>
      </c>
      <c r="U92" s="25" t="s">
        <v>1</v>
      </c>
      <c r="V92" s="25" t="s">
        <v>1</v>
      </c>
      <c r="W92" s="25" t="s">
        <v>1</v>
      </c>
      <c r="X92" s="25" t="s">
        <v>1</v>
      </c>
      <c r="Y92" s="25" t="s">
        <v>1</v>
      </c>
      <c r="Z92" s="25" t="s">
        <v>1</v>
      </c>
      <c r="AA92" s="95" t="s">
        <v>2413</v>
      </c>
    </row>
    <row r="93" spans="1:30">
      <c r="A93" s="1">
        <f t="shared" si="1"/>
        <v>89</v>
      </c>
      <c r="B93" s="1" t="s">
        <v>432</v>
      </c>
      <c r="C93" s="26" t="s">
        <v>1720</v>
      </c>
      <c r="D93" s="3">
        <v>500</v>
      </c>
      <c r="E93" s="1" t="s">
        <v>18</v>
      </c>
      <c r="F93" s="3">
        <v>75</v>
      </c>
      <c r="G93" s="4">
        <v>45020</v>
      </c>
      <c r="H93" s="1" t="s">
        <v>3541</v>
      </c>
      <c r="I93" s="1" t="s">
        <v>3540</v>
      </c>
      <c r="J93" s="1" t="s">
        <v>2082</v>
      </c>
      <c r="K93" s="1" t="s">
        <v>2392</v>
      </c>
      <c r="L93" s="1">
        <v>2017</v>
      </c>
      <c r="N93" s="1" t="s">
        <v>3539</v>
      </c>
      <c r="O93" s="25" t="s">
        <v>18</v>
      </c>
      <c r="P93" s="25">
        <v>80</v>
      </c>
      <c r="Q93" s="25" t="s">
        <v>3538</v>
      </c>
      <c r="R93" s="25" t="s">
        <v>7</v>
      </c>
      <c r="S93" s="25">
        <v>40</v>
      </c>
      <c r="T93" s="25" t="s">
        <v>3537</v>
      </c>
      <c r="U93" s="25" t="s">
        <v>5</v>
      </c>
      <c r="V93" s="25">
        <v>20</v>
      </c>
      <c r="W93" s="25" t="s">
        <v>3536</v>
      </c>
      <c r="X93" s="25" t="s">
        <v>4</v>
      </c>
      <c r="Y93" s="25">
        <v>7</v>
      </c>
      <c r="Z93" s="25" t="s">
        <v>3535</v>
      </c>
      <c r="AA93" s="95" t="s">
        <v>3534</v>
      </c>
    </row>
    <row r="94" spans="1:30">
      <c r="A94" s="1">
        <f t="shared" si="1"/>
        <v>90</v>
      </c>
      <c r="B94" s="1" t="s">
        <v>317</v>
      </c>
      <c r="C94" s="26" t="s">
        <v>1720</v>
      </c>
      <c r="D94" s="3">
        <v>500</v>
      </c>
      <c r="E94" s="1" t="s">
        <v>8</v>
      </c>
      <c r="F94" s="3">
        <v>69</v>
      </c>
      <c r="G94" s="4">
        <v>45091</v>
      </c>
      <c r="H94" s="1" t="s">
        <v>3533</v>
      </c>
      <c r="I94" s="1" t="s">
        <v>3532</v>
      </c>
      <c r="J94" s="1" t="s">
        <v>2082</v>
      </c>
      <c r="K94" s="1" t="s">
        <v>2443</v>
      </c>
      <c r="L94" s="1">
        <v>2015</v>
      </c>
      <c r="N94" s="1" t="s">
        <v>3531</v>
      </c>
      <c r="O94" s="25" t="s">
        <v>18</v>
      </c>
      <c r="P94" s="25">
        <v>110</v>
      </c>
      <c r="Q94" s="25" t="s">
        <v>3530</v>
      </c>
      <c r="R94" s="25" t="s">
        <v>7</v>
      </c>
      <c r="S94" s="25">
        <v>40</v>
      </c>
      <c r="T94" s="25" t="s">
        <v>3529</v>
      </c>
      <c r="U94" s="25" t="s">
        <v>5</v>
      </c>
      <c r="V94" s="25">
        <v>14.7</v>
      </c>
      <c r="W94" s="25" t="s">
        <v>3528</v>
      </c>
      <c r="X94" s="25" t="s">
        <v>4</v>
      </c>
      <c r="Y94" s="25" t="s">
        <v>1</v>
      </c>
      <c r="Z94" s="25" t="s">
        <v>3527</v>
      </c>
      <c r="AA94" s="95" t="s">
        <v>2085</v>
      </c>
    </row>
    <row r="95" spans="1:30">
      <c r="A95" s="1">
        <f t="shared" si="1"/>
        <v>91</v>
      </c>
      <c r="B95" s="1" t="s">
        <v>422</v>
      </c>
      <c r="C95" s="26" t="s">
        <v>1720</v>
      </c>
      <c r="D95" s="3">
        <v>400</v>
      </c>
      <c r="E95" s="1" t="s">
        <v>18</v>
      </c>
      <c r="F95" s="3">
        <v>65</v>
      </c>
      <c r="G95" s="4">
        <v>43789</v>
      </c>
      <c r="H95" s="1" t="s">
        <v>3197</v>
      </c>
      <c r="I95" s="1" t="s">
        <v>3526</v>
      </c>
      <c r="J95" s="1" t="s">
        <v>2082</v>
      </c>
      <c r="K95" s="1" t="s">
        <v>3197</v>
      </c>
      <c r="L95" s="1">
        <v>2010</v>
      </c>
      <c r="N95" s="1" t="s">
        <v>3525</v>
      </c>
      <c r="O95" s="25" t="s">
        <v>7</v>
      </c>
      <c r="P95" s="25">
        <v>7.3</v>
      </c>
      <c r="Q95" s="25" t="s">
        <v>3524</v>
      </c>
      <c r="R95" s="25" t="s">
        <v>5</v>
      </c>
      <c r="S95" s="25">
        <v>2</v>
      </c>
      <c r="T95" s="41" t="s">
        <v>3523</v>
      </c>
      <c r="U95" s="25" t="s">
        <v>1</v>
      </c>
      <c r="V95" s="25" t="s">
        <v>1</v>
      </c>
      <c r="W95" s="25" t="s">
        <v>1</v>
      </c>
      <c r="X95" s="25" t="s">
        <v>1</v>
      </c>
      <c r="Y95" s="25" t="s">
        <v>1</v>
      </c>
      <c r="Z95" s="25" t="s">
        <v>1</v>
      </c>
      <c r="AA95" s="95" t="s">
        <v>3522</v>
      </c>
    </row>
    <row r="96" spans="1:30">
      <c r="A96" s="1">
        <f t="shared" si="1"/>
        <v>92</v>
      </c>
      <c r="B96" s="1" t="s">
        <v>3521</v>
      </c>
      <c r="C96" s="26" t="s">
        <v>1720</v>
      </c>
      <c r="D96" s="3">
        <v>400</v>
      </c>
      <c r="E96" s="1" t="s">
        <v>5</v>
      </c>
      <c r="F96" s="3">
        <v>90</v>
      </c>
      <c r="G96" s="4">
        <v>45006</v>
      </c>
      <c r="H96" s="1" t="s">
        <v>3520</v>
      </c>
      <c r="I96" s="1" t="s">
        <v>3519</v>
      </c>
      <c r="J96" s="1" t="s">
        <v>2082</v>
      </c>
      <c r="K96" s="1" t="s">
        <v>2099</v>
      </c>
      <c r="L96" s="1">
        <v>2021</v>
      </c>
      <c r="M96" s="66" t="s">
        <v>4452</v>
      </c>
      <c r="N96" s="1" t="s">
        <v>3518</v>
      </c>
      <c r="O96" s="25" t="s">
        <v>1</v>
      </c>
      <c r="P96" s="25" t="s">
        <v>1</v>
      </c>
      <c r="Q96" s="25" t="s">
        <v>1</v>
      </c>
      <c r="R96" s="25" t="s">
        <v>1</v>
      </c>
      <c r="S96" s="25" t="s">
        <v>1</v>
      </c>
      <c r="T96" s="25" t="s">
        <v>1</v>
      </c>
      <c r="U96" s="25" t="s">
        <v>1</v>
      </c>
      <c r="V96" s="25" t="s">
        <v>1</v>
      </c>
      <c r="W96" s="25" t="s">
        <v>1</v>
      </c>
      <c r="X96" s="25" t="s">
        <v>1</v>
      </c>
      <c r="Y96" s="25" t="s">
        <v>1</v>
      </c>
      <c r="Z96" s="25" t="s">
        <v>1</v>
      </c>
      <c r="AA96" s="95" t="s">
        <v>3089</v>
      </c>
    </row>
    <row r="97" spans="1:30">
      <c r="A97" s="1">
        <f t="shared" si="1"/>
        <v>93</v>
      </c>
      <c r="B97" s="1" t="s">
        <v>370</v>
      </c>
      <c r="C97" s="26" t="s">
        <v>1720</v>
      </c>
      <c r="D97" s="3">
        <v>300</v>
      </c>
      <c r="E97" s="1" t="s">
        <v>7</v>
      </c>
      <c r="F97" s="3">
        <v>120</v>
      </c>
      <c r="G97" s="4">
        <v>44602</v>
      </c>
      <c r="H97" s="1" t="s">
        <v>3517</v>
      </c>
      <c r="I97" s="1" t="s">
        <v>3516</v>
      </c>
      <c r="J97" s="1" t="s">
        <v>2082</v>
      </c>
      <c r="K97" s="1" t="s">
        <v>3086</v>
      </c>
      <c r="L97" s="1">
        <v>2011</v>
      </c>
      <c r="N97" s="1" t="s">
        <v>3515</v>
      </c>
      <c r="O97" s="25" t="s">
        <v>5</v>
      </c>
      <c r="P97" s="25">
        <v>50</v>
      </c>
      <c r="Q97" s="25" t="s">
        <v>3514</v>
      </c>
      <c r="R97" s="25" t="s">
        <v>4</v>
      </c>
      <c r="S97" s="25">
        <v>20</v>
      </c>
      <c r="T97" s="25" t="s">
        <v>1</v>
      </c>
      <c r="U97" s="25" t="s">
        <v>1</v>
      </c>
      <c r="V97" s="25" t="s">
        <v>1</v>
      </c>
      <c r="W97" s="25" t="s">
        <v>1</v>
      </c>
      <c r="X97" s="25" t="s">
        <v>1</v>
      </c>
      <c r="Y97" s="25" t="s">
        <v>1</v>
      </c>
      <c r="Z97" s="25" t="s">
        <v>1</v>
      </c>
      <c r="AA97" s="95" t="s">
        <v>2119</v>
      </c>
    </row>
    <row r="98" spans="1:30">
      <c r="A98" s="1">
        <f t="shared" si="1"/>
        <v>94</v>
      </c>
      <c r="B98" s="1" t="s">
        <v>3513</v>
      </c>
      <c r="C98" s="26" t="s">
        <v>1720</v>
      </c>
      <c r="D98" s="3">
        <v>300</v>
      </c>
      <c r="E98" s="1" t="s">
        <v>5</v>
      </c>
      <c r="F98" s="3">
        <v>100</v>
      </c>
      <c r="G98" s="31">
        <v>44349</v>
      </c>
      <c r="H98" s="1" t="s">
        <v>3512</v>
      </c>
      <c r="I98" s="1" t="s">
        <v>3511</v>
      </c>
      <c r="J98" s="1" t="s">
        <v>2082</v>
      </c>
      <c r="K98" s="1" t="s">
        <v>3510</v>
      </c>
      <c r="L98" s="1">
        <v>2020</v>
      </c>
      <c r="N98" s="1" t="s">
        <v>3509</v>
      </c>
      <c r="O98" s="25" t="s">
        <v>1</v>
      </c>
      <c r="P98" s="25" t="s">
        <v>1</v>
      </c>
      <c r="Q98" s="25" t="s">
        <v>1</v>
      </c>
      <c r="R98" s="25" t="s">
        <v>1</v>
      </c>
      <c r="S98" s="25" t="s">
        <v>1</v>
      </c>
      <c r="T98" s="25" t="s">
        <v>1</v>
      </c>
      <c r="U98" s="25" t="s">
        <v>1</v>
      </c>
      <c r="V98" s="25" t="s">
        <v>1</v>
      </c>
      <c r="W98" s="25" t="s">
        <v>1</v>
      </c>
      <c r="X98" s="25" t="s">
        <v>1</v>
      </c>
      <c r="Y98" s="25" t="s">
        <v>1</v>
      </c>
      <c r="Z98" s="25" t="s">
        <v>1</v>
      </c>
      <c r="AA98" s="95" t="s">
        <v>3508</v>
      </c>
    </row>
    <row r="99" spans="1:30">
      <c r="A99" s="1">
        <f t="shared" si="1"/>
        <v>95</v>
      </c>
      <c r="B99" s="1" t="s">
        <v>388</v>
      </c>
      <c r="C99" s="26" t="s">
        <v>1720</v>
      </c>
      <c r="D99" s="3">
        <v>300</v>
      </c>
      <c r="E99" s="1" t="s">
        <v>5</v>
      </c>
      <c r="F99" s="3">
        <f>72*1.2</f>
        <v>86.399999999999991</v>
      </c>
      <c r="G99" s="4">
        <v>44488</v>
      </c>
      <c r="H99" s="1" t="s">
        <v>3507</v>
      </c>
      <c r="I99" s="1" t="s">
        <v>3506</v>
      </c>
      <c r="J99" s="1" t="s">
        <v>2082</v>
      </c>
      <c r="K99" s="1" t="s">
        <v>2564</v>
      </c>
      <c r="L99" s="1">
        <v>2017</v>
      </c>
      <c r="M99" s="1" t="s">
        <v>3505</v>
      </c>
      <c r="N99" s="1" t="s">
        <v>3504</v>
      </c>
      <c r="O99" s="25" t="s">
        <v>4</v>
      </c>
      <c r="P99" s="25">
        <v>8.5</v>
      </c>
      <c r="Q99" s="25" t="s">
        <v>3503</v>
      </c>
      <c r="R99" s="25" t="s">
        <v>4</v>
      </c>
      <c r="S99" s="25">
        <v>0.75</v>
      </c>
      <c r="T99" s="25" t="s">
        <v>3502</v>
      </c>
      <c r="U99" s="25" t="s">
        <v>1</v>
      </c>
      <c r="V99" s="25" t="s">
        <v>1</v>
      </c>
      <c r="W99" s="25" t="s">
        <v>1</v>
      </c>
      <c r="X99" s="25" t="s">
        <v>1</v>
      </c>
      <c r="Y99" s="25" t="s">
        <v>1</v>
      </c>
      <c r="Z99" s="25" t="s">
        <v>1</v>
      </c>
      <c r="AA99" s="95" t="s">
        <v>2132</v>
      </c>
    </row>
    <row r="100" spans="1:30">
      <c r="A100" s="1">
        <f t="shared" si="1"/>
        <v>96</v>
      </c>
      <c r="B100" s="1" t="s">
        <v>552</v>
      </c>
      <c r="C100" s="26" t="s">
        <v>1720</v>
      </c>
      <c r="D100" s="3">
        <v>260</v>
      </c>
      <c r="E100" s="1" t="s">
        <v>5</v>
      </c>
      <c r="F100" s="3">
        <v>40</v>
      </c>
      <c r="G100" s="4">
        <v>44811</v>
      </c>
      <c r="H100" s="1" t="s">
        <v>2682</v>
      </c>
      <c r="J100" s="1" t="s">
        <v>2082</v>
      </c>
      <c r="K100" s="1" t="s">
        <v>2682</v>
      </c>
      <c r="L100" s="1">
        <v>2017</v>
      </c>
      <c r="N100" s="1" t="s">
        <v>3501</v>
      </c>
      <c r="O100" s="25" t="s">
        <v>5</v>
      </c>
      <c r="P100" s="25">
        <v>14</v>
      </c>
      <c r="Q100" s="25" t="s">
        <v>3500</v>
      </c>
      <c r="R100" s="25" t="s">
        <v>5</v>
      </c>
      <c r="S100" s="25">
        <v>12</v>
      </c>
      <c r="T100" s="25" t="s">
        <v>3499</v>
      </c>
      <c r="U100" s="25" t="s">
        <v>4</v>
      </c>
      <c r="V100" s="25" t="s">
        <v>1</v>
      </c>
      <c r="W100" s="25" t="s">
        <v>554</v>
      </c>
      <c r="X100" s="25" t="s">
        <v>1</v>
      </c>
      <c r="Y100" s="25" t="s">
        <v>1</v>
      </c>
      <c r="Z100" s="25" t="s">
        <v>1</v>
      </c>
      <c r="AA100" s="95" t="s">
        <v>2206</v>
      </c>
    </row>
    <row r="101" spans="1:30">
      <c r="A101" s="1">
        <f t="shared" si="1"/>
        <v>97</v>
      </c>
      <c r="B101" s="1" t="s">
        <v>1027</v>
      </c>
      <c r="C101" s="26" t="s">
        <v>1720</v>
      </c>
      <c r="D101" s="3">
        <v>257</v>
      </c>
      <c r="E101" s="1" t="s">
        <v>7</v>
      </c>
      <c r="F101" s="3">
        <v>43</v>
      </c>
      <c r="G101" s="4">
        <v>44978</v>
      </c>
      <c r="H101" s="1" t="s">
        <v>3498</v>
      </c>
      <c r="J101" s="1" t="s">
        <v>2082</v>
      </c>
      <c r="K101" s="1" t="s">
        <v>2751</v>
      </c>
      <c r="L101" s="44" t="s">
        <v>3182</v>
      </c>
      <c r="N101" s="1" t="s">
        <v>3497</v>
      </c>
      <c r="O101" s="25" t="s">
        <v>5</v>
      </c>
      <c r="P101" s="25">
        <v>26</v>
      </c>
      <c r="Q101" s="25" t="s">
        <v>3496</v>
      </c>
      <c r="R101" s="25" t="s">
        <v>4</v>
      </c>
      <c r="S101" s="25" t="s">
        <v>1</v>
      </c>
      <c r="T101" s="25" t="s">
        <v>3495</v>
      </c>
      <c r="U101" s="25" t="s">
        <v>1</v>
      </c>
      <c r="V101" s="25" t="s">
        <v>1</v>
      </c>
      <c r="W101" s="25" t="s">
        <v>1</v>
      </c>
      <c r="X101" s="25" t="s">
        <v>1</v>
      </c>
      <c r="Y101" s="25" t="s">
        <v>1</v>
      </c>
      <c r="Z101" s="25" t="s">
        <v>1</v>
      </c>
      <c r="AA101" s="95" t="s">
        <v>2405</v>
      </c>
      <c r="AB101" s="28" t="s">
        <v>4493</v>
      </c>
      <c r="AC101" s="109"/>
      <c r="AD101" s="101"/>
    </row>
    <row r="102" spans="1:30">
      <c r="A102" s="1">
        <f t="shared" si="1"/>
        <v>98</v>
      </c>
      <c r="B102" s="1" t="s">
        <v>3494</v>
      </c>
      <c r="C102" s="26" t="s">
        <v>1720</v>
      </c>
      <c r="D102" s="3">
        <v>250</v>
      </c>
      <c r="E102" s="1" t="s">
        <v>5</v>
      </c>
      <c r="F102" s="3">
        <v>50</v>
      </c>
      <c r="G102" s="4">
        <v>44655</v>
      </c>
      <c r="J102" s="45" t="s">
        <v>2082</v>
      </c>
      <c r="K102" s="45" t="s">
        <v>3493</v>
      </c>
      <c r="L102" s="34">
        <v>44075</v>
      </c>
      <c r="N102" s="1" t="s">
        <v>3492</v>
      </c>
      <c r="O102" s="25" t="s">
        <v>4</v>
      </c>
      <c r="P102" s="25">
        <v>6</v>
      </c>
      <c r="Q102" s="25" t="s">
        <v>3491</v>
      </c>
      <c r="R102" s="25" t="s">
        <v>1</v>
      </c>
      <c r="S102" s="25" t="s">
        <v>1</v>
      </c>
      <c r="T102" s="25" t="s">
        <v>1</v>
      </c>
      <c r="U102" s="25" t="s">
        <v>1</v>
      </c>
      <c r="V102" s="25" t="s">
        <v>1</v>
      </c>
      <c r="W102" s="25" t="s">
        <v>1</v>
      </c>
      <c r="X102" s="25" t="s">
        <v>1</v>
      </c>
      <c r="Y102" s="25" t="s">
        <v>1</v>
      </c>
      <c r="Z102" s="25" t="s">
        <v>1</v>
      </c>
      <c r="AA102" s="95" t="s">
        <v>3490</v>
      </c>
    </row>
    <row r="103" spans="1:30">
      <c r="A103" s="1">
        <f t="shared" si="1"/>
        <v>99</v>
      </c>
      <c r="B103" s="1" t="s">
        <v>810</v>
      </c>
      <c r="C103" s="26" t="s">
        <v>1720</v>
      </c>
      <c r="D103" s="3">
        <v>250</v>
      </c>
      <c r="E103" s="1" t="s">
        <v>18</v>
      </c>
      <c r="F103" s="3">
        <v>50</v>
      </c>
      <c r="G103" s="31">
        <v>44496</v>
      </c>
      <c r="H103" s="1" t="s">
        <v>3489</v>
      </c>
      <c r="I103" s="1" t="s">
        <v>3488</v>
      </c>
      <c r="J103" s="1" t="s">
        <v>2616</v>
      </c>
      <c r="K103" s="1" t="s">
        <v>2093</v>
      </c>
      <c r="L103" s="34">
        <v>43556</v>
      </c>
      <c r="N103" s="1" t="s">
        <v>3487</v>
      </c>
      <c r="O103" s="25" t="s">
        <v>7</v>
      </c>
      <c r="P103" s="25">
        <v>22</v>
      </c>
      <c r="Q103" s="25" t="s">
        <v>3486</v>
      </c>
      <c r="R103" s="25" t="s">
        <v>3485</v>
      </c>
      <c r="S103" s="25">
        <v>13</v>
      </c>
      <c r="T103" s="25" t="s">
        <v>3484</v>
      </c>
      <c r="U103" s="25" t="s">
        <v>3483</v>
      </c>
      <c r="V103" s="25">
        <v>5.3</v>
      </c>
      <c r="W103" s="25" t="s">
        <v>3482</v>
      </c>
      <c r="X103" s="25" t="s">
        <v>1</v>
      </c>
      <c r="Y103" s="25" t="s">
        <v>1</v>
      </c>
      <c r="Z103" s="25" t="s">
        <v>1</v>
      </c>
      <c r="AA103" s="95" t="s">
        <v>2405</v>
      </c>
    </row>
    <row r="104" spans="1:30">
      <c r="A104" s="1">
        <f t="shared" si="1"/>
        <v>100</v>
      </c>
      <c r="B104" s="1" t="s">
        <v>3481</v>
      </c>
      <c r="C104" s="26" t="s">
        <v>1720</v>
      </c>
      <c r="D104" s="3">
        <v>250</v>
      </c>
      <c r="E104" s="1" t="s">
        <v>5</v>
      </c>
      <c r="F104" s="3">
        <v>40</v>
      </c>
      <c r="G104" s="4">
        <v>45014</v>
      </c>
      <c r="H104" s="1" t="s">
        <v>3480</v>
      </c>
      <c r="I104" s="1" t="s">
        <v>3479</v>
      </c>
      <c r="J104" s="1" t="s">
        <v>2351</v>
      </c>
      <c r="K104" s="1" t="s">
        <v>3478</v>
      </c>
      <c r="L104" s="1">
        <v>2017</v>
      </c>
      <c r="M104" s="1" t="s">
        <v>3477</v>
      </c>
      <c r="N104" s="1" t="s">
        <v>3476</v>
      </c>
      <c r="O104" s="25" t="s">
        <v>4</v>
      </c>
      <c r="P104" s="25">
        <v>5</v>
      </c>
      <c r="Q104" s="25" t="s">
        <v>3475</v>
      </c>
      <c r="R104" s="25" t="s">
        <v>4</v>
      </c>
      <c r="S104" s="25">
        <v>15</v>
      </c>
      <c r="T104" s="25" t="s">
        <v>3474</v>
      </c>
      <c r="U104" s="25" t="s">
        <v>1</v>
      </c>
      <c r="V104" s="25" t="s">
        <v>1</v>
      </c>
      <c r="W104" s="25" t="s">
        <v>1</v>
      </c>
      <c r="X104" s="25" t="s">
        <v>1</v>
      </c>
      <c r="Y104" s="25" t="s">
        <v>1</v>
      </c>
      <c r="Z104" s="25" t="s">
        <v>1</v>
      </c>
      <c r="AA104" s="95" t="s">
        <v>2096</v>
      </c>
    </row>
    <row r="105" spans="1:30">
      <c r="A105" s="1">
        <f t="shared" si="1"/>
        <v>101</v>
      </c>
      <c r="B105" s="1" t="s">
        <v>3473</v>
      </c>
      <c r="C105" s="26" t="s">
        <v>1720</v>
      </c>
      <c r="D105" s="3">
        <v>245</v>
      </c>
      <c r="E105" s="1" t="s">
        <v>7</v>
      </c>
      <c r="F105" s="3">
        <v>30</v>
      </c>
      <c r="G105" s="31">
        <v>44510</v>
      </c>
      <c r="H105" s="1" t="s">
        <v>3472</v>
      </c>
      <c r="J105" s="1" t="s">
        <v>2082</v>
      </c>
      <c r="K105" s="40" t="s">
        <v>2099</v>
      </c>
      <c r="L105" s="50">
        <v>43497</v>
      </c>
      <c r="M105" s="45" t="s">
        <v>2099</v>
      </c>
      <c r="N105" s="1" t="s">
        <v>3471</v>
      </c>
      <c r="O105" s="25" t="s">
        <v>5</v>
      </c>
      <c r="P105" s="25">
        <v>21.4</v>
      </c>
      <c r="Q105" s="25" t="s">
        <v>3470</v>
      </c>
      <c r="R105" s="25" t="s">
        <v>3469</v>
      </c>
      <c r="S105" s="25" t="s">
        <v>1</v>
      </c>
      <c r="T105" s="25" t="s">
        <v>1006</v>
      </c>
      <c r="U105" s="25" t="s">
        <v>1</v>
      </c>
      <c r="V105" s="25" t="s">
        <v>1</v>
      </c>
      <c r="W105" s="25" t="s">
        <v>1</v>
      </c>
      <c r="X105" s="25" t="s">
        <v>1</v>
      </c>
      <c r="Y105" s="25" t="s">
        <v>1</v>
      </c>
      <c r="Z105" s="25" t="s">
        <v>1</v>
      </c>
      <c r="AA105" s="95" t="s">
        <v>2405</v>
      </c>
    </row>
    <row r="106" spans="1:30">
      <c r="A106" s="1">
        <f t="shared" si="1"/>
        <v>102</v>
      </c>
      <c r="B106" s="1" t="s">
        <v>717</v>
      </c>
      <c r="C106" s="26" t="s">
        <v>1720</v>
      </c>
      <c r="D106" s="3">
        <v>240</v>
      </c>
      <c r="E106" s="1" t="s">
        <v>4</v>
      </c>
      <c r="F106" s="3">
        <v>120</v>
      </c>
      <c r="G106" s="4">
        <v>45090</v>
      </c>
      <c r="H106" s="1" t="s">
        <v>2593</v>
      </c>
      <c r="I106" s="1" t="s">
        <v>3468</v>
      </c>
      <c r="J106" s="1" t="s">
        <v>2616</v>
      </c>
      <c r="K106" s="1" t="s">
        <v>3223</v>
      </c>
      <c r="L106" s="49" t="s">
        <v>3467</v>
      </c>
      <c r="M106" s="1" t="s">
        <v>3466</v>
      </c>
      <c r="N106" s="1" t="s">
        <v>3465</v>
      </c>
      <c r="O106" s="25" t="s">
        <v>1</v>
      </c>
      <c r="P106" s="25" t="s">
        <v>1</v>
      </c>
      <c r="Q106" s="25" t="s">
        <v>1</v>
      </c>
      <c r="R106" s="25" t="s">
        <v>1</v>
      </c>
      <c r="S106" s="25" t="s">
        <v>1</v>
      </c>
      <c r="T106" s="25" t="s">
        <v>1</v>
      </c>
      <c r="U106" s="25" t="s">
        <v>1</v>
      </c>
      <c r="V106" s="25" t="s">
        <v>1</v>
      </c>
      <c r="W106" s="25" t="s">
        <v>1</v>
      </c>
      <c r="X106" s="25" t="s">
        <v>1</v>
      </c>
      <c r="Y106" s="25" t="s">
        <v>1</v>
      </c>
      <c r="Z106" s="25" t="s">
        <v>1</v>
      </c>
      <c r="AA106" s="95" t="s">
        <v>2187</v>
      </c>
    </row>
    <row r="107" spans="1:30" s="12" customFormat="1">
      <c r="A107" s="1">
        <f t="shared" si="1"/>
        <v>103</v>
      </c>
      <c r="B107" s="12" t="s">
        <v>484</v>
      </c>
      <c r="C107" s="35" t="s">
        <v>1720</v>
      </c>
      <c r="D107" s="15">
        <v>200</v>
      </c>
      <c r="E107" s="12" t="s">
        <v>7</v>
      </c>
      <c r="F107" s="15">
        <v>90</v>
      </c>
      <c r="G107" s="14">
        <v>44398</v>
      </c>
      <c r="H107" s="12" t="s">
        <v>2637</v>
      </c>
      <c r="I107" s="12" t="s">
        <v>3464</v>
      </c>
      <c r="J107" s="12" t="s">
        <v>2351</v>
      </c>
      <c r="K107" s="12" t="s">
        <v>2099</v>
      </c>
      <c r="L107" s="12">
        <v>2017</v>
      </c>
      <c r="N107" s="12" t="s">
        <v>3463</v>
      </c>
      <c r="O107" s="24" t="s">
        <v>2268</v>
      </c>
      <c r="P107" s="24">
        <v>9.5</v>
      </c>
      <c r="Q107" s="24" t="s">
        <v>3462</v>
      </c>
      <c r="R107" s="24" t="s">
        <v>5</v>
      </c>
      <c r="S107" s="24">
        <v>22.8</v>
      </c>
      <c r="T107" s="24" t="s">
        <v>3461</v>
      </c>
      <c r="U107" s="24" t="s">
        <v>1</v>
      </c>
      <c r="V107" s="24" t="s">
        <v>1</v>
      </c>
      <c r="W107" s="24" t="s">
        <v>1</v>
      </c>
      <c r="X107" s="24" t="s">
        <v>1</v>
      </c>
      <c r="Y107" s="24" t="s">
        <v>1</v>
      </c>
      <c r="Z107" s="24" t="s">
        <v>1</v>
      </c>
      <c r="AA107" s="12" t="s">
        <v>2085</v>
      </c>
      <c r="AC107" s="110"/>
      <c r="AD107" s="102"/>
    </row>
    <row r="108" spans="1:30">
      <c r="A108" s="1">
        <f t="shared" si="1"/>
        <v>104</v>
      </c>
      <c r="B108" s="1" t="s">
        <v>676</v>
      </c>
      <c r="C108" s="26" t="s">
        <v>1720</v>
      </c>
      <c r="D108" s="3">
        <v>200</v>
      </c>
      <c r="E108" s="1" t="s">
        <v>4</v>
      </c>
      <c r="F108" s="3">
        <v>100</v>
      </c>
      <c r="G108" s="4">
        <v>44663</v>
      </c>
      <c r="H108" s="1" t="s">
        <v>3460</v>
      </c>
      <c r="J108" s="1" t="s">
        <v>2082</v>
      </c>
      <c r="K108" s="1" t="s">
        <v>2099</v>
      </c>
      <c r="L108" s="1">
        <v>2022</v>
      </c>
      <c r="N108" s="1" t="s">
        <v>3459</v>
      </c>
      <c r="O108" s="25" t="s">
        <v>1</v>
      </c>
      <c r="P108" s="25" t="s">
        <v>1</v>
      </c>
      <c r="Q108" s="25" t="s">
        <v>1</v>
      </c>
      <c r="R108" s="25" t="s">
        <v>1</v>
      </c>
      <c r="S108" s="25" t="s">
        <v>1</v>
      </c>
      <c r="T108" s="25" t="s">
        <v>1</v>
      </c>
      <c r="U108" s="25" t="s">
        <v>1</v>
      </c>
      <c r="V108" s="25" t="s">
        <v>1</v>
      </c>
      <c r="W108" s="25" t="s">
        <v>1</v>
      </c>
      <c r="X108" s="25" t="s">
        <v>1</v>
      </c>
      <c r="Y108" s="25" t="s">
        <v>1</v>
      </c>
      <c r="Z108" s="25" t="s">
        <v>1</v>
      </c>
      <c r="AA108" s="95" t="s">
        <v>2092</v>
      </c>
    </row>
    <row r="109" spans="1:30">
      <c r="A109" s="1">
        <f t="shared" si="1"/>
        <v>105</v>
      </c>
      <c r="B109" s="1" t="s">
        <v>3458</v>
      </c>
      <c r="C109" s="26" t="s">
        <v>1720</v>
      </c>
      <c r="D109" s="3">
        <v>200</v>
      </c>
      <c r="E109" s="1" t="s">
        <v>5</v>
      </c>
      <c r="F109" s="3">
        <v>58</v>
      </c>
      <c r="G109" s="4">
        <v>45104</v>
      </c>
      <c r="H109" s="1" t="s">
        <v>3457</v>
      </c>
      <c r="J109" s="1" t="s">
        <v>2082</v>
      </c>
      <c r="K109" s="1" t="s">
        <v>3223</v>
      </c>
      <c r="L109" s="2" t="s">
        <v>3456</v>
      </c>
      <c r="N109" s="1" t="s">
        <v>3455</v>
      </c>
      <c r="O109" s="25" t="s">
        <v>1</v>
      </c>
      <c r="P109" s="25" t="s">
        <v>1</v>
      </c>
      <c r="Q109" s="25" t="s">
        <v>1</v>
      </c>
      <c r="R109" s="25" t="s">
        <v>1</v>
      </c>
      <c r="S109" s="25" t="s">
        <v>1</v>
      </c>
      <c r="T109" s="25" t="s">
        <v>1</v>
      </c>
      <c r="U109" s="25" t="s">
        <v>1</v>
      </c>
      <c r="V109" s="25" t="s">
        <v>1</v>
      </c>
      <c r="W109" s="25" t="s">
        <v>1</v>
      </c>
      <c r="X109" s="25" t="s">
        <v>1</v>
      </c>
      <c r="Y109" s="25" t="s">
        <v>1</v>
      </c>
      <c r="Z109" s="25" t="s">
        <v>1</v>
      </c>
      <c r="AA109" s="95" t="s">
        <v>2234</v>
      </c>
    </row>
    <row r="110" spans="1:30">
      <c r="A110" s="1">
        <f t="shared" si="1"/>
        <v>106</v>
      </c>
      <c r="B110" s="1" t="s">
        <v>3454</v>
      </c>
      <c r="C110" s="26" t="s">
        <v>1720</v>
      </c>
      <c r="D110" s="3">
        <v>200</v>
      </c>
      <c r="E110" s="1" t="s">
        <v>18</v>
      </c>
      <c r="F110" s="3">
        <v>45</v>
      </c>
      <c r="G110" s="31">
        <v>44159</v>
      </c>
      <c r="H110" s="1" t="s">
        <v>3453</v>
      </c>
      <c r="I110" s="1" t="s">
        <v>3452</v>
      </c>
      <c r="J110" s="1" t="s">
        <v>2082</v>
      </c>
      <c r="K110" s="1" t="s">
        <v>2099</v>
      </c>
      <c r="L110" s="1">
        <v>2015</v>
      </c>
      <c r="N110" s="1" t="s">
        <v>3451</v>
      </c>
      <c r="O110" s="25" t="s">
        <v>7</v>
      </c>
      <c r="P110" s="25" t="s">
        <v>1</v>
      </c>
      <c r="Q110" s="25" t="s">
        <v>3450</v>
      </c>
      <c r="R110" s="25" t="s">
        <v>5</v>
      </c>
      <c r="S110" s="25" t="s">
        <v>1</v>
      </c>
      <c r="T110" s="25" t="s">
        <v>3449</v>
      </c>
      <c r="U110" s="25" t="s">
        <v>4</v>
      </c>
      <c r="V110" s="25" t="s">
        <v>1</v>
      </c>
      <c r="W110" s="25" t="s">
        <v>3448</v>
      </c>
      <c r="X110" s="25" t="s">
        <v>4</v>
      </c>
      <c r="Y110" s="25" t="s">
        <v>1</v>
      </c>
      <c r="Z110" s="25" t="s">
        <v>3447</v>
      </c>
      <c r="AA110" s="95" t="s">
        <v>3446</v>
      </c>
    </row>
    <row r="111" spans="1:30">
      <c r="A111" s="1">
        <f t="shared" si="1"/>
        <v>107</v>
      </c>
      <c r="B111" s="1" t="s">
        <v>3445</v>
      </c>
      <c r="C111" s="26" t="s">
        <v>1720</v>
      </c>
      <c r="D111" s="3">
        <v>200</v>
      </c>
      <c r="E111" s="1" t="s">
        <v>5</v>
      </c>
      <c r="F111" s="3">
        <v>40.799999999999997</v>
      </c>
      <c r="G111" s="4">
        <v>45112</v>
      </c>
      <c r="I111" s="1" t="s">
        <v>3444</v>
      </c>
      <c r="J111" s="1" t="s">
        <v>2082</v>
      </c>
      <c r="K111" s="1" t="s">
        <v>3443</v>
      </c>
      <c r="M111" s="1" t="s">
        <v>2749</v>
      </c>
      <c r="N111" s="1" t="s">
        <v>3442</v>
      </c>
    </row>
    <row r="112" spans="1:30">
      <c r="A112" s="1">
        <f t="shared" si="1"/>
        <v>108</v>
      </c>
      <c r="B112" s="1" t="s">
        <v>1072</v>
      </c>
      <c r="C112" s="26" t="s">
        <v>1720</v>
      </c>
      <c r="D112" s="3">
        <v>200</v>
      </c>
      <c r="E112" s="1" t="s">
        <v>18</v>
      </c>
      <c r="F112" s="3">
        <v>40</v>
      </c>
      <c r="G112" s="2">
        <v>2016</v>
      </c>
      <c r="H112" s="1" t="s">
        <v>3441</v>
      </c>
      <c r="I112" s="1" t="s">
        <v>3440</v>
      </c>
      <c r="J112" s="1" t="s">
        <v>2082</v>
      </c>
      <c r="K112" s="1" t="s">
        <v>2099</v>
      </c>
      <c r="L112" s="1">
        <v>2016</v>
      </c>
      <c r="M112" s="1" t="s">
        <v>2207</v>
      </c>
      <c r="N112" s="1" t="s">
        <v>3439</v>
      </c>
      <c r="O112" s="25" t="s">
        <v>7</v>
      </c>
      <c r="P112" s="25">
        <v>28</v>
      </c>
      <c r="Q112" s="25" t="s">
        <v>3438</v>
      </c>
      <c r="R112" s="25" t="s">
        <v>5</v>
      </c>
      <c r="S112" s="25">
        <v>9.6999999999999993</v>
      </c>
      <c r="T112" s="25" t="s">
        <v>4</v>
      </c>
      <c r="U112" s="25">
        <v>4.3</v>
      </c>
      <c r="V112" s="25" t="s">
        <v>3437</v>
      </c>
      <c r="W112" s="25" t="s">
        <v>1</v>
      </c>
      <c r="X112" s="25" t="s">
        <v>1</v>
      </c>
      <c r="Y112" s="25" t="s">
        <v>1</v>
      </c>
      <c r="Z112" s="25" t="s">
        <v>1</v>
      </c>
      <c r="AA112" s="95" t="s">
        <v>2234</v>
      </c>
      <c r="AB112" s="28" t="s">
        <v>3436</v>
      </c>
      <c r="AC112" s="109"/>
      <c r="AD112" s="101"/>
    </row>
    <row r="113" spans="1:30">
      <c r="A113" s="1">
        <f t="shared" si="1"/>
        <v>109</v>
      </c>
      <c r="B113" s="1" t="s">
        <v>288</v>
      </c>
      <c r="C113" s="26" t="s">
        <v>1720</v>
      </c>
      <c r="D113" s="3">
        <v>200</v>
      </c>
      <c r="E113" s="1" t="s">
        <v>5</v>
      </c>
      <c r="F113" s="3">
        <v>32</v>
      </c>
      <c r="G113" s="4">
        <v>44851</v>
      </c>
      <c r="H113" s="1" t="s">
        <v>3435</v>
      </c>
      <c r="I113" s="1" t="s">
        <v>3434</v>
      </c>
      <c r="J113" s="1" t="s">
        <v>2138</v>
      </c>
      <c r="K113" s="1" t="s">
        <v>2392</v>
      </c>
      <c r="L113" s="1">
        <v>2018</v>
      </c>
      <c r="N113" s="1" t="s">
        <v>3433</v>
      </c>
      <c r="O113" s="25" t="s">
        <v>5</v>
      </c>
      <c r="P113" s="25">
        <v>26</v>
      </c>
      <c r="Q113" s="25" t="s">
        <v>3432</v>
      </c>
      <c r="R113" s="25" t="s">
        <v>4</v>
      </c>
      <c r="S113" s="25">
        <v>6.2</v>
      </c>
      <c r="T113" s="25" t="s">
        <v>3431</v>
      </c>
      <c r="U113" s="25" t="s">
        <v>285</v>
      </c>
      <c r="V113" s="25" t="s">
        <v>1</v>
      </c>
      <c r="W113" s="25" t="s">
        <v>3430</v>
      </c>
      <c r="X113" s="25" t="s">
        <v>1</v>
      </c>
      <c r="Y113" s="25" t="s">
        <v>1</v>
      </c>
      <c r="Z113" s="25" t="s">
        <v>1</v>
      </c>
      <c r="AA113" s="95" t="s">
        <v>2123</v>
      </c>
      <c r="AB113" s="28" t="s">
        <v>3429</v>
      </c>
      <c r="AC113" s="109"/>
      <c r="AD113" s="101"/>
    </row>
    <row r="114" spans="1:30" s="12" customFormat="1">
      <c r="A114" s="1">
        <f t="shared" si="1"/>
        <v>110</v>
      </c>
      <c r="B114" s="12" t="s">
        <v>3428</v>
      </c>
      <c r="C114" s="35" t="s">
        <v>1720</v>
      </c>
      <c r="D114" s="15">
        <v>200</v>
      </c>
      <c r="E114" s="12" t="s">
        <v>7</v>
      </c>
      <c r="F114" s="15">
        <v>25</v>
      </c>
      <c r="G114" s="14">
        <v>44642</v>
      </c>
      <c r="H114" s="12" t="s">
        <v>2346</v>
      </c>
      <c r="I114" s="12" t="s">
        <v>3427</v>
      </c>
      <c r="J114" s="12" t="s">
        <v>2082</v>
      </c>
      <c r="K114" s="12" t="s">
        <v>2510</v>
      </c>
      <c r="L114" s="12">
        <v>2017</v>
      </c>
      <c r="M114" s="12" t="s">
        <v>3426</v>
      </c>
      <c r="N114" s="12" t="s">
        <v>3425</v>
      </c>
      <c r="O114" s="24" t="s">
        <v>5</v>
      </c>
      <c r="P114" s="24">
        <v>13.5</v>
      </c>
      <c r="Q114" s="24" t="s">
        <v>3424</v>
      </c>
      <c r="R114" s="24" t="s">
        <v>4</v>
      </c>
      <c r="S114" s="24">
        <v>5.3</v>
      </c>
      <c r="T114" s="24" t="s">
        <v>3423</v>
      </c>
      <c r="U114" s="24" t="s">
        <v>4</v>
      </c>
      <c r="V114" s="24">
        <v>4</v>
      </c>
      <c r="W114" s="24" t="s">
        <v>3422</v>
      </c>
      <c r="X114" s="24" t="s">
        <v>1</v>
      </c>
      <c r="Y114" s="24" t="s">
        <v>1</v>
      </c>
      <c r="Z114" s="24" t="s">
        <v>1</v>
      </c>
      <c r="AA114" s="12" t="s">
        <v>2115</v>
      </c>
      <c r="AB114" s="48" t="s">
        <v>3421</v>
      </c>
      <c r="AC114" s="111"/>
      <c r="AD114" s="103"/>
    </row>
    <row r="115" spans="1:30" s="12" customFormat="1">
      <c r="A115" s="1">
        <f t="shared" si="1"/>
        <v>111</v>
      </c>
      <c r="B115" s="12" t="s">
        <v>3420</v>
      </c>
      <c r="C115" s="35" t="s">
        <v>1720</v>
      </c>
      <c r="D115" s="15" t="s">
        <v>1</v>
      </c>
      <c r="E115" s="15" t="s">
        <v>3419</v>
      </c>
      <c r="F115" s="15" t="s">
        <v>1</v>
      </c>
      <c r="G115" s="15" t="s">
        <v>3419</v>
      </c>
      <c r="H115" s="12" t="s">
        <v>3344</v>
      </c>
      <c r="I115" s="12" t="s">
        <v>1</v>
      </c>
      <c r="J115" s="12" t="s">
        <v>2082</v>
      </c>
      <c r="K115" s="12" t="s">
        <v>2099</v>
      </c>
      <c r="L115" s="12">
        <v>2015</v>
      </c>
      <c r="M115" s="47" t="s">
        <v>3418</v>
      </c>
      <c r="N115" s="12" t="s">
        <v>1</v>
      </c>
      <c r="O115" s="12" t="s">
        <v>1</v>
      </c>
      <c r="P115" s="12" t="s">
        <v>1</v>
      </c>
      <c r="Q115" s="12" t="s">
        <v>1</v>
      </c>
      <c r="R115" s="12" t="s">
        <v>1</v>
      </c>
      <c r="S115" s="12" t="s">
        <v>1</v>
      </c>
      <c r="T115" s="12" t="s">
        <v>1</v>
      </c>
      <c r="U115" s="12" t="s">
        <v>1</v>
      </c>
      <c r="V115" s="12" t="s">
        <v>1</v>
      </c>
      <c r="W115" s="12" t="s">
        <v>1</v>
      </c>
      <c r="X115" s="12" t="s">
        <v>1</v>
      </c>
      <c r="Y115" s="12" t="s">
        <v>1</v>
      </c>
      <c r="Z115" s="12" t="s">
        <v>1</v>
      </c>
      <c r="AA115" s="12" t="s">
        <v>3417</v>
      </c>
      <c r="AC115" s="110"/>
      <c r="AD115" s="102"/>
    </row>
    <row r="116" spans="1:30">
      <c r="A116" s="1">
        <f t="shared" si="1"/>
        <v>112</v>
      </c>
      <c r="B116" s="1" t="s">
        <v>3416</v>
      </c>
      <c r="C116" s="26" t="s">
        <v>1720</v>
      </c>
      <c r="D116" s="3">
        <v>200</v>
      </c>
      <c r="E116" s="1" t="s">
        <v>4</v>
      </c>
      <c r="F116" s="3">
        <v>10</v>
      </c>
      <c r="G116" s="4">
        <v>45005</v>
      </c>
      <c r="H116" s="1" t="s">
        <v>3415</v>
      </c>
      <c r="I116" s="1" t="s">
        <v>3414</v>
      </c>
      <c r="J116" s="1" t="s">
        <v>2616</v>
      </c>
      <c r="K116" s="1" t="s">
        <v>3413</v>
      </c>
      <c r="L116" s="32">
        <v>41275</v>
      </c>
      <c r="M116" s="1" t="s">
        <v>3412</v>
      </c>
      <c r="N116" s="1" t="s">
        <v>77</v>
      </c>
      <c r="O116" s="25" t="s">
        <v>1</v>
      </c>
      <c r="P116" s="25" t="s">
        <v>1</v>
      </c>
      <c r="Q116" s="25" t="s">
        <v>1</v>
      </c>
      <c r="R116" s="25" t="s">
        <v>1</v>
      </c>
      <c r="S116" s="25" t="s">
        <v>1</v>
      </c>
      <c r="T116" s="25" t="s">
        <v>1</v>
      </c>
      <c r="U116" s="25" t="s">
        <v>1</v>
      </c>
      <c r="V116" s="25" t="s">
        <v>1</v>
      </c>
      <c r="W116" s="25" t="s">
        <v>1</v>
      </c>
      <c r="X116" s="25" t="s">
        <v>1</v>
      </c>
      <c r="Y116" s="25" t="s">
        <v>1</v>
      </c>
      <c r="Z116" s="25" t="s">
        <v>1</v>
      </c>
      <c r="AA116" s="95" t="s">
        <v>2405</v>
      </c>
    </row>
    <row r="117" spans="1:30">
      <c r="A117" s="1">
        <f t="shared" si="1"/>
        <v>113</v>
      </c>
      <c r="B117" s="12" t="s">
        <v>1020</v>
      </c>
      <c r="C117" s="35" t="s">
        <v>1720</v>
      </c>
      <c r="D117" s="15">
        <v>150</v>
      </c>
      <c r="E117" s="12" t="s">
        <v>5</v>
      </c>
      <c r="F117" s="15">
        <v>26</v>
      </c>
      <c r="G117" s="14">
        <v>45013</v>
      </c>
      <c r="H117" s="12" t="s">
        <v>3367</v>
      </c>
      <c r="I117" s="12" t="s">
        <v>3411</v>
      </c>
      <c r="J117" s="40" t="s">
        <v>2351</v>
      </c>
      <c r="K117" s="40" t="s">
        <v>2818</v>
      </c>
      <c r="L117" s="12">
        <v>2022</v>
      </c>
      <c r="M117" s="12" t="s">
        <v>1929</v>
      </c>
      <c r="N117" s="12" t="s">
        <v>3410</v>
      </c>
      <c r="O117" s="24" t="s">
        <v>4</v>
      </c>
      <c r="P117" s="24">
        <v>3.1</v>
      </c>
      <c r="Q117" s="24" t="s">
        <v>3409</v>
      </c>
      <c r="R117" s="24" t="s">
        <v>1</v>
      </c>
      <c r="S117" s="24" t="s">
        <v>1</v>
      </c>
      <c r="T117" s="24" t="s">
        <v>1</v>
      </c>
      <c r="U117" s="24" t="s">
        <v>1</v>
      </c>
      <c r="V117" s="24" t="s">
        <v>1</v>
      </c>
      <c r="W117" s="24" t="s">
        <v>1</v>
      </c>
      <c r="X117" s="24" t="s">
        <v>1</v>
      </c>
      <c r="Y117" s="24" t="s">
        <v>1</v>
      </c>
      <c r="Z117" s="24" t="s">
        <v>1</v>
      </c>
      <c r="AA117" s="12" t="s">
        <v>2405</v>
      </c>
    </row>
    <row r="118" spans="1:30">
      <c r="A118" s="1">
        <f t="shared" si="1"/>
        <v>114</v>
      </c>
      <c r="B118" s="1" t="s">
        <v>808</v>
      </c>
      <c r="C118" s="26" t="s">
        <v>1720</v>
      </c>
      <c r="D118" s="3">
        <v>150</v>
      </c>
      <c r="E118" s="1" t="s">
        <v>7</v>
      </c>
      <c r="F118" s="3">
        <v>60</v>
      </c>
      <c r="G118" s="4">
        <v>45036</v>
      </c>
      <c r="H118" s="1" t="s">
        <v>3408</v>
      </c>
      <c r="J118" s="1" t="s">
        <v>2616</v>
      </c>
      <c r="K118" s="1" t="s">
        <v>3407</v>
      </c>
      <c r="L118" s="44" t="s">
        <v>3035</v>
      </c>
      <c r="N118" s="1" t="s">
        <v>3406</v>
      </c>
      <c r="O118" s="25" t="s">
        <v>5</v>
      </c>
      <c r="P118" s="25">
        <v>16.5</v>
      </c>
      <c r="Q118" s="25" t="s">
        <v>3405</v>
      </c>
      <c r="R118" s="25" t="s">
        <v>4</v>
      </c>
      <c r="S118" s="25">
        <v>1.2</v>
      </c>
      <c r="T118" s="25" t="s">
        <v>3404</v>
      </c>
      <c r="U118" s="25" t="s">
        <v>1</v>
      </c>
      <c r="V118" s="25" t="s">
        <v>1</v>
      </c>
      <c r="W118" s="25" t="s">
        <v>1</v>
      </c>
      <c r="X118" s="25" t="s">
        <v>1</v>
      </c>
      <c r="Y118" s="25" t="s">
        <v>1</v>
      </c>
      <c r="Z118" s="25" t="s">
        <v>1</v>
      </c>
      <c r="AA118" s="95" t="s">
        <v>3403</v>
      </c>
    </row>
    <row r="119" spans="1:30">
      <c r="A119" s="1">
        <f t="shared" si="1"/>
        <v>115</v>
      </c>
      <c r="B119" s="1" t="s">
        <v>876</v>
      </c>
      <c r="C119" s="26" t="s">
        <v>1720</v>
      </c>
      <c r="D119" s="3">
        <v>150</v>
      </c>
      <c r="E119" s="1" t="s">
        <v>7</v>
      </c>
      <c r="F119" s="3">
        <v>50</v>
      </c>
      <c r="G119" s="4">
        <v>44628</v>
      </c>
      <c r="H119" s="1" t="s">
        <v>3402</v>
      </c>
      <c r="J119" s="1" t="s">
        <v>2616</v>
      </c>
      <c r="K119" s="1" t="s">
        <v>2208</v>
      </c>
      <c r="L119" s="44">
        <v>43647</v>
      </c>
      <c r="N119" s="1" t="s">
        <v>3401</v>
      </c>
      <c r="O119" s="25" t="s">
        <v>5</v>
      </c>
      <c r="P119" s="25">
        <v>10</v>
      </c>
      <c r="Q119" s="25" t="s">
        <v>3400</v>
      </c>
      <c r="R119" s="25" t="s">
        <v>4</v>
      </c>
      <c r="S119" s="25" t="s">
        <v>1</v>
      </c>
      <c r="T119" s="25" t="s">
        <v>3399</v>
      </c>
      <c r="U119" s="25" t="s">
        <v>1</v>
      </c>
      <c r="V119" s="25" t="s">
        <v>1</v>
      </c>
      <c r="W119" s="25" t="s">
        <v>1</v>
      </c>
      <c r="X119" s="25" t="s">
        <v>1</v>
      </c>
      <c r="Y119" s="25" t="s">
        <v>1</v>
      </c>
      <c r="Z119" s="25" t="s">
        <v>1</v>
      </c>
      <c r="AA119" s="95" t="s">
        <v>2478</v>
      </c>
    </row>
    <row r="120" spans="1:30">
      <c r="A120" s="1">
        <f t="shared" si="1"/>
        <v>116</v>
      </c>
      <c r="B120" s="1" t="s">
        <v>3398</v>
      </c>
      <c r="C120" s="26" t="s">
        <v>1720</v>
      </c>
      <c r="D120" s="15">
        <v>150</v>
      </c>
      <c r="E120" s="1" t="s">
        <v>5</v>
      </c>
      <c r="F120" s="3">
        <v>21</v>
      </c>
      <c r="G120" s="4">
        <v>45027</v>
      </c>
      <c r="H120" s="1" t="s">
        <v>3397</v>
      </c>
      <c r="I120" s="1" t="s">
        <v>3396</v>
      </c>
      <c r="J120" s="45" t="s">
        <v>2082</v>
      </c>
      <c r="K120" s="45" t="s">
        <v>2499</v>
      </c>
      <c r="L120" s="34">
        <v>44562</v>
      </c>
      <c r="M120" s="1" t="s">
        <v>3395</v>
      </c>
      <c r="N120" s="1" t="s">
        <v>3394</v>
      </c>
      <c r="O120" s="25" t="s">
        <v>4</v>
      </c>
      <c r="P120" s="25">
        <v>5</v>
      </c>
      <c r="Q120" s="25" t="s">
        <v>3393</v>
      </c>
      <c r="R120" s="25" t="s">
        <v>1</v>
      </c>
      <c r="S120" s="25" t="s">
        <v>1</v>
      </c>
      <c r="T120" s="25" t="s">
        <v>1</v>
      </c>
      <c r="U120" s="25" t="s">
        <v>1</v>
      </c>
      <c r="V120" s="25" t="s">
        <v>1</v>
      </c>
      <c r="W120" s="25" t="s">
        <v>1</v>
      </c>
      <c r="X120" s="25" t="s">
        <v>1</v>
      </c>
      <c r="Y120" s="25" t="s">
        <v>1</v>
      </c>
      <c r="Z120" s="25" t="s">
        <v>1</v>
      </c>
      <c r="AA120" s="95" t="s">
        <v>2405</v>
      </c>
    </row>
    <row r="121" spans="1:30">
      <c r="A121" s="1">
        <f t="shared" si="1"/>
        <v>117</v>
      </c>
      <c r="B121" s="1" t="s">
        <v>1086</v>
      </c>
      <c r="C121" s="26" t="s">
        <v>1720</v>
      </c>
      <c r="D121" s="3">
        <v>150</v>
      </c>
      <c r="E121" s="1" t="s">
        <v>7</v>
      </c>
      <c r="F121" s="3">
        <v>18</v>
      </c>
      <c r="G121" s="4">
        <v>44831</v>
      </c>
      <c r="H121" s="1" t="s">
        <v>3392</v>
      </c>
      <c r="I121" s="1" t="s">
        <v>3391</v>
      </c>
      <c r="J121" s="1" t="s">
        <v>2082</v>
      </c>
      <c r="K121" s="1" t="s">
        <v>2273</v>
      </c>
      <c r="L121" s="1">
        <v>2021</v>
      </c>
      <c r="N121" s="1" t="s">
        <v>3390</v>
      </c>
      <c r="O121" s="25" t="s">
        <v>5</v>
      </c>
      <c r="P121" s="25">
        <v>18.5</v>
      </c>
      <c r="Q121" s="25" t="s">
        <v>3389</v>
      </c>
      <c r="R121" s="25" t="s">
        <v>1</v>
      </c>
      <c r="S121" s="25" t="s">
        <v>1</v>
      </c>
      <c r="T121" s="25" t="s">
        <v>1</v>
      </c>
      <c r="U121" s="25" t="s">
        <v>1</v>
      </c>
      <c r="V121" s="25" t="s">
        <v>1</v>
      </c>
      <c r="W121" s="25" t="s">
        <v>1</v>
      </c>
      <c r="X121" s="25" t="s">
        <v>1</v>
      </c>
      <c r="Y121" s="25" t="s">
        <v>1</v>
      </c>
      <c r="Z121" s="25" t="s">
        <v>1</v>
      </c>
      <c r="AA121" s="95" t="s">
        <v>2080</v>
      </c>
    </row>
    <row r="122" spans="1:30">
      <c r="A122" s="1">
        <f t="shared" si="1"/>
        <v>118</v>
      </c>
      <c r="B122" s="1" t="s">
        <v>454</v>
      </c>
      <c r="C122" s="26" t="s">
        <v>1720</v>
      </c>
      <c r="D122" s="3">
        <v>150</v>
      </c>
      <c r="E122" s="1" t="s">
        <v>7</v>
      </c>
      <c r="F122" s="3">
        <v>30</v>
      </c>
      <c r="G122" s="4">
        <v>44756</v>
      </c>
      <c r="H122" s="1" t="s">
        <v>3388</v>
      </c>
      <c r="I122" s="1" t="s">
        <v>3387</v>
      </c>
      <c r="J122" s="1" t="s">
        <v>2082</v>
      </c>
      <c r="K122" s="1" t="s">
        <v>3386</v>
      </c>
      <c r="L122" s="1">
        <v>2017</v>
      </c>
      <c r="N122" s="1" t="s">
        <v>3385</v>
      </c>
      <c r="O122" s="25" t="s">
        <v>5</v>
      </c>
      <c r="P122" s="25">
        <v>28</v>
      </c>
      <c r="Q122" s="25" t="s">
        <v>3384</v>
      </c>
      <c r="R122" s="25" t="s">
        <v>4</v>
      </c>
      <c r="S122" s="25">
        <v>5</v>
      </c>
      <c r="T122" s="25" t="s">
        <v>3383</v>
      </c>
      <c r="U122" s="25" t="s">
        <v>4</v>
      </c>
      <c r="V122" s="25">
        <v>0.12</v>
      </c>
      <c r="W122" s="25" t="s">
        <v>1084</v>
      </c>
      <c r="X122" s="25" t="s">
        <v>1</v>
      </c>
      <c r="Y122" s="25" t="s">
        <v>1</v>
      </c>
      <c r="Z122" s="25" t="s">
        <v>1</v>
      </c>
      <c r="AA122" s="95" t="s">
        <v>2085</v>
      </c>
    </row>
    <row r="123" spans="1:30">
      <c r="A123" s="1">
        <f t="shared" si="1"/>
        <v>119</v>
      </c>
      <c r="B123" s="1" t="s">
        <v>907</v>
      </c>
      <c r="C123" s="26" t="s">
        <v>1720</v>
      </c>
      <c r="D123" s="3">
        <v>150</v>
      </c>
      <c r="E123" s="1" t="s">
        <v>7</v>
      </c>
      <c r="F123" s="3">
        <v>40</v>
      </c>
      <c r="G123" s="4">
        <v>44728</v>
      </c>
      <c r="H123" s="1" t="s">
        <v>3382</v>
      </c>
      <c r="J123" s="1" t="s">
        <v>2616</v>
      </c>
      <c r="K123" s="1" t="s">
        <v>2093</v>
      </c>
      <c r="L123" s="44" t="s">
        <v>3035</v>
      </c>
      <c r="N123" s="1" t="s">
        <v>3381</v>
      </c>
      <c r="O123" s="25" t="s">
        <v>5</v>
      </c>
      <c r="P123" s="25">
        <v>18.600000000000001</v>
      </c>
      <c r="Q123" s="25" t="s">
        <v>3380</v>
      </c>
      <c r="R123" s="25" t="s">
        <v>4</v>
      </c>
      <c r="S123" s="25" t="s">
        <v>1</v>
      </c>
      <c r="T123" s="25" t="s">
        <v>3379</v>
      </c>
      <c r="U123" s="25" t="s">
        <v>1</v>
      </c>
      <c r="V123" s="25" t="s">
        <v>1</v>
      </c>
      <c r="W123" s="25" t="s">
        <v>1</v>
      </c>
      <c r="X123" s="1" t="s">
        <v>1</v>
      </c>
      <c r="Y123" s="25" t="s">
        <v>1</v>
      </c>
      <c r="Z123" s="25" t="s">
        <v>1</v>
      </c>
      <c r="AA123" s="95" t="s">
        <v>2092</v>
      </c>
    </row>
    <row r="124" spans="1:30">
      <c r="A124" s="1">
        <f t="shared" si="1"/>
        <v>120</v>
      </c>
      <c r="B124" s="1" t="s">
        <v>904</v>
      </c>
      <c r="C124" s="26" t="s">
        <v>1720</v>
      </c>
      <c r="D124" s="3">
        <v>150</v>
      </c>
      <c r="E124" s="1" t="s">
        <v>7</v>
      </c>
      <c r="F124" s="3">
        <v>40</v>
      </c>
      <c r="G124" s="4">
        <v>44650</v>
      </c>
      <c r="J124" s="1" t="s">
        <v>2082</v>
      </c>
      <c r="K124" s="1" t="s">
        <v>2273</v>
      </c>
      <c r="L124" s="44">
        <v>43361</v>
      </c>
      <c r="N124" s="1" t="s">
        <v>3378</v>
      </c>
      <c r="O124" s="25" t="s">
        <v>5</v>
      </c>
      <c r="P124" s="25">
        <v>14</v>
      </c>
      <c r="Q124" s="25" t="s">
        <v>3377</v>
      </c>
      <c r="R124" s="25" t="s">
        <v>1</v>
      </c>
      <c r="S124" s="25" t="s">
        <v>1</v>
      </c>
      <c r="T124" s="25" t="s">
        <v>1</v>
      </c>
      <c r="U124" s="25" t="s">
        <v>1</v>
      </c>
      <c r="V124" s="25" t="s">
        <v>1</v>
      </c>
      <c r="W124" s="25" t="s">
        <v>1</v>
      </c>
      <c r="X124" s="25" t="s">
        <v>1</v>
      </c>
      <c r="Y124" s="25" t="s">
        <v>1</v>
      </c>
      <c r="Z124" s="25" t="s">
        <v>1</v>
      </c>
      <c r="AA124" s="95" t="s">
        <v>2405</v>
      </c>
    </row>
    <row r="125" spans="1:30">
      <c r="A125" s="1">
        <f t="shared" si="1"/>
        <v>121</v>
      </c>
      <c r="B125" s="1" t="s">
        <v>3376</v>
      </c>
      <c r="C125" s="26" t="s">
        <v>1720</v>
      </c>
      <c r="D125" s="3">
        <v>150</v>
      </c>
      <c r="E125" s="1" t="s">
        <v>7</v>
      </c>
      <c r="F125" s="3">
        <v>13</v>
      </c>
      <c r="G125" s="4">
        <v>45090</v>
      </c>
      <c r="H125" s="1" t="s">
        <v>3375</v>
      </c>
      <c r="I125" s="1" t="s">
        <v>3374</v>
      </c>
      <c r="J125" s="1" t="s">
        <v>2138</v>
      </c>
      <c r="K125" s="1" t="s">
        <v>2116</v>
      </c>
      <c r="L125" s="44">
        <v>43405</v>
      </c>
      <c r="N125" s="1" t="s">
        <v>3373</v>
      </c>
      <c r="O125" s="25" t="s">
        <v>7</v>
      </c>
      <c r="P125" s="25">
        <v>37</v>
      </c>
      <c r="Q125" s="25" t="s">
        <v>3372</v>
      </c>
      <c r="R125" s="25" t="s">
        <v>7</v>
      </c>
      <c r="S125" s="25">
        <v>30</v>
      </c>
      <c r="T125" s="25" t="s">
        <v>3371</v>
      </c>
      <c r="U125" s="25" t="s">
        <v>7</v>
      </c>
      <c r="V125" s="25">
        <v>80</v>
      </c>
      <c r="W125" s="25" t="s">
        <v>3370</v>
      </c>
      <c r="X125" s="25" t="s">
        <v>5</v>
      </c>
      <c r="Y125" s="25">
        <v>30</v>
      </c>
      <c r="Z125" s="25" t="s">
        <v>3369</v>
      </c>
      <c r="AA125" s="95" t="s">
        <v>2798</v>
      </c>
    </row>
    <row r="126" spans="1:30">
      <c r="A126" s="1">
        <f t="shared" si="1"/>
        <v>122</v>
      </c>
      <c r="B126" s="1" t="s">
        <v>3368</v>
      </c>
      <c r="C126" s="26" t="s">
        <v>1720</v>
      </c>
      <c r="D126" s="3">
        <v>125</v>
      </c>
      <c r="E126" s="1" t="s">
        <v>5</v>
      </c>
      <c r="F126" s="3">
        <v>65</v>
      </c>
      <c r="G126" s="31">
        <v>44287</v>
      </c>
      <c r="H126" s="1" t="s">
        <v>3367</v>
      </c>
      <c r="I126" s="1" t="s">
        <v>3366</v>
      </c>
      <c r="J126" s="1" t="s">
        <v>2351</v>
      </c>
      <c r="K126" s="1" t="s">
        <v>2818</v>
      </c>
      <c r="L126" s="34">
        <v>44228</v>
      </c>
      <c r="N126" s="1" t="s">
        <v>1</v>
      </c>
      <c r="O126" s="1" t="s">
        <v>1</v>
      </c>
      <c r="P126" s="1" t="s">
        <v>1</v>
      </c>
      <c r="Q126" s="1" t="s">
        <v>1</v>
      </c>
      <c r="R126" s="1" t="s">
        <v>1</v>
      </c>
      <c r="S126" s="1" t="s">
        <v>1</v>
      </c>
      <c r="T126" s="25" t="s">
        <v>1</v>
      </c>
      <c r="U126" s="25" t="s">
        <v>1</v>
      </c>
      <c r="V126" s="25" t="s">
        <v>1</v>
      </c>
      <c r="W126" s="25" t="s">
        <v>1</v>
      </c>
      <c r="X126" s="1" t="s">
        <v>1</v>
      </c>
      <c r="Y126" s="25" t="s">
        <v>1</v>
      </c>
      <c r="Z126" s="25" t="s">
        <v>1</v>
      </c>
      <c r="AA126" s="95" t="s">
        <v>3094</v>
      </c>
    </row>
    <row r="127" spans="1:30">
      <c r="A127" s="1">
        <f t="shared" si="1"/>
        <v>123</v>
      </c>
      <c r="B127" s="1" t="s">
        <v>320</v>
      </c>
      <c r="C127" s="26" t="s">
        <v>1720</v>
      </c>
      <c r="D127" s="3">
        <v>150</v>
      </c>
      <c r="E127" s="1" t="s">
        <v>5</v>
      </c>
      <c r="F127" s="3">
        <v>57</v>
      </c>
      <c r="G127" s="4">
        <v>44508</v>
      </c>
      <c r="H127" s="1" t="s">
        <v>3365</v>
      </c>
      <c r="I127" s="1" t="s">
        <v>3364</v>
      </c>
      <c r="J127" s="1" t="s">
        <v>2082</v>
      </c>
      <c r="K127" s="1" t="s">
        <v>2678</v>
      </c>
      <c r="L127" s="1">
        <v>2017</v>
      </c>
      <c r="N127" s="1" t="s">
        <v>3363</v>
      </c>
      <c r="O127" s="25" t="s">
        <v>4</v>
      </c>
      <c r="P127" s="25" t="s">
        <v>1</v>
      </c>
      <c r="Q127" s="25" t="s">
        <v>3362</v>
      </c>
      <c r="R127" s="25" t="s">
        <v>1</v>
      </c>
      <c r="S127" s="25" t="s">
        <v>1</v>
      </c>
      <c r="T127" s="25" t="s">
        <v>1</v>
      </c>
      <c r="U127" s="25" t="s">
        <v>1</v>
      </c>
      <c r="V127" s="25" t="s">
        <v>1</v>
      </c>
      <c r="W127" s="25" t="s">
        <v>1</v>
      </c>
      <c r="X127" s="25" t="s">
        <v>1</v>
      </c>
      <c r="Y127" s="25" t="s">
        <v>1</v>
      </c>
      <c r="Z127" s="25" t="s">
        <v>1</v>
      </c>
      <c r="AA127" s="95" t="s">
        <v>2194</v>
      </c>
    </row>
    <row r="128" spans="1:30">
      <c r="A128" s="1">
        <f t="shared" si="1"/>
        <v>124</v>
      </c>
      <c r="B128" s="1" t="s">
        <v>855</v>
      </c>
      <c r="C128" s="26" t="s">
        <v>1720</v>
      </c>
      <c r="D128" s="3">
        <v>125</v>
      </c>
      <c r="E128" s="1" t="s">
        <v>5</v>
      </c>
      <c r="F128" s="3">
        <v>44</v>
      </c>
      <c r="G128" s="4">
        <v>44671</v>
      </c>
      <c r="H128" s="1" t="s">
        <v>3360</v>
      </c>
      <c r="I128" s="1" t="s">
        <v>3361</v>
      </c>
      <c r="J128" s="1" t="s">
        <v>2616</v>
      </c>
      <c r="K128" s="1" t="s">
        <v>2116</v>
      </c>
      <c r="L128" s="44" t="s">
        <v>3035</v>
      </c>
      <c r="M128" s="1" t="s">
        <v>3360</v>
      </c>
      <c r="N128" s="1" t="s">
        <v>3359</v>
      </c>
      <c r="O128" s="25" t="s">
        <v>3358</v>
      </c>
      <c r="P128" s="1" t="s">
        <v>1</v>
      </c>
      <c r="Q128" s="25" t="s">
        <v>3357</v>
      </c>
      <c r="R128" s="1" t="s">
        <v>1</v>
      </c>
      <c r="S128" s="1" t="s">
        <v>1</v>
      </c>
      <c r="T128" s="25" t="s">
        <v>1</v>
      </c>
      <c r="U128" s="25" t="s">
        <v>1</v>
      </c>
      <c r="V128" s="25" t="s">
        <v>1</v>
      </c>
      <c r="W128" s="25" t="s">
        <v>1</v>
      </c>
      <c r="X128" s="1" t="s">
        <v>1</v>
      </c>
      <c r="Y128" s="25" t="s">
        <v>1</v>
      </c>
      <c r="Z128" s="25" t="s">
        <v>1</v>
      </c>
      <c r="AA128" s="95" t="s">
        <v>2405</v>
      </c>
    </row>
    <row r="129" spans="1:30">
      <c r="A129" s="1">
        <f t="shared" si="1"/>
        <v>125</v>
      </c>
      <c r="B129" s="1" t="s">
        <v>535</v>
      </c>
      <c r="C129" s="26" t="s">
        <v>1720</v>
      </c>
      <c r="D129" s="3">
        <v>125</v>
      </c>
      <c r="E129" s="1" t="s">
        <v>7</v>
      </c>
      <c r="F129" s="3">
        <v>32</v>
      </c>
      <c r="G129" s="31">
        <v>44364</v>
      </c>
      <c r="H129" s="1" t="s">
        <v>2790</v>
      </c>
      <c r="I129" s="1" t="s">
        <v>3356</v>
      </c>
      <c r="J129" s="1" t="s">
        <v>2082</v>
      </c>
      <c r="K129" s="1" t="s">
        <v>2093</v>
      </c>
      <c r="L129" s="1">
        <v>2018</v>
      </c>
      <c r="N129" s="1" t="s">
        <v>3355</v>
      </c>
      <c r="O129" s="25" t="s">
        <v>5</v>
      </c>
      <c r="P129" s="25">
        <v>10.199999999999999</v>
      </c>
      <c r="Q129" s="25" t="s">
        <v>3354</v>
      </c>
      <c r="R129" s="25" t="s">
        <v>4</v>
      </c>
      <c r="S129" s="25">
        <v>3</v>
      </c>
      <c r="T129" s="25" t="s">
        <v>3353</v>
      </c>
      <c r="U129" s="25" t="s">
        <v>1</v>
      </c>
      <c r="V129" s="25" t="s">
        <v>1</v>
      </c>
      <c r="W129" s="25" t="s">
        <v>1</v>
      </c>
      <c r="X129" s="25" t="s">
        <v>1</v>
      </c>
      <c r="Y129" s="25" t="s">
        <v>1</v>
      </c>
      <c r="Z129" s="25" t="s">
        <v>1</v>
      </c>
      <c r="AA129" s="95" t="s">
        <v>2194</v>
      </c>
    </row>
    <row r="130" spans="1:30" s="12" customFormat="1">
      <c r="A130" s="1">
        <f t="shared" si="1"/>
        <v>126</v>
      </c>
      <c r="B130" s="12" t="s">
        <v>3352</v>
      </c>
      <c r="C130" s="35" t="s">
        <v>1720</v>
      </c>
      <c r="D130" s="15">
        <v>125</v>
      </c>
      <c r="E130" s="12" t="s">
        <v>5</v>
      </c>
      <c r="F130" s="15">
        <v>20</v>
      </c>
      <c r="G130" s="14">
        <v>44854</v>
      </c>
      <c r="H130" s="12" t="s">
        <v>3351</v>
      </c>
      <c r="I130" s="12" t="s">
        <v>3350</v>
      </c>
      <c r="J130" s="12" t="s">
        <v>2358</v>
      </c>
      <c r="K130" s="12" t="s">
        <v>3230</v>
      </c>
      <c r="L130" s="12">
        <v>2021</v>
      </c>
      <c r="N130" s="12" t="s">
        <v>3349</v>
      </c>
      <c r="O130" s="24" t="s">
        <v>4</v>
      </c>
      <c r="P130" s="24" t="s">
        <v>1</v>
      </c>
      <c r="Q130" s="24" t="s">
        <v>2749</v>
      </c>
      <c r="R130" s="24" t="s">
        <v>1</v>
      </c>
      <c r="S130" s="24" t="s">
        <v>1</v>
      </c>
      <c r="T130" s="24" t="s">
        <v>1</v>
      </c>
      <c r="U130" s="24" t="s">
        <v>1</v>
      </c>
      <c r="V130" s="24" t="s">
        <v>1</v>
      </c>
      <c r="W130" s="24" t="s">
        <v>1</v>
      </c>
      <c r="X130" s="24" t="s">
        <v>1</v>
      </c>
      <c r="Y130" s="24" t="s">
        <v>1</v>
      </c>
      <c r="Z130" s="24" t="s">
        <v>1</v>
      </c>
      <c r="AA130" s="12" t="s">
        <v>2405</v>
      </c>
      <c r="AC130" s="110"/>
      <c r="AD130" s="102"/>
    </row>
    <row r="131" spans="1:30">
      <c r="A131" s="1">
        <f t="shared" si="1"/>
        <v>127</v>
      </c>
      <c r="B131" s="1" t="s">
        <v>999</v>
      </c>
      <c r="C131" s="26" t="s">
        <v>1720</v>
      </c>
      <c r="D131" s="3">
        <v>125</v>
      </c>
      <c r="E131" s="1" t="s">
        <v>7</v>
      </c>
      <c r="F131" s="3">
        <v>38</v>
      </c>
      <c r="G131" s="4">
        <v>44812</v>
      </c>
      <c r="H131" s="1" t="s">
        <v>3174</v>
      </c>
      <c r="I131" s="1" t="s">
        <v>3348</v>
      </c>
      <c r="J131" s="1" t="s">
        <v>2616</v>
      </c>
      <c r="K131" s="1" t="s">
        <v>2093</v>
      </c>
      <c r="L131" s="44" t="s">
        <v>3182</v>
      </c>
      <c r="N131" s="1" t="s">
        <v>3347</v>
      </c>
      <c r="O131" s="25" t="s">
        <v>5</v>
      </c>
      <c r="P131" s="25">
        <v>19</v>
      </c>
      <c r="Q131" s="25" t="s">
        <v>3346</v>
      </c>
      <c r="R131" s="25" t="s">
        <v>4</v>
      </c>
      <c r="S131" s="25">
        <v>4</v>
      </c>
      <c r="T131" s="25" t="s">
        <v>3345</v>
      </c>
      <c r="U131" s="25" t="s">
        <v>285</v>
      </c>
      <c r="V131" s="25" t="s">
        <v>1</v>
      </c>
      <c r="W131" s="25" t="s">
        <v>1042</v>
      </c>
      <c r="X131" s="25" t="s">
        <v>1</v>
      </c>
      <c r="Y131" s="25" t="s">
        <v>1</v>
      </c>
      <c r="Z131" s="25" t="s">
        <v>1</v>
      </c>
      <c r="AA131" s="95" t="s">
        <v>2123</v>
      </c>
    </row>
    <row r="132" spans="1:30">
      <c r="A132" s="1">
        <f t="shared" si="1"/>
        <v>128</v>
      </c>
      <c r="B132" s="1" t="s">
        <v>1174</v>
      </c>
      <c r="C132" s="26" t="s">
        <v>1720</v>
      </c>
      <c r="D132" s="3">
        <v>100</v>
      </c>
      <c r="E132" s="1" t="s">
        <v>4</v>
      </c>
      <c r="F132" s="3">
        <v>50</v>
      </c>
      <c r="G132" s="4">
        <v>45062</v>
      </c>
      <c r="H132" s="1" t="s">
        <v>3344</v>
      </c>
      <c r="I132" s="1" t="s">
        <v>3343</v>
      </c>
      <c r="J132" s="40" t="s">
        <v>2082</v>
      </c>
      <c r="K132" s="40" t="s">
        <v>2099</v>
      </c>
      <c r="L132" s="43" t="s">
        <v>3342</v>
      </c>
      <c r="N132" s="1" t="s">
        <v>3341</v>
      </c>
      <c r="O132" s="25" t="s">
        <v>1</v>
      </c>
      <c r="P132" s="25" t="s">
        <v>1</v>
      </c>
      <c r="Q132" s="25" t="s">
        <v>1</v>
      </c>
      <c r="R132" s="25" t="s">
        <v>1</v>
      </c>
      <c r="S132" s="25" t="s">
        <v>1</v>
      </c>
      <c r="T132" s="25" t="s">
        <v>1</v>
      </c>
      <c r="U132" s="25" t="s">
        <v>1</v>
      </c>
      <c r="V132" s="25" t="s">
        <v>1</v>
      </c>
      <c r="W132" s="25" t="s">
        <v>1</v>
      </c>
      <c r="X132" s="25" t="s">
        <v>1</v>
      </c>
      <c r="Y132" s="25" t="s">
        <v>1</v>
      </c>
      <c r="Z132" s="25" t="s">
        <v>1</v>
      </c>
      <c r="AA132" s="95" t="s">
        <v>3340</v>
      </c>
    </row>
    <row r="133" spans="1:30">
      <c r="A133" s="1">
        <f t="shared" si="1"/>
        <v>129</v>
      </c>
      <c r="B133" s="1" t="s">
        <v>3339</v>
      </c>
      <c r="C133" s="26" t="s">
        <v>1720</v>
      </c>
      <c r="D133" s="3">
        <v>100</v>
      </c>
      <c r="E133" s="1" t="s">
        <v>7</v>
      </c>
      <c r="F133" s="3">
        <v>50</v>
      </c>
      <c r="G133" s="4">
        <v>44643</v>
      </c>
      <c r="H133" s="1" t="s">
        <v>3338</v>
      </c>
      <c r="I133" s="1" t="s">
        <v>3337</v>
      </c>
      <c r="J133" s="1" t="s">
        <v>2616</v>
      </c>
      <c r="K133" s="1" t="s">
        <v>3336</v>
      </c>
      <c r="L133" s="43" t="s">
        <v>3335</v>
      </c>
      <c r="N133" s="1" t="s">
        <v>3334</v>
      </c>
      <c r="O133" s="25" t="s">
        <v>5</v>
      </c>
      <c r="P133" s="25">
        <v>18.5</v>
      </c>
      <c r="Q133" s="25" t="s">
        <v>3333</v>
      </c>
      <c r="R133" s="25" t="s">
        <v>4</v>
      </c>
      <c r="S133" s="25">
        <v>3.5</v>
      </c>
      <c r="T133" s="25" t="s">
        <v>3332</v>
      </c>
      <c r="U133" s="25" t="s">
        <v>1</v>
      </c>
      <c r="V133" s="25" t="s">
        <v>1</v>
      </c>
      <c r="W133" s="25" t="s">
        <v>1</v>
      </c>
      <c r="X133" s="25" t="s">
        <v>1</v>
      </c>
      <c r="Y133" s="25" t="s">
        <v>1</v>
      </c>
      <c r="Z133" s="25" t="s">
        <v>1</v>
      </c>
      <c r="AA133" s="95" t="s">
        <v>2115</v>
      </c>
    </row>
    <row r="134" spans="1:30">
      <c r="A134" s="1">
        <f t="shared" si="1"/>
        <v>130</v>
      </c>
      <c r="B134" s="12" t="s">
        <v>3331</v>
      </c>
      <c r="C134" s="35" t="s">
        <v>1720</v>
      </c>
      <c r="D134" s="15">
        <v>100</v>
      </c>
      <c r="E134" s="12" t="s">
        <v>5</v>
      </c>
      <c r="F134" s="15">
        <v>50</v>
      </c>
      <c r="G134" s="14">
        <v>44796</v>
      </c>
      <c r="H134" s="12" t="s">
        <v>3330</v>
      </c>
      <c r="I134" s="12" t="s">
        <v>3329</v>
      </c>
      <c r="J134" s="40" t="s">
        <v>2351</v>
      </c>
      <c r="K134" s="40" t="s">
        <v>3328</v>
      </c>
      <c r="L134" s="38">
        <v>44378</v>
      </c>
      <c r="N134" s="1" t="s">
        <v>3327</v>
      </c>
      <c r="O134" s="25" t="s">
        <v>4</v>
      </c>
      <c r="P134" s="25">
        <v>12.5</v>
      </c>
      <c r="Q134" s="25" t="s">
        <v>3326</v>
      </c>
      <c r="R134" s="25" t="s">
        <v>4</v>
      </c>
      <c r="S134" s="25">
        <v>7.2</v>
      </c>
      <c r="T134" s="25" t="s">
        <v>3325</v>
      </c>
      <c r="V134" s="25" t="s">
        <v>1</v>
      </c>
      <c r="W134" s="25" t="s">
        <v>1</v>
      </c>
      <c r="X134" s="25" t="s">
        <v>1</v>
      </c>
      <c r="Y134" s="25" t="s">
        <v>1</v>
      </c>
      <c r="Z134" s="25" t="s">
        <v>1</v>
      </c>
      <c r="AA134" s="95" t="s">
        <v>2405</v>
      </c>
    </row>
    <row r="135" spans="1:30">
      <c r="A135" s="1">
        <f t="shared" si="1"/>
        <v>131</v>
      </c>
      <c r="B135" s="1" t="s">
        <v>3324</v>
      </c>
      <c r="C135" s="26" t="s">
        <v>1720</v>
      </c>
      <c r="D135" s="3">
        <v>100</v>
      </c>
      <c r="E135" s="1" t="s">
        <v>5</v>
      </c>
      <c r="F135" s="3">
        <v>50</v>
      </c>
      <c r="G135" s="31">
        <v>44475</v>
      </c>
      <c r="H135" s="1" t="s">
        <v>3323</v>
      </c>
      <c r="I135" s="1" t="s">
        <v>3322</v>
      </c>
      <c r="J135" s="1" t="s">
        <v>2082</v>
      </c>
      <c r="K135" s="1" t="s">
        <v>2398</v>
      </c>
      <c r="L135" s="34">
        <v>44440</v>
      </c>
      <c r="N135" s="1" t="s">
        <v>3321</v>
      </c>
      <c r="O135" s="25" t="s">
        <v>1</v>
      </c>
      <c r="P135" s="25" t="s">
        <v>1</v>
      </c>
      <c r="Q135" s="25" t="s">
        <v>1</v>
      </c>
      <c r="R135" s="25" t="s">
        <v>1</v>
      </c>
      <c r="S135" s="25" t="s">
        <v>1</v>
      </c>
      <c r="T135" s="25" t="s">
        <v>1</v>
      </c>
      <c r="U135" s="25" t="s">
        <v>1</v>
      </c>
      <c r="V135" s="25" t="s">
        <v>1</v>
      </c>
      <c r="W135" s="25" t="s">
        <v>1</v>
      </c>
      <c r="X135" s="25" t="s">
        <v>1</v>
      </c>
      <c r="Y135" s="25" t="s">
        <v>1</v>
      </c>
      <c r="Z135" s="25" t="s">
        <v>1</v>
      </c>
      <c r="AA135" s="95" t="s">
        <v>2092</v>
      </c>
    </row>
    <row r="136" spans="1:30">
      <c r="A136" s="1">
        <f t="shared" si="1"/>
        <v>132</v>
      </c>
      <c r="B136" s="1" t="s">
        <v>293</v>
      </c>
      <c r="C136" s="26" t="s">
        <v>1720</v>
      </c>
      <c r="D136" s="3">
        <v>100</v>
      </c>
      <c r="E136" s="1" t="s">
        <v>7</v>
      </c>
      <c r="F136" s="3">
        <v>35</v>
      </c>
      <c r="G136" s="4">
        <v>44309</v>
      </c>
      <c r="I136" s="1" t="s">
        <v>3320</v>
      </c>
      <c r="J136" s="1" t="s">
        <v>2082</v>
      </c>
      <c r="K136" s="1" t="s">
        <v>2108</v>
      </c>
      <c r="L136" s="1">
        <v>2017</v>
      </c>
      <c r="N136" s="1" t="s">
        <v>3319</v>
      </c>
      <c r="O136" s="25" t="s">
        <v>5</v>
      </c>
      <c r="P136" s="25">
        <v>5.7</v>
      </c>
      <c r="Q136" s="25" t="s">
        <v>1</v>
      </c>
      <c r="R136" s="25" t="s">
        <v>5</v>
      </c>
      <c r="S136" s="25">
        <v>12.8</v>
      </c>
      <c r="T136" s="25" t="s">
        <v>1</v>
      </c>
      <c r="U136" s="25" t="s">
        <v>4</v>
      </c>
      <c r="V136" s="25" t="s">
        <v>1</v>
      </c>
      <c r="W136" s="25" t="s">
        <v>3318</v>
      </c>
      <c r="X136" s="25" t="s">
        <v>1</v>
      </c>
      <c r="Y136" s="25" t="s">
        <v>1</v>
      </c>
      <c r="Z136" s="25" t="s">
        <v>1</v>
      </c>
      <c r="AA136" s="95" t="s">
        <v>2302</v>
      </c>
    </row>
    <row r="137" spans="1:30">
      <c r="A137" s="1">
        <f t="shared" si="1"/>
        <v>133</v>
      </c>
      <c r="B137" s="1" t="s">
        <v>925</v>
      </c>
      <c r="C137" s="26" t="s">
        <v>1720</v>
      </c>
      <c r="D137" s="3">
        <v>100</v>
      </c>
      <c r="E137" s="1" t="s">
        <v>4</v>
      </c>
      <c r="F137" s="3">
        <v>42</v>
      </c>
      <c r="G137" s="4">
        <v>44882</v>
      </c>
      <c r="H137" s="12" t="s">
        <v>3317</v>
      </c>
      <c r="J137" s="45" t="s">
        <v>2082</v>
      </c>
      <c r="K137" s="40" t="s">
        <v>2099</v>
      </c>
      <c r="L137" s="34">
        <v>44440</v>
      </c>
      <c r="N137" s="1" t="s">
        <v>3316</v>
      </c>
      <c r="O137" s="25" t="s">
        <v>1</v>
      </c>
      <c r="P137" s="25" t="s">
        <v>1</v>
      </c>
      <c r="Q137" s="25" t="s">
        <v>1</v>
      </c>
      <c r="R137" s="25" t="s">
        <v>1</v>
      </c>
      <c r="S137" s="25" t="s">
        <v>1</v>
      </c>
      <c r="T137" s="25" t="s">
        <v>1</v>
      </c>
      <c r="U137" s="25" t="s">
        <v>1</v>
      </c>
      <c r="V137" s="25" t="s">
        <v>1</v>
      </c>
      <c r="W137" s="25" t="s">
        <v>1</v>
      </c>
      <c r="X137" s="25" t="s">
        <v>1</v>
      </c>
      <c r="Y137" s="25" t="s">
        <v>1</v>
      </c>
      <c r="Z137" s="25" t="s">
        <v>1</v>
      </c>
      <c r="AA137" s="95" t="s">
        <v>2132</v>
      </c>
    </row>
    <row r="138" spans="1:30">
      <c r="A138" s="1">
        <f t="shared" si="1"/>
        <v>134</v>
      </c>
      <c r="B138" s="1" t="s">
        <v>3315</v>
      </c>
      <c r="C138" s="26" t="s">
        <v>1720</v>
      </c>
      <c r="D138" s="3">
        <v>100</v>
      </c>
      <c r="E138" s="1" t="s">
        <v>5</v>
      </c>
      <c r="F138" s="3">
        <v>40</v>
      </c>
      <c r="G138" s="4">
        <v>44690</v>
      </c>
      <c r="H138" s="1" t="s">
        <v>3314</v>
      </c>
      <c r="I138" s="1" t="s">
        <v>3313</v>
      </c>
      <c r="J138" s="1" t="s">
        <v>2351</v>
      </c>
      <c r="K138" s="1" t="s">
        <v>3312</v>
      </c>
      <c r="L138" s="34">
        <v>44501</v>
      </c>
      <c r="N138" s="1" t="s">
        <v>3311</v>
      </c>
      <c r="O138" s="25" t="s">
        <v>3310</v>
      </c>
      <c r="P138" s="25">
        <v>5</v>
      </c>
      <c r="Q138" s="25" t="s">
        <v>3309</v>
      </c>
      <c r="R138" s="25" t="s">
        <v>1</v>
      </c>
      <c r="S138" s="25" t="s">
        <v>1</v>
      </c>
      <c r="T138" s="25" t="s">
        <v>1</v>
      </c>
      <c r="U138" s="25" t="s">
        <v>1</v>
      </c>
      <c r="V138" s="25" t="s">
        <v>1</v>
      </c>
      <c r="W138" s="25" t="s">
        <v>1</v>
      </c>
      <c r="X138" s="25" t="s">
        <v>1</v>
      </c>
      <c r="Y138" s="25" t="s">
        <v>1</v>
      </c>
      <c r="Z138" s="25" t="s">
        <v>1</v>
      </c>
      <c r="AA138" s="95" t="s">
        <v>2953</v>
      </c>
    </row>
    <row r="139" spans="1:30">
      <c r="A139" s="1">
        <f t="shared" si="1"/>
        <v>135</v>
      </c>
      <c r="B139" s="1" t="s">
        <v>3308</v>
      </c>
      <c r="C139" s="26" t="s">
        <v>1720</v>
      </c>
      <c r="D139" s="3">
        <v>100</v>
      </c>
      <c r="E139" s="1" t="s">
        <v>18</v>
      </c>
      <c r="F139" s="3">
        <v>38</v>
      </c>
      <c r="G139" s="4">
        <v>44580</v>
      </c>
      <c r="H139" s="1" t="s">
        <v>3307</v>
      </c>
      <c r="I139" s="1" t="s">
        <v>3306</v>
      </c>
      <c r="J139" s="1" t="s">
        <v>2082</v>
      </c>
      <c r="K139" s="1" t="s">
        <v>3305</v>
      </c>
      <c r="L139" s="1">
        <v>2017</v>
      </c>
      <c r="M139" s="1" t="s">
        <v>3304</v>
      </c>
      <c r="N139" s="1" t="s">
        <v>3303</v>
      </c>
      <c r="O139" s="25" t="s">
        <v>7</v>
      </c>
      <c r="P139" s="25">
        <v>13.5</v>
      </c>
      <c r="Q139" s="25" t="s">
        <v>3302</v>
      </c>
      <c r="R139" s="25" t="s">
        <v>5</v>
      </c>
      <c r="S139" s="25">
        <v>8.4</v>
      </c>
      <c r="T139" s="25" t="s">
        <v>3301</v>
      </c>
      <c r="U139" s="25" t="s">
        <v>4</v>
      </c>
      <c r="V139" s="25">
        <v>1.6</v>
      </c>
      <c r="W139" s="25" t="s">
        <v>3301</v>
      </c>
      <c r="X139" s="25" t="s">
        <v>1</v>
      </c>
      <c r="Y139" s="25" t="s">
        <v>1</v>
      </c>
      <c r="Z139" s="25" t="s">
        <v>1</v>
      </c>
      <c r="AA139" s="95" t="s">
        <v>3300</v>
      </c>
    </row>
    <row r="140" spans="1:30">
      <c r="A140" s="1">
        <f t="shared" si="1"/>
        <v>136</v>
      </c>
      <c r="B140" s="1" t="s">
        <v>791</v>
      </c>
      <c r="C140" s="26" t="s">
        <v>1720</v>
      </c>
      <c r="D140" s="3">
        <v>100</v>
      </c>
      <c r="E140" s="1" t="s">
        <v>5</v>
      </c>
      <c r="F140" s="3">
        <v>30</v>
      </c>
      <c r="G140" s="4">
        <v>44893</v>
      </c>
      <c r="H140" s="1" t="s">
        <v>3197</v>
      </c>
      <c r="I140" s="1" t="s">
        <v>3299</v>
      </c>
      <c r="J140" s="1" t="s">
        <v>2616</v>
      </c>
      <c r="K140" s="1" t="s">
        <v>2093</v>
      </c>
      <c r="L140" s="44">
        <v>43313</v>
      </c>
      <c r="N140" s="1" t="s">
        <v>3298</v>
      </c>
      <c r="O140" s="25" t="s">
        <v>4</v>
      </c>
      <c r="P140" s="25">
        <v>7</v>
      </c>
      <c r="Q140" s="25" t="s">
        <v>1</v>
      </c>
      <c r="R140" s="25" t="s">
        <v>285</v>
      </c>
      <c r="S140" s="25">
        <v>3</v>
      </c>
      <c r="T140" s="25" t="s">
        <v>3297</v>
      </c>
      <c r="U140" s="25" t="s">
        <v>1</v>
      </c>
      <c r="V140" s="25" t="s">
        <v>1</v>
      </c>
      <c r="W140" s="25" t="s">
        <v>1</v>
      </c>
      <c r="X140" s="25" t="s">
        <v>1</v>
      </c>
      <c r="Y140" s="25" t="s">
        <v>1</v>
      </c>
      <c r="Z140" s="25" t="s">
        <v>1</v>
      </c>
      <c r="AA140" s="95" t="s">
        <v>2132</v>
      </c>
    </row>
    <row r="141" spans="1:30">
      <c r="A141" s="1">
        <f t="shared" si="1"/>
        <v>137</v>
      </c>
      <c r="B141" s="1" t="s">
        <v>3296</v>
      </c>
      <c r="C141" s="26" t="s">
        <v>1720</v>
      </c>
      <c r="D141" s="3">
        <v>100</v>
      </c>
      <c r="E141" s="1" t="s">
        <v>5</v>
      </c>
      <c r="F141" s="3">
        <v>23</v>
      </c>
      <c r="G141" s="4">
        <v>44963</v>
      </c>
      <c r="H141" s="12" t="s">
        <v>3295</v>
      </c>
      <c r="J141" s="1" t="s">
        <v>2616</v>
      </c>
      <c r="K141" s="1" t="s">
        <v>2280</v>
      </c>
      <c r="L141" s="34">
        <v>44621</v>
      </c>
      <c r="N141" s="1" t="s">
        <v>3294</v>
      </c>
      <c r="O141" s="25" t="s">
        <v>4</v>
      </c>
      <c r="P141" s="25">
        <v>5.0999999999999996</v>
      </c>
      <c r="Q141" s="25" t="s">
        <v>1030</v>
      </c>
      <c r="R141" s="25" t="s">
        <v>1</v>
      </c>
      <c r="S141" s="25" t="s">
        <v>1</v>
      </c>
      <c r="T141" s="25" t="s">
        <v>1</v>
      </c>
      <c r="U141" s="25" t="s">
        <v>1</v>
      </c>
      <c r="V141" s="25" t="s">
        <v>1</v>
      </c>
      <c r="W141" s="25" t="s">
        <v>1</v>
      </c>
      <c r="X141" s="25" t="s">
        <v>1</v>
      </c>
      <c r="Y141" s="25" t="s">
        <v>1</v>
      </c>
      <c r="Z141" s="25" t="s">
        <v>1</v>
      </c>
      <c r="AA141" s="95" t="s">
        <v>2405</v>
      </c>
    </row>
    <row r="142" spans="1:30">
      <c r="A142" s="1">
        <f t="shared" ref="A142:A205" si="2">A141+1</f>
        <v>138</v>
      </c>
      <c r="B142" s="1" t="s">
        <v>113</v>
      </c>
      <c r="C142" s="26" t="s">
        <v>1720</v>
      </c>
      <c r="D142" s="3">
        <v>100</v>
      </c>
      <c r="E142" s="1" t="s">
        <v>7</v>
      </c>
      <c r="F142" s="3">
        <v>5</v>
      </c>
      <c r="G142" s="4">
        <v>43903</v>
      </c>
      <c r="H142" s="1" t="s">
        <v>3293</v>
      </c>
      <c r="I142" s="1" t="s">
        <v>3292</v>
      </c>
      <c r="J142" s="1" t="s">
        <v>2082</v>
      </c>
      <c r="K142" s="1" t="s">
        <v>3291</v>
      </c>
      <c r="L142" s="1">
        <v>2015</v>
      </c>
      <c r="N142" s="1" t="s">
        <v>1023</v>
      </c>
      <c r="O142" s="25" t="s">
        <v>7</v>
      </c>
      <c r="P142" s="25" t="s">
        <v>3290</v>
      </c>
      <c r="Q142" s="25" t="s">
        <v>3289</v>
      </c>
      <c r="R142" s="25" t="s">
        <v>5</v>
      </c>
      <c r="S142" s="25">
        <v>15</v>
      </c>
      <c r="T142" s="25" t="s">
        <v>3288</v>
      </c>
      <c r="U142" s="25" t="s">
        <v>1</v>
      </c>
      <c r="V142" s="25" t="s">
        <v>1</v>
      </c>
      <c r="W142" s="25" t="s">
        <v>1</v>
      </c>
      <c r="X142" s="25" t="s">
        <v>1</v>
      </c>
      <c r="Y142" s="25" t="s">
        <v>1</v>
      </c>
      <c r="Z142" s="25" t="s">
        <v>1</v>
      </c>
      <c r="AA142" s="95" t="s">
        <v>2092</v>
      </c>
      <c r="AB142" s="28" t="s">
        <v>3287</v>
      </c>
      <c r="AC142" s="109"/>
      <c r="AD142" s="101"/>
    </row>
    <row r="143" spans="1:30">
      <c r="A143" s="1">
        <f t="shared" si="2"/>
        <v>139</v>
      </c>
      <c r="B143" s="1" t="s">
        <v>701</v>
      </c>
      <c r="C143" s="26" t="s">
        <v>1720</v>
      </c>
      <c r="D143" s="3">
        <v>100</v>
      </c>
      <c r="E143" s="1" t="s">
        <v>4</v>
      </c>
      <c r="F143" s="3">
        <v>30</v>
      </c>
      <c r="G143" s="4">
        <v>44742</v>
      </c>
      <c r="H143" s="1" t="s">
        <v>3285</v>
      </c>
      <c r="I143" s="1" t="s">
        <v>3286</v>
      </c>
      <c r="J143" s="1" t="s">
        <v>2616</v>
      </c>
      <c r="K143" s="1" t="s">
        <v>2116</v>
      </c>
      <c r="L143" s="34">
        <v>44562</v>
      </c>
      <c r="M143" s="1" t="s">
        <v>3285</v>
      </c>
      <c r="N143" s="1" t="s">
        <v>3284</v>
      </c>
      <c r="O143" s="25" t="s">
        <v>1</v>
      </c>
      <c r="P143" s="25" t="s">
        <v>1</v>
      </c>
      <c r="Q143" s="25" t="s">
        <v>1</v>
      </c>
      <c r="R143" s="25" t="s">
        <v>1</v>
      </c>
      <c r="S143" s="25" t="s">
        <v>1</v>
      </c>
      <c r="T143" s="25" t="s">
        <v>1</v>
      </c>
      <c r="U143" s="25" t="s">
        <v>1</v>
      </c>
      <c r="V143" s="25" t="s">
        <v>1</v>
      </c>
      <c r="W143" s="25" t="s">
        <v>1</v>
      </c>
      <c r="X143" s="25" t="s">
        <v>1</v>
      </c>
      <c r="Y143" s="25" t="s">
        <v>1</v>
      </c>
      <c r="Z143" s="25" t="s">
        <v>1</v>
      </c>
      <c r="AA143" s="95" t="s">
        <v>2405</v>
      </c>
    </row>
    <row r="144" spans="1:30">
      <c r="A144" s="1">
        <f t="shared" si="2"/>
        <v>140</v>
      </c>
      <c r="B144" s="1" t="s">
        <v>1024</v>
      </c>
      <c r="C144" s="26" t="s">
        <v>1720</v>
      </c>
      <c r="D144" s="3">
        <v>100</v>
      </c>
      <c r="E144" s="1" t="s">
        <v>7</v>
      </c>
      <c r="F144" s="3">
        <v>30</v>
      </c>
      <c r="G144" s="31">
        <v>44539</v>
      </c>
      <c r="H144" s="1" t="s">
        <v>3283</v>
      </c>
      <c r="I144" s="1" t="s">
        <v>3282</v>
      </c>
      <c r="J144" s="1" t="s">
        <v>2082</v>
      </c>
      <c r="K144" s="1" t="s">
        <v>2093</v>
      </c>
      <c r="L144" s="44" t="s">
        <v>3035</v>
      </c>
      <c r="N144" s="1" t="s">
        <v>3281</v>
      </c>
      <c r="O144" s="25" t="s">
        <v>5</v>
      </c>
      <c r="P144" s="25">
        <v>11</v>
      </c>
      <c r="Q144" s="25" t="s">
        <v>3280</v>
      </c>
      <c r="R144" s="25" t="s">
        <v>4</v>
      </c>
      <c r="S144" s="25">
        <v>3</v>
      </c>
      <c r="T144" s="25" t="s">
        <v>3279</v>
      </c>
      <c r="U144" s="25" t="s">
        <v>1</v>
      </c>
      <c r="V144" s="25" t="s">
        <v>1</v>
      </c>
      <c r="W144" s="25" t="s">
        <v>1</v>
      </c>
      <c r="X144" s="25" t="s">
        <v>1</v>
      </c>
      <c r="Y144" s="25" t="s">
        <v>1</v>
      </c>
      <c r="Z144" s="25" t="s">
        <v>1</v>
      </c>
      <c r="AA144" s="95" t="s">
        <v>2405</v>
      </c>
    </row>
    <row r="145" spans="1:30">
      <c r="A145" s="1">
        <f t="shared" si="2"/>
        <v>141</v>
      </c>
      <c r="B145" s="1" t="s">
        <v>3278</v>
      </c>
      <c r="C145" s="26" t="s">
        <v>1720</v>
      </c>
      <c r="D145" s="3">
        <v>100</v>
      </c>
      <c r="E145" s="1" t="s">
        <v>5</v>
      </c>
      <c r="F145" s="3">
        <v>30</v>
      </c>
      <c r="G145" s="4">
        <v>44914</v>
      </c>
      <c r="H145" s="1" t="s">
        <v>3277</v>
      </c>
      <c r="I145" s="1" t="s">
        <v>3276</v>
      </c>
      <c r="J145" s="1" t="s">
        <v>2351</v>
      </c>
      <c r="K145" s="1" t="s">
        <v>3275</v>
      </c>
      <c r="L145" s="44" t="s">
        <v>3182</v>
      </c>
      <c r="N145" s="1" t="s">
        <v>3274</v>
      </c>
      <c r="O145" s="25" t="s">
        <v>4</v>
      </c>
      <c r="P145" s="25">
        <v>4</v>
      </c>
      <c r="Q145" s="25" t="s">
        <v>3273</v>
      </c>
      <c r="R145" s="25" t="s">
        <v>1</v>
      </c>
      <c r="S145" s="25" t="s">
        <v>1</v>
      </c>
      <c r="T145" s="25" t="s">
        <v>1</v>
      </c>
      <c r="U145" s="25" t="s">
        <v>1</v>
      </c>
      <c r="V145" s="25" t="s">
        <v>1</v>
      </c>
      <c r="W145" s="25" t="s">
        <v>1</v>
      </c>
      <c r="X145" s="25" t="s">
        <v>1</v>
      </c>
      <c r="Y145" s="25" t="s">
        <v>1</v>
      </c>
      <c r="Z145" s="25" t="s">
        <v>1</v>
      </c>
      <c r="AA145" s="95" t="s">
        <v>2115</v>
      </c>
    </row>
    <row r="146" spans="1:30">
      <c r="A146" s="1">
        <f t="shared" si="2"/>
        <v>142</v>
      </c>
      <c r="B146" s="1" t="s">
        <v>885</v>
      </c>
      <c r="C146" s="26" t="s">
        <v>1720</v>
      </c>
      <c r="D146" s="3">
        <v>100</v>
      </c>
      <c r="E146" s="1" t="s">
        <v>5</v>
      </c>
      <c r="F146" s="3">
        <v>30</v>
      </c>
      <c r="G146" s="31">
        <v>44522</v>
      </c>
      <c r="H146" s="1" t="s">
        <v>3272</v>
      </c>
      <c r="I146" s="1" t="s">
        <v>3271</v>
      </c>
      <c r="J146" s="1" t="s">
        <v>2616</v>
      </c>
      <c r="K146" s="1" t="s">
        <v>2093</v>
      </c>
      <c r="L146" s="44">
        <v>43862</v>
      </c>
      <c r="N146" s="1" t="s">
        <v>3270</v>
      </c>
      <c r="O146" s="25" t="s">
        <v>4</v>
      </c>
      <c r="P146" s="25">
        <v>5.5</v>
      </c>
      <c r="Q146" s="25" t="s">
        <v>3269</v>
      </c>
      <c r="R146" s="25" t="s">
        <v>4</v>
      </c>
      <c r="S146" s="25">
        <v>2</v>
      </c>
      <c r="T146" s="25" t="s">
        <v>1008</v>
      </c>
      <c r="U146" s="25" t="s">
        <v>1</v>
      </c>
      <c r="V146" s="25" t="s">
        <v>1</v>
      </c>
      <c r="W146" s="25" t="s">
        <v>1</v>
      </c>
      <c r="X146" s="25" t="s">
        <v>1</v>
      </c>
      <c r="Y146" s="25" t="s">
        <v>1</v>
      </c>
      <c r="Z146" s="25" t="s">
        <v>1</v>
      </c>
      <c r="AA146" s="95" t="s">
        <v>2119</v>
      </c>
    </row>
    <row r="147" spans="1:30">
      <c r="A147" s="1">
        <f t="shared" si="2"/>
        <v>143</v>
      </c>
      <c r="B147" s="12" t="s">
        <v>3268</v>
      </c>
      <c r="C147" s="35" t="s">
        <v>1720</v>
      </c>
      <c r="D147" s="15">
        <v>100</v>
      </c>
      <c r="E147" s="12" t="s">
        <v>1</v>
      </c>
      <c r="F147" s="15">
        <v>18.5</v>
      </c>
      <c r="G147" s="14">
        <v>45063</v>
      </c>
      <c r="H147" s="12" t="s">
        <v>3267</v>
      </c>
      <c r="I147" s="12" t="s">
        <v>3266</v>
      </c>
      <c r="J147" s="12" t="s">
        <v>2616</v>
      </c>
      <c r="K147" s="1" t="s">
        <v>2568</v>
      </c>
      <c r="L147" s="34">
        <v>44652</v>
      </c>
      <c r="N147" s="45" t="s">
        <v>3265</v>
      </c>
      <c r="O147" s="25" t="s">
        <v>4</v>
      </c>
      <c r="P147" s="25" t="s">
        <v>1</v>
      </c>
      <c r="Q147" s="25" t="s">
        <v>3264</v>
      </c>
      <c r="R147" s="25" t="s">
        <v>4</v>
      </c>
      <c r="S147" s="25">
        <v>2</v>
      </c>
      <c r="T147" s="25" t="s">
        <v>3263</v>
      </c>
      <c r="U147" s="25" t="s">
        <v>1</v>
      </c>
      <c r="V147" s="25" t="s">
        <v>1</v>
      </c>
      <c r="W147" s="25" t="s">
        <v>1</v>
      </c>
      <c r="X147" s="25" t="s">
        <v>1</v>
      </c>
      <c r="Y147" s="25" t="s">
        <v>1</v>
      </c>
      <c r="Z147" s="25" t="s">
        <v>1</v>
      </c>
      <c r="AA147" s="95" t="s">
        <v>2092</v>
      </c>
    </row>
    <row r="148" spans="1:30">
      <c r="A148" s="1">
        <f t="shared" si="2"/>
        <v>144</v>
      </c>
      <c r="B148" s="1" t="s">
        <v>708</v>
      </c>
      <c r="C148" s="26" t="s">
        <v>1720</v>
      </c>
      <c r="D148" s="3">
        <v>110</v>
      </c>
      <c r="E148" s="1" t="s">
        <v>5</v>
      </c>
      <c r="F148" s="3">
        <v>23.5</v>
      </c>
      <c r="G148" s="4">
        <v>44875</v>
      </c>
      <c r="H148" s="1" t="s">
        <v>3262</v>
      </c>
      <c r="I148" s="1" t="s">
        <v>3261</v>
      </c>
      <c r="J148" s="1" t="s">
        <v>2082</v>
      </c>
      <c r="K148" s="1" t="s">
        <v>2616</v>
      </c>
      <c r="L148" s="32">
        <v>44292</v>
      </c>
      <c r="N148" s="1" t="s">
        <v>3260</v>
      </c>
      <c r="O148" s="25" t="s">
        <v>4</v>
      </c>
      <c r="P148" s="25">
        <v>5.6</v>
      </c>
      <c r="Q148" s="25" t="s">
        <v>3259</v>
      </c>
      <c r="R148" s="25" t="s">
        <v>285</v>
      </c>
      <c r="S148" s="25" t="s">
        <v>1</v>
      </c>
      <c r="T148" s="25" t="s">
        <v>3258</v>
      </c>
      <c r="U148" s="25" t="s">
        <v>1</v>
      </c>
      <c r="V148" s="25" t="s">
        <v>1</v>
      </c>
      <c r="W148" s="25" t="s">
        <v>1</v>
      </c>
      <c r="X148" s="25" t="s">
        <v>1</v>
      </c>
      <c r="Y148" s="25" t="s">
        <v>1</v>
      </c>
      <c r="Z148" s="25" t="s">
        <v>1</v>
      </c>
      <c r="AA148" s="95" t="s">
        <v>3257</v>
      </c>
    </row>
    <row r="149" spans="1:30">
      <c r="A149" s="1">
        <f t="shared" si="2"/>
        <v>145</v>
      </c>
      <c r="B149" s="1" t="s">
        <v>697</v>
      </c>
      <c r="C149" s="26" t="s">
        <v>1720</v>
      </c>
      <c r="D149" s="3">
        <v>100</v>
      </c>
      <c r="E149" s="1" t="s">
        <v>4</v>
      </c>
      <c r="F149" s="3">
        <v>30</v>
      </c>
      <c r="G149" s="4">
        <v>44601</v>
      </c>
      <c r="H149" s="1" t="s">
        <v>2358</v>
      </c>
      <c r="I149" s="1" t="s">
        <v>3256</v>
      </c>
      <c r="J149" s="1" t="s">
        <v>2358</v>
      </c>
      <c r="K149" s="1" t="s">
        <v>2392</v>
      </c>
      <c r="L149" s="1">
        <v>2021</v>
      </c>
      <c r="N149" s="1" t="s">
        <v>3255</v>
      </c>
      <c r="O149" s="25" t="s">
        <v>1</v>
      </c>
      <c r="P149" s="25" t="s">
        <v>1</v>
      </c>
      <c r="Q149" s="25" t="s">
        <v>1</v>
      </c>
      <c r="R149" s="25" t="s">
        <v>1</v>
      </c>
      <c r="S149" s="25" t="s">
        <v>1</v>
      </c>
      <c r="T149" s="25" t="s">
        <v>1</v>
      </c>
      <c r="U149" s="25" t="s">
        <v>1</v>
      </c>
      <c r="V149" s="25" t="s">
        <v>1</v>
      </c>
      <c r="W149" s="25" t="s">
        <v>1</v>
      </c>
      <c r="X149" s="25" t="s">
        <v>1</v>
      </c>
      <c r="Y149" s="25" t="s">
        <v>1</v>
      </c>
      <c r="Z149" s="25" t="s">
        <v>1</v>
      </c>
      <c r="AA149" s="95" t="s">
        <v>3254</v>
      </c>
    </row>
    <row r="150" spans="1:30">
      <c r="A150" s="1">
        <f t="shared" si="2"/>
        <v>146</v>
      </c>
      <c r="B150" s="1" t="s">
        <v>3253</v>
      </c>
      <c r="C150" s="26" t="s">
        <v>1720</v>
      </c>
      <c r="D150" s="3">
        <v>100</v>
      </c>
      <c r="E150" s="1" t="s">
        <v>1</v>
      </c>
      <c r="F150" s="3">
        <v>29</v>
      </c>
      <c r="G150" s="31">
        <v>44368</v>
      </c>
      <c r="H150" s="1" t="s">
        <v>3252</v>
      </c>
      <c r="I150" s="1" t="s">
        <v>3251</v>
      </c>
      <c r="J150" s="1" t="s">
        <v>2082</v>
      </c>
      <c r="K150" s="1" t="s">
        <v>2138</v>
      </c>
      <c r="L150" s="34">
        <v>43344</v>
      </c>
      <c r="N150" s="1" t="s">
        <v>3250</v>
      </c>
      <c r="O150" s="25" t="s">
        <v>1</v>
      </c>
      <c r="P150" s="25" t="s">
        <v>1</v>
      </c>
      <c r="Q150" s="25" t="s">
        <v>1</v>
      </c>
      <c r="R150" s="25" t="s">
        <v>1</v>
      </c>
      <c r="S150" s="25" t="s">
        <v>1</v>
      </c>
      <c r="T150" s="25" t="s">
        <v>1</v>
      </c>
      <c r="U150" s="25" t="s">
        <v>1</v>
      </c>
      <c r="V150" s="25" t="s">
        <v>1</v>
      </c>
      <c r="W150" s="25" t="s">
        <v>1</v>
      </c>
      <c r="X150" s="25" t="s">
        <v>1</v>
      </c>
      <c r="Y150" s="25" t="s">
        <v>1</v>
      </c>
      <c r="Z150" s="25" t="s">
        <v>1</v>
      </c>
      <c r="AA150" s="95" t="s">
        <v>2092</v>
      </c>
    </row>
    <row r="151" spans="1:30">
      <c r="A151" s="1">
        <f t="shared" si="2"/>
        <v>147</v>
      </c>
      <c r="B151" s="1" t="s">
        <v>3249</v>
      </c>
      <c r="C151" s="26" t="s">
        <v>1720</v>
      </c>
      <c r="D151" s="3">
        <v>100</v>
      </c>
      <c r="E151" s="1" t="s">
        <v>5</v>
      </c>
      <c r="F151" s="3">
        <v>28</v>
      </c>
      <c r="G151" s="31">
        <v>44442</v>
      </c>
      <c r="H151" s="1" t="s">
        <v>3248</v>
      </c>
      <c r="J151" s="1" t="s">
        <v>3247</v>
      </c>
      <c r="K151" s="1" t="s">
        <v>3247</v>
      </c>
      <c r="L151" s="44" t="s">
        <v>3182</v>
      </c>
      <c r="N151" s="1" t="s">
        <v>3246</v>
      </c>
      <c r="O151" s="25" t="s">
        <v>1</v>
      </c>
      <c r="P151" s="25" t="s">
        <v>1</v>
      </c>
      <c r="Q151" s="25" t="s">
        <v>1</v>
      </c>
      <c r="R151" s="25" t="s">
        <v>1</v>
      </c>
      <c r="S151" s="25" t="s">
        <v>1</v>
      </c>
      <c r="T151" s="25" t="s">
        <v>1</v>
      </c>
      <c r="U151" s="25" t="s">
        <v>1</v>
      </c>
      <c r="V151" s="25" t="s">
        <v>1</v>
      </c>
      <c r="W151" s="25" t="s">
        <v>1</v>
      </c>
      <c r="X151" s="25" t="s">
        <v>1</v>
      </c>
      <c r="Y151" s="25" t="s">
        <v>1</v>
      </c>
      <c r="Z151" s="25" t="s">
        <v>1</v>
      </c>
      <c r="AA151" s="95" t="s">
        <v>2311</v>
      </c>
    </row>
    <row r="152" spans="1:30">
      <c r="A152" s="1">
        <f t="shared" si="2"/>
        <v>148</v>
      </c>
      <c r="B152" s="1" t="s">
        <v>3245</v>
      </c>
      <c r="C152" s="26" t="s">
        <v>1720</v>
      </c>
      <c r="D152" s="3">
        <v>100</v>
      </c>
      <c r="E152" s="1" t="s">
        <v>5</v>
      </c>
      <c r="F152" s="3">
        <v>28</v>
      </c>
      <c r="G152" s="4">
        <v>44656</v>
      </c>
      <c r="H152" s="1" t="s">
        <v>3244</v>
      </c>
      <c r="J152" s="1" t="s">
        <v>2351</v>
      </c>
      <c r="K152" s="1" t="s">
        <v>3243</v>
      </c>
      <c r="L152" s="44">
        <v>43556</v>
      </c>
      <c r="N152" s="1" t="s">
        <v>3242</v>
      </c>
      <c r="O152" s="25" t="s">
        <v>4</v>
      </c>
      <c r="P152" s="25">
        <v>5</v>
      </c>
      <c r="Q152" s="25" t="s">
        <v>3241</v>
      </c>
      <c r="R152" s="25" t="s">
        <v>560</v>
      </c>
      <c r="S152" s="25" t="s">
        <v>1</v>
      </c>
      <c r="T152" s="25" t="s">
        <v>3240</v>
      </c>
      <c r="U152" s="25" t="s">
        <v>4</v>
      </c>
      <c r="V152" s="25" t="s">
        <v>1</v>
      </c>
      <c r="W152" s="25" t="s">
        <v>3239</v>
      </c>
      <c r="X152" s="25" t="s">
        <v>1</v>
      </c>
      <c r="Y152" s="25" t="s">
        <v>1</v>
      </c>
      <c r="Z152" s="25" t="s">
        <v>1</v>
      </c>
      <c r="AA152" s="95" t="s">
        <v>3238</v>
      </c>
    </row>
    <row r="153" spans="1:30">
      <c r="A153" s="1">
        <f t="shared" si="2"/>
        <v>149</v>
      </c>
      <c r="B153" s="1" t="s">
        <v>115</v>
      </c>
      <c r="C153" s="26" t="s">
        <v>1720</v>
      </c>
      <c r="D153" s="3">
        <v>100</v>
      </c>
      <c r="E153" s="1" t="s">
        <v>5</v>
      </c>
      <c r="F153" s="3">
        <v>25</v>
      </c>
      <c r="G153" s="4">
        <v>44510</v>
      </c>
      <c r="H153" s="1" t="s">
        <v>3237</v>
      </c>
      <c r="I153" s="1" t="s">
        <v>3236</v>
      </c>
      <c r="J153" s="1" t="s">
        <v>2082</v>
      </c>
      <c r="K153" s="1" t="s">
        <v>2099</v>
      </c>
      <c r="L153" s="1">
        <v>2018</v>
      </c>
      <c r="N153" s="1" t="s">
        <v>3235</v>
      </c>
      <c r="O153" s="25" t="s">
        <v>4</v>
      </c>
      <c r="P153" s="25">
        <v>8</v>
      </c>
      <c r="Q153" s="25" t="s">
        <v>3234</v>
      </c>
      <c r="AA153" s="95" t="s">
        <v>2123</v>
      </c>
      <c r="AB153" s="28" t="s">
        <v>3233</v>
      </c>
      <c r="AC153" s="109"/>
      <c r="AD153" s="101"/>
    </row>
    <row r="154" spans="1:30" s="12" customFormat="1">
      <c r="A154" s="1">
        <f t="shared" si="2"/>
        <v>150</v>
      </c>
      <c r="B154" s="12" t="s">
        <v>3232</v>
      </c>
      <c r="C154" s="35" t="s">
        <v>1720</v>
      </c>
      <c r="D154" s="15">
        <v>100</v>
      </c>
      <c r="E154" s="12" t="s">
        <v>4</v>
      </c>
      <c r="F154" s="15">
        <v>20</v>
      </c>
      <c r="G154" s="14">
        <v>44792</v>
      </c>
      <c r="H154" s="12" t="s">
        <v>3230</v>
      </c>
      <c r="I154" s="12" t="s">
        <v>3231</v>
      </c>
      <c r="J154" s="12" t="s">
        <v>2082</v>
      </c>
      <c r="K154" s="12" t="s">
        <v>3230</v>
      </c>
      <c r="L154" s="46" t="s">
        <v>3229</v>
      </c>
      <c r="M154" s="12" t="s">
        <v>3228</v>
      </c>
      <c r="N154" s="12" t="s">
        <v>3227</v>
      </c>
      <c r="O154" s="24" t="s">
        <v>1</v>
      </c>
      <c r="P154" s="24" t="s">
        <v>1</v>
      </c>
      <c r="Q154" s="24" t="s">
        <v>1</v>
      </c>
      <c r="R154" s="24" t="s">
        <v>1</v>
      </c>
      <c r="S154" s="24" t="s">
        <v>1</v>
      </c>
      <c r="T154" s="24" t="s">
        <v>1</v>
      </c>
      <c r="U154" s="24" t="s">
        <v>1</v>
      </c>
      <c r="V154" s="24" t="s">
        <v>1</v>
      </c>
      <c r="W154" s="24" t="s">
        <v>1</v>
      </c>
      <c r="X154" s="24" t="s">
        <v>1</v>
      </c>
      <c r="Y154" s="24" t="s">
        <v>1</v>
      </c>
      <c r="Z154" s="24" t="s">
        <v>1</v>
      </c>
      <c r="AA154" s="12" t="s">
        <v>3226</v>
      </c>
      <c r="AC154" s="110"/>
      <c r="AD154" s="102"/>
    </row>
    <row r="155" spans="1:30">
      <c r="A155" s="1">
        <f t="shared" si="2"/>
        <v>151</v>
      </c>
      <c r="B155" s="1" t="s">
        <v>3225</v>
      </c>
      <c r="C155" s="26" t="s">
        <v>1720</v>
      </c>
      <c r="D155" s="3">
        <v>100</v>
      </c>
      <c r="E155" s="1" t="s">
        <v>5</v>
      </c>
      <c r="F155" s="3">
        <v>25</v>
      </c>
      <c r="G155" s="4">
        <v>44404</v>
      </c>
      <c r="H155" s="1" t="s">
        <v>2432</v>
      </c>
      <c r="I155" s="1" t="s">
        <v>3224</v>
      </c>
      <c r="J155" s="1" t="s">
        <v>2616</v>
      </c>
      <c r="K155" s="1" t="s">
        <v>3223</v>
      </c>
      <c r="L155" s="44">
        <v>43496</v>
      </c>
      <c r="N155" s="45" t="s">
        <v>3222</v>
      </c>
      <c r="O155" s="25" t="s">
        <v>4</v>
      </c>
      <c r="P155" s="25" t="s">
        <v>3221</v>
      </c>
      <c r="Q155" s="25" t="s">
        <v>1</v>
      </c>
      <c r="R155" s="25" t="s">
        <v>1</v>
      </c>
      <c r="S155" s="25" t="s">
        <v>1</v>
      </c>
      <c r="T155" s="25" t="s">
        <v>1</v>
      </c>
      <c r="U155" s="25" t="s">
        <v>1</v>
      </c>
      <c r="V155" s="25" t="s">
        <v>1</v>
      </c>
      <c r="W155" s="25" t="s">
        <v>1</v>
      </c>
      <c r="X155" s="25" t="s">
        <v>1</v>
      </c>
      <c r="Y155" s="25" t="s">
        <v>1</v>
      </c>
      <c r="Z155" s="25" t="s">
        <v>1</v>
      </c>
      <c r="AA155" s="95" t="s">
        <v>3220</v>
      </c>
    </row>
    <row r="156" spans="1:30">
      <c r="A156" s="1">
        <f t="shared" si="2"/>
        <v>152</v>
      </c>
      <c r="B156" s="1" t="s">
        <v>3219</v>
      </c>
      <c r="C156" s="26" t="s">
        <v>1720</v>
      </c>
      <c r="D156" s="3">
        <v>100</v>
      </c>
      <c r="E156" s="1" t="s">
        <v>1</v>
      </c>
      <c r="F156" s="3">
        <v>26</v>
      </c>
      <c r="G156" s="31">
        <v>43852</v>
      </c>
      <c r="H156" s="1" t="s">
        <v>3218</v>
      </c>
      <c r="J156" s="1" t="s">
        <v>2082</v>
      </c>
      <c r="K156" s="1" t="s">
        <v>2273</v>
      </c>
      <c r="L156" s="44">
        <v>43374</v>
      </c>
      <c r="N156" s="1" t="s">
        <v>1</v>
      </c>
      <c r="O156" s="1" t="s">
        <v>1</v>
      </c>
      <c r="P156" s="1" t="s">
        <v>1</v>
      </c>
      <c r="Q156" s="1" t="s">
        <v>1</v>
      </c>
      <c r="R156" s="1" t="s">
        <v>1</v>
      </c>
      <c r="S156" s="1" t="s">
        <v>1</v>
      </c>
      <c r="T156" s="1" t="s">
        <v>1</v>
      </c>
      <c r="U156" s="1" t="s">
        <v>1</v>
      </c>
      <c r="V156" s="1" t="s">
        <v>1</v>
      </c>
      <c r="W156" s="1" t="s">
        <v>1</v>
      </c>
      <c r="X156" s="1" t="s">
        <v>1</v>
      </c>
      <c r="Y156" s="1" t="s">
        <v>1</v>
      </c>
      <c r="Z156" s="1" t="s">
        <v>1</v>
      </c>
      <c r="AA156" s="95" t="s">
        <v>2405</v>
      </c>
    </row>
    <row r="157" spans="1:30">
      <c r="A157" s="1">
        <f t="shared" si="2"/>
        <v>153</v>
      </c>
      <c r="B157" s="12" t="s">
        <v>3217</v>
      </c>
      <c r="C157" s="35" t="s">
        <v>1720</v>
      </c>
      <c r="D157" s="15">
        <v>100</v>
      </c>
      <c r="E157" s="12" t="s">
        <v>5</v>
      </c>
      <c r="F157" s="15">
        <v>25</v>
      </c>
      <c r="G157" s="14">
        <v>44013</v>
      </c>
      <c r="H157" s="12" t="s">
        <v>3197</v>
      </c>
      <c r="I157" s="12" t="s">
        <v>3216</v>
      </c>
      <c r="J157" s="12" t="s">
        <v>2616</v>
      </c>
      <c r="K157" s="12" t="s">
        <v>2093</v>
      </c>
      <c r="L157" s="46" t="s">
        <v>3182</v>
      </c>
      <c r="N157" s="1" t="s">
        <v>1</v>
      </c>
      <c r="O157" s="1" t="s">
        <v>1</v>
      </c>
      <c r="P157" s="1" t="s">
        <v>1</v>
      </c>
      <c r="Q157" s="1" t="s">
        <v>1</v>
      </c>
      <c r="R157" s="1" t="s">
        <v>1</v>
      </c>
      <c r="S157" s="1" t="s">
        <v>1</v>
      </c>
      <c r="T157" s="1" t="s">
        <v>1</v>
      </c>
      <c r="U157" s="1" t="s">
        <v>1</v>
      </c>
      <c r="V157" s="1" t="s">
        <v>1</v>
      </c>
      <c r="W157" s="1" t="s">
        <v>1</v>
      </c>
      <c r="X157" s="1" t="s">
        <v>1</v>
      </c>
      <c r="Y157" s="1" t="s">
        <v>1</v>
      </c>
      <c r="Z157" s="1" t="s">
        <v>1</v>
      </c>
      <c r="AA157" s="95" t="s">
        <v>2405</v>
      </c>
    </row>
    <row r="158" spans="1:30">
      <c r="A158" s="1">
        <f t="shared" si="2"/>
        <v>154</v>
      </c>
      <c r="B158" s="1" t="s">
        <v>700</v>
      </c>
      <c r="C158" s="26" t="s">
        <v>1720</v>
      </c>
      <c r="D158" s="3">
        <v>100</v>
      </c>
      <c r="E158" s="1" t="s">
        <v>5</v>
      </c>
      <c r="F158" s="3">
        <f>12.2+16.3</f>
        <v>28.5</v>
      </c>
      <c r="G158" s="4">
        <v>45077</v>
      </c>
      <c r="H158" s="1" t="s">
        <v>3215</v>
      </c>
      <c r="I158" s="1" t="s">
        <v>3214</v>
      </c>
      <c r="J158" s="1" t="s">
        <v>2082</v>
      </c>
      <c r="K158" s="1" t="s">
        <v>2093</v>
      </c>
      <c r="L158" s="1">
        <v>2021</v>
      </c>
      <c r="N158" s="1" t="s">
        <v>3213</v>
      </c>
      <c r="O158" s="25" t="s">
        <v>1</v>
      </c>
      <c r="P158" s="25" t="s">
        <v>1</v>
      </c>
      <c r="Q158" s="25" t="s">
        <v>1</v>
      </c>
      <c r="R158" s="25" t="s">
        <v>1</v>
      </c>
      <c r="S158" s="25" t="s">
        <v>1</v>
      </c>
      <c r="T158" s="25" t="s">
        <v>1</v>
      </c>
      <c r="U158" s="25" t="s">
        <v>1</v>
      </c>
      <c r="V158" s="25" t="s">
        <v>1</v>
      </c>
      <c r="W158" s="25" t="s">
        <v>1</v>
      </c>
      <c r="X158" s="25" t="s">
        <v>1</v>
      </c>
      <c r="Y158" s="25" t="s">
        <v>1</v>
      </c>
      <c r="Z158" s="25" t="s">
        <v>1</v>
      </c>
      <c r="AA158" s="95" t="s">
        <v>2405</v>
      </c>
    </row>
    <row r="159" spans="1:30">
      <c r="A159" s="1">
        <f t="shared" si="2"/>
        <v>155</v>
      </c>
      <c r="B159" s="1" t="s">
        <v>367</v>
      </c>
      <c r="C159" s="26" t="s">
        <v>1720</v>
      </c>
      <c r="D159" s="3">
        <v>100</v>
      </c>
      <c r="E159" s="1" t="s">
        <v>7</v>
      </c>
      <c r="F159" s="3">
        <v>27.5</v>
      </c>
      <c r="G159" s="4">
        <v>44181</v>
      </c>
      <c r="H159" s="1" t="s">
        <v>3212</v>
      </c>
      <c r="I159" s="1" t="s">
        <v>3211</v>
      </c>
      <c r="J159" s="1" t="s">
        <v>2351</v>
      </c>
      <c r="K159" s="1" t="s">
        <v>3086</v>
      </c>
      <c r="L159" s="1">
        <v>2017</v>
      </c>
      <c r="M159" s="1" t="s">
        <v>3210</v>
      </c>
      <c r="N159" s="1" t="s">
        <v>3209</v>
      </c>
      <c r="O159" s="25" t="s">
        <v>5</v>
      </c>
      <c r="P159" s="25">
        <v>10.7</v>
      </c>
      <c r="Q159" s="25" t="s">
        <v>3208</v>
      </c>
      <c r="R159" s="25" t="s">
        <v>1</v>
      </c>
      <c r="S159" s="25" t="s">
        <v>1</v>
      </c>
      <c r="T159" s="25" t="s">
        <v>1</v>
      </c>
      <c r="U159" s="25" t="s">
        <v>1</v>
      </c>
      <c r="V159" s="25" t="s">
        <v>1</v>
      </c>
      <c r="W159" s="25" t="s">
        <v>1</v>
      </c>
      <c r="X159" s="25" t="s">
        <v>1</v>
      </c>
      <c r="Y159" s="25" t="s">
        <v>1</v>
      </c>
      <c r="Z159" s="25" t="s">
        <v>1</v>
      </c>
      <c r="AA159" s="95" t="s">
        <v>2194</v>
      </c>
    </row>
    <row r="160" spans="1:30">
      <c r="A160" s="1">
        <f t="shared" si="2"/>
        <v>156</v>
      </c>
      <c r="B160" s="1" t="s">
        <v>3207</v>
      </c>
      <c r="C160" s="26" t="s">
        <v>1720</v>
      </c>
      <c r="D160" s="3">
        <v>100</v>
      </c>
      <c r="E160" s="1" t="s">
        <v>5</v>
      </c>
      <c r="F160" s="3">
        <v>27</v>
      </c>
      <c r="G160" s="31">
        <v>44299</v>
      </c>
      <c r="H160" s="1" t="s">
        <v>3206</v>
      </c>
      <c r="J160" s="1" t="s">
        <v>2616</v>
      </c>
      <c r="K160" s="1" t="s">
        <v>3205</v>
      </c>
      <c r="L160" s="1">
        <v>2021</v>
      </c>
      <c r="N160" s="1" t="s">
        <v>1</v>
      </c>
      <c r="O160" s="1" t="s">
        <v>1</v>
      </c>
      <c r="P160" s="1" t="s">
        <v>1</v>
      </c>
      <c r="Q160" s="1" t="s">
        <v>1</v>
      </c>
      <c r="R160" s="1" t="s">
        <v>1</v>
      </c>
      <c r="S160" s="1" t="s">
        <v>1</v>
      </c>
      <c r="T160" s="1" t="s">
        <v>1</v>
      </c>
      <c r="U160" s="1" t="s">
        <v>1</v>
      </c>
      <c r="V160" s="1" t="s">
        <v>1</v>
      </c>
      <c r="W160" s="1" t="s">
        <v>1</v>
      </c>
      <c r="X160" s="1" t="s">
        <v>1</v>
      </c>
      <c r="Y160" s="1" t="s">
        <v>1</v>
      </c>
      <c r="Z160" s="1" t="s">
        <v>1</v>
      </c>
      <c r="AA160" s="95" t="s">
        <v>3204</v>
      </c>
    </row>
    <row r="161" spans="1:30" s="12" customFormat="1">
      <c r="A161" s="12">
        <f t="shared" si="2"/>
        <v>157</v>
      </c>
      <c r="B161" s="12" t="s">
        <v>3203</v>
      </c>
      <c r="C161" s="35" t="s">
        <v>1720</v>
      </c>
      <c r="D161" s="15">
        <v>100</v>
      </c>
      <c r="E161" s="12" t="s">
        <v>7</v>
      </c>
      <c r="F161" s="15">
        <v>27</v>
      </c>
      <c r="G161" s="14">
        <v>44882</v>
      </c>
      <c r="H161" s="12" t="s">
        <v>3202</v>
      </c>
      <c r="I161" s="12" t="s">
        <v>3201</v>
      </c>
      <c r="J161" s="12" t="s">
        <v>2351</v>
      </c>
      <c r="K161" s="12" t="s">
        <v>2333</v>
      </c>
      <c r="L161" s="12">
        <v>2016</v>
      </c>
      <c r="N161" s="12" t="s">
        <v>3200</v>
      </c>
      <c r="O161" s="24" t="s">
        <v>5</v>
      </c>
      <c r="P161" s="24">
        <v>11</v>
      </c>
      <c r="Q161" s="24" t="s">
        <v>3199</v>
      </c>
      <c r="R161" s="24" t="s">
        <v>4</v>
      </c>
      <c r="S161" s="24" t="s">
        <v>1</v>
      </c>
      <c r="T161" s="24" t="s">
        <v>3198</v>
      </c>
      <c r="U161" s="24" t="s">
        <v>1</v>
      </c>
      <c r="V161" s="24" t="s">
        <v>1</v>
      </c>
      <c r="W161" s="24" t="s">
        <v>1</v>
      </c>
      <c r="X161" s="24" t="s">
        <v>1</v>
      </c>
      <c r="Y161" s="24" t="s">
        <v>1</v>
      </c>
      <c r="Z161" s="24" t="s">
        <v>1</v>
      </c>
      <c r="AA161" s="12" t="s">
        <v>2405</v>
      </c>
      <c r="AC161" s="110"/>
      <c r="AD161" s="102"/>
    </row>
    <row r="162" spans="1:30">
      <c r="A162" s="1">
        <f t="shared" si="2"/>
        <v>158</v>
      </c>
      <c r="B162" s="1" t="s">
        <v>1015</v>
      </c>
      <c r="C162" s="26" t="s">
        <v>1720</v>
      </c>
      <c r="D162" s="3">
        <v>100</v>
      </c>
      <c r="E162" s="1" t="s">
        <v>5</v>
      </c>
      <c r="F162" s="3">
        <v>25</v>
      </c>
      <c r="G162" s="4">
        <v>44699</v>
      </c>
      <c r="H162" s="1" t="s">
        <v>3197</v>
      </c>
      <c r="I162" s="1" t="s">
        <v>3196</v>
      </c>
      <c r="J162" s="1" t="s">
        <v>2616</v>
      </c>
      <c r="K162" s="1" t="s">
        <v>2093</v>
      </c>
      <c r="L162" s="43" t="s">
        <v>3035</v>
      </c>
      <c r="N162" s="1" t="s">
        <v>3195</v>
      </c>
      <c r="O162" s="1" t="s">
        <v>1</v>
      </c>
      <c r="P162" s="1" t="s">
        <v>1</v>
      </c>
      <c r="Q162" s="1" t="s">
        <v>1</v>
      </c>
      <c r="R162" s="1" t="s">
        <v>1</v>
      </c>
      <c r="S162" s="1" t="s">
        <v>1</v>
      </c>
      <c r="T162" s="1" t="s">
        <v>1</v>
      </c>
      <c r="U162" s="1" t="s">
        <v>1</v>
      </c>
      <c r="V162" s="1" t="s">
        <v>1</v>
      </c>
      <c r="W162" s="1" t="s">
        <v>1</v>
      </c>
      <c r="X162" s="1" t="s">
        <v>1</v>
      </c>
      <c r="Y162" s="1" t="s">
        <v>1</v>
      </c>
      <c r="Z162" s="1" t="s">
        <v>1</v>
      </c>
      <c r="AA162" s="95" t="s">
        <v>2405</v>
      </c>
    </row>
    <row r="163" spans="1:30">
      <c r="A163" s="1">
        <f t="shared" si="2"/>
        <v>159</v>
      </c>
      <c r="B163" s="1" t="s">
        <v>1100</v>
      </c>
      <c r="C163" s="26" t="s">
        <v>1720</v>
      </c>
      <c r="D163" s="3">
        <v>100</v>
      </c>
      <c r="E163" s="1" t="s">
        <v>5</v>
      </c>
      <c r="F163" s="3">
        <v>25</v>
      </c>
      <c r="G163" s="4">
        <v>44679</v>
      </c>
      <c r="H163" s="1" t="s">
        <v>3194</v>
      </c>
      <c r="I163" s="1" t="s">
        <v>3193</v>
      </c>
      <c r="J163" s="1" t="s">
        <v>2616</v>
      </c>
      <c r="K163" s="1" t="s">
        <v>2093</v>
      </c>
      <c r="L163" s="1">
        <v>2021</v>
      </c>
      <c r="N163" s="1" t="s">
        <v>3192</v>
      </c>
      <c r="O163" s="25" t="s">
        <v>4</v>
      </c>
      <c r="P163" s="25">
        <v>3</v>
      </c>
      <c r="Q163" s="25" t="s">
        <v>3191</v>
      </c>
      <c r="R163" s="1" t="s">
        <v>1</v>
      </c>
      <c r="S163" s="1" t="s">
        <v>1</v>
      </c>
      <c r="T163" s="1" t="s">
        <v>1</v>
      </c>
      <c r="U163" s="1" t="s">
        <v>1</v>
      </c>
      <c r="V163" s="1" t="s">
        <v>1</v>
      </c>
      <c r="W163" s="1" t="s">
        <v>1</v>
      </c>
      <c r="X163" s="1" t="s">
        <v>1</v>
      </c>
      <c r="Y163" s="1" t="s">
        <v>1</v>
      </c>
      <c r="Z163" s="1" t="s">
        <v>1</v>
      </c>
      <c r="AA163" s="95" t="s">
        <v>3190</v>
      </c>
    </row>
    <row r="164" spans="1:30">
      <c r="A164" s="1">
        <f t="shared" si="2"/>
        <v>160</v>
      </c>
      <c r="B164" s="1" t="s">
        <v>3189</v>
      </c>
      <c r="C164" s="26" t="s">
        <v>1720</v>
      </c>
      <c r="D164" s="3">
        <v>100</v>
      </c>
      <c r="E164" s="1" t="s">
        <v>5</v>
      </c>
      <c r="F164" s="3">
        <v>25</v>
      </c>
      <c r="G164" s="31">
        <v>44404</v>
      </c>
      <c r="H164" s="1" t="s">
        <v>3188</v>
      </c>
      <c r="I164" s="1" t="s">
        <v>3187</v>
      </c>
      <c r="J164" s="1" t="s">
        <v>2616</v>
      </c>
      <c r="K164" s="1" t="s">
        <v>2093</v>
      </c>
      <c r="L164" s="34">
        <v>43435</v>
      </c>
      <c r="N164" s="45" t="s">
        <v>3186</v>
      </c>
      <c r="O164" s="25" t="s">
        <v>4</v>
      </c>
      <c r="P164" s="25">
        <v>6</v>
      </c>
      <c r="Q164" s="25" t="s">
        <v>3185</v>
      </c>
      <c r="R164" s="25" t="s">
        <v>1</v>
      </c>
      <c r="S164" s="1" t="s">
        <v>1</v>
      </c>
      <c r="T164" s="1" t="s">
        <v>1</v>
      </c>
      <c r="U164" s="1" t="s">
        <v>1</v>
      </c>
      <c r="V164" s="1" t="s">
        <v>1</v>
      </c>
      <c r="W164" s="1" t="s">
        <v>1</v>
      </c>
      <c r="X164" s="1" t="s">
        <v>1</v>
      </c>
      <c r="Y164" s="1" t="s">
        <v>1</v>
      </c>
      <c r="Z164" s="1" t="s">
        <v>1</v>
      </c>
      <c r="AA164" s="95" t="s">
        <v>2187</v>
      </c>
    </row>
    <row r="165" spans="1:30">
      <c r="A165" s="1">
        <f t="shared" si="2"/>
        <v>161</v>
      </c>
      <c r="B165" s="1" t="s">
        <v>941</v>
      </c>
      <c r="C165" s="26" t="s">
        <v>1720</v>
      </c>
      <c r="D165" s="3">
        <v>100</v>
      </c>
      <c r="E165" s="1" t="s">
        <v>5</v>
      </c>
      <c r="F165" s="3">
        <v>25</v>
      </c>
      <c r="G165" s="4">
        <v>44944</v>
      </c>
      <c r="H165" s="1" t="s">
        <v>3184</v>
      </c>
      <c r="I165" s="1" t="s">
        <v>3183</v>
      </c>
      <c r="J165" s="1" t="s">
        <v>2082</v>
      </c>
      <c r="K165" s="1" t="s">
        <v>2568</v>
      </c>
      <c r="L165" s="44" t="s">
        <v>3182</v>
      </c>
      <c r="N165" s="1" t="s">
        <v>3181</v>
      </c>
      <c r="O165" s="25" t="s">
        <v>4</v>
      </c>
      <c r="P165" s="25">
        <v>5</v>
      </c>
      <c r="Q165" s="25" t="s">
        <v>995</v>
      </c>
      <c r="R165" s="25" t="s">
        <v>285</v>
      </c>
      <c r="S165" s="25">
        <v>3</v>
      </c>
      <c r="T165" s="25" t="s">
        <v>1</v>
      </c>
      <c r="U165" s="1" t="s">
        <v>1</v>
      </c>
      <c r="V165" s="1" t="s">
        <v>1</v>
      </c>
      <c r="W165" s="1" t="s">
        <v>1</v>
      </c>
      <c r="X165" s="1" t="s">
        <v>1</v>
      </c>
      <c r="Y165" s="1" t="s">
        <v>1</v>
      </c>
      <c r="Z165" s="1" t="s">
        <v>1</v>
      </c>
      <c r="AA165" s="95" t="s">
        <v>2115</v>
      </c>
    </row>
    <row r="166" spans="1:30">
      <c r="A166" s="1">
        <f t="shared" si="2"/>
        <v>162</v>
      </c>
      <c r="B166" s="1" t="s">
        <v>872</v>
      </c>
      <c r="C166" s="26" t="s">
        <v>1720</v>
      </c>
      <c r="D166" s="3">
        <v>100</v>
      </c>
      <c r="E166" s="1" t="s">
        <v>7</v>
      </c>
      <c r="F166" s="3">
        <v>25</v>
      </c>
      <c r="G166" s="4">
        <v>44636</v>
      </c>
      <c r="H166" s="1" t="s">
        <v>3180</v>
      </c>
      <c r="I166" s="1" t="s">
        <v>3179</v>
      </c>
      <c r="J166" s="1" t="s">
        <v>2616</v>
      </c>
      <c r="K166" s="1" t="s">
        <v>2093</v>
      </c>
      <c r="L166" s="44" t="s">
        <v>3035</v>
      </c>
      <c r="N166" s="1" t="s">
        <v>3178</v>
      </c>
      <c r="O166" s="25" t="s">
        <v>5</v>
      </c>
      <c r="P166" s="25">
        <v>12.2</v>
      </c>
      <c r="Q166" s="25" t="s">
        <v>3177</v>
      </c>
      <c r="R166" s="25" t="s">
        <v>4</v>
      </c>
      <c r="S166" s="25">
        <v>5.0999999999999996</v>
      </c>
      <c r="T166" s="25" t="s">
        <v>3176</v>
      </c>
      <c r="U166" s="25" t="s">
        <v>1</v>
      </c>
      <c r="V166" s="1" t="s">
        <v>1</v>
      </c>
      <c r="W166" s="1" t="s">
        <v>1</v>
      </c>
      <c r="X166" s="1" t="s">
        <v>1</v>
      </c>
      <c r="Y166" s="1" t="s">
        <v>1</v>
      </c>
      <c r="Z166" s="1" t="s">
        <v>1</v>
      </c>
      <c r="AA166" s="95" t="s">
        <v>3175</v>
      </c>
    </row>
    <row r="167" spans="1:30">
      <c r="A167" s="1">
        <f t="shared" si="2"/>
        <v>163</v>
      </c>
      <c r="B167" s="1" t="s">
        <v>1001</v>
      </c>
      <c r="C167" s="26" t="s">
        <v>1720</v>
      </c>
      <c r="D167" s="3">
        <v>100</v>
      </c>
      <c r="E167" s="1" t="s">
        <v>5</v>
      </c>
      <c r="F167" s="3">
        <v>25</v>
      </c>
      <c r="G167" s="4">
        <v>44615</v>
      </c>
      <c r="H167" s="1" t="s">
        <v>3174</v>
      </c>
      <c r="I167" s="1" t="s">
        <v>3173</v>
      </c>
      <c r="J167" s="1" t="s">
        <v>2616</v>
      </c>
      <c r="K167" s="1" t="s">
        <v>2093</v>
      </c>
      <c r="L167" s="44">
        <v>43709</v>
      </c>
      <c r="N167" s="1" t="s">
        <v>3172</v>
      </c>
      <c r="O167" s="25" t="s">
        <v>4</v>
      </c>
      <c r="P167" s="25">
        <v>5</v>
      </c>
      <c r="Q167" s="25" t="s">
        <v>3171</v>
      </c>
      <c r="R167" s="25" t="s">
        <v>1</v>
      </c>
      <c r="S167" s="25" t="s">
        <v>1</v>
      </c>
      <c r="T167" s="25" t="s">
        <v>1</v>
      </c>
      <c r="U167" s="25" t="s">
        <v>1</v>
      </c>
      <c r="V167" s="25" t="s">
        <v>1</v>
      </c>
      <c r="W167" s="25" t="s">
        <v>1</v>
      </c>
      <c r="X167" s="25" t="s">
        <v>1</v>
      </c>
      <c r="Y167" s="25" t="s">
        <v>1</v>
      </c>
      <c r="Z167" s="25" t="s">
        <v>1</v>
      </c>
      <c r="AA167" s="95" t="s">
        <v>2115</v>
      </c>
    </row>
    <row r="168" spans="1:30">
      <c r="A168" s="1">
        <f t="shared" si="2"/>
        <v>164</v>
      </c>
      <c r="B168" s="1" t="s">
        <v>462</v>
      </c>
      <c r="C168" s="26" t="s">
        <v>1720</v>
      </c>
      <c r="D168" s="3">
        <v>100</v>
      </c>
      <c r="E168" s="1" t="s">
        <v>7</v>
      </c>
      <c r="F168" s="3">
        <v>25</v>
      </c>
      <c r="G168" s="31">
        <v>43972</v>
      </c>
      <c r="H168" s="1" t="s">
        <v>2375</v>
      </c>
      <c r="I168" s="1" t="s">
        <v>3170</v>
      </c>
      <c r="J168" s="1" t="s">
        <v>2082</v>
      </c>
      <c r="K168" s="1" t="s">
        <v>2375</v>
      </c>
      <c r="L168" s="1">
        <v>2016</v>
      </c>
      <c r="N168" s="1" t="s">
        <v>3169</v>
      </c>
      <c r="O168" s="25" t="s">
        <v>5</v>
      </c>
      <c r="P168" s="25">
        <v>11.5</v>
      </c>
      <c r="Q168" s="25" t="s">
        <v>1077</v>
      </c>
      <c r="R168" s="25" t="s">
        <v>1</v>
      </c>
      <c r="S168" s="25" t="s">
        <v>1</v>
      </c>
      <c r="T168" s="25" t="s">
        <v>1</v>
      </c>
      <c r="U168" s="25" t="s">
        <v>1</v>
      </c>
      <c r="V168" s="25" t="s">
        <v>1</v>
      </c>
      <c r="W168" s="25" t="s">
        <v>1</v>
      </c>
      <c r="X168" s="25" t="s">
        <v>1</v>
      </c>
      <c r="Y168" s="25" t="s">
        <v>1</v>
      </c>
      <c r="Z168" s="25" t="s">
        <v>1</v>
      </c>
      <c r="AA168" s="95" t="s">
        <v>2320</v>
      </c>
    </row>
    <row r="169" spans="1:30">
      <c r="A169" s="1">
        <f t="shared" si="2"/>
        <v>165</v>
      </c>
      <c r="B169" s="1" t="s">
        <v>747</v>
      </c>
      <c r="C169" s="26" t="s">
        <v>1720</v>
      </c>
      <c r="D169" s="3">
        <v>100</v>
      </c>
      <c r="E169" s="1" t="s">
        <v>7</v>
      </c>
      <c r="F169" s="3">
        <v>25</v>
      </c>
      <c r="G169" s="4">
        <v>44764</v>
      </c>
      <c r="H169" s="1" t="s">
        <v>3168</v>
      </c>
      <c r="I169" s="1" t="s">
        <v>3167</v>
      </c>
      <c r="J169" s="1" t="s">
        <v>2616</v>
      </c>
      <c r="K169" s="1" t="s">
        <v>2093</v>
      </c>
      <c r="L169" s="44" t="s">
        <v>3035</v>
      </c>
      <c r="N169" s="25" t="s">
        <v>3166</v>
      </c>
      <c r="O169" s="25" t="s">
        <v>5</v>
      </c>
      <c r="P169" s="25">
        <v>21</v>
      </c>
      <c r="Q169" s="25" t="s">
        <v>3165</v>
      </c>
      <c r="R169" s="25" t="s">
        <v>4</v>
      </c>
      <c r="S169" s="25">
        <v>9.1</v>
      </c>
      <c r="T169" s="25" t="s">
        <v>3164</v>
      </c>
      <c r="U169" s="25" t="s">
        <v>1</v>
      </c>
      <c r="V169" s="25" t="s">
        <v>1</v>
      </c>
      <c r="W169" s="25" t="s">
        <v>1</v>
      </c>
      <c r="X169" s="25" t="s">
        <v>1</v>
      </c>
      <c r="Y169" s="25" t="s">
        <v>1</v>
      </c>
      <c r="Z169" s="25" t="s">
        <v>1</v>
      </c>
      <c r="AA169" s="95" t="s">
        <v>2115</v>
      </c>
    </row>
    <row r="170" spans="1:30">
      <c r="A170" s="1">
        <f t="shared" si="2"/>
        <v>166</v>
      </c>
      <c r="B170" s="1" t="s">
        <v>133</v>
      </c>
      <c r="C170" s="26" t="s">
        <v>1720</v>
      </c>
      <c r="D170" s="3">
        <v>100</v>
      </c>
      <c r="E170" s="1" t="s">
        <v>7</v>
      </c>
      <c r="F170" s="3">
        <v>23.5</v>
      </c>
      <c r="G170" s="4">
        <v>45008</v>
      </c>
      <c r="H170" s="1" t="s">
        <v>3163</v>
      </c>
      <c r="I170" s="1" t="s">
        <v>3162</v>
      </c>
      <c r="J170" s="1" t="s">
        <v>2082</v>
      </c>
      <c r="K170" s="1" t="s">
        <v>3161</v>
      </c>
      <c r="L170" s="1">
        <v>2019</v>
      </c>
      <c r="N170" s="1" t="s">
        <v>3160</v>
      </c>
      <c r="O170" s="25" t="s">
        <v>5</v>
      </c>
      <c r="P170" s="25">
        <v>16</v>
      </c>
      <c r="Q170" s="25" t="s">
        <v>3159</v>
      </c>
      <c r="R170" s="25" t="s">
        <v>4</v>
      </c>
      <c r="S170" s="25">
        <v>5</v>
      </c>
      <c r="T170" s="25" t="s">
        <v>3158</v>
      </c>
      <c r="U170" s="25" t="s">
        <v>1</v>
      </c>
      <c r="V170" s="25" t="s">
        <v>1</v>
      </c>
      <c r="W170" s="25" t="s">
        <v>1</v>
      </c>
      <c r="X170" s="25" t="s">
        <v>1</v>
      </c>
      <c r="Y170" s="25" t="s">
        <v>1</v>
      </c>
      <c r="Z170" s="25" t="s">
        <v>1</v>
      </c>
      <c r="AA170" s="95" t="s">
        <v>2194</v>
      </c>
      <c r="AB170" s="28" t="s">
        <v>3157</v>
      </c>
      <c r="AC170" s="109"/>
      <c r="AD170" s="101"/>
    </row>
    <row r="171" spans="1:30">
      <c r="A171" s="1">
        <f t="shared" si="2"/>
        <v>167</v>
      </c>
      <c r="B171" s="1" t="s">
        <v>670</v>
      </c>
      <c r="C171" s="26" t="s">
        <v>1720</v>
      </c>
      <c r="D171" s="3">
        <v>100</v>
      </c>
      <c r="E171" s="1" t="s">
        <v>4</v>
      </c>
      <c r="F171" s="3">
        <v>25</v>
      </c>
      <c r="G171" s="4">
        <v>44873</v>
      </c>
      <c r="H171" s="1" t="s">
        <v>3156</v>
      </c>
      <c r="I171" s="1" t="s">
        <v>3155</v>
      </c>
      <c r="J171" s="1" t="s">
        <v>3154</v>
      </c>
      <c r="K171" s="1" t="s">
        <v>3154</v>
      </c>
      <c r="L171" s="1">
        <v>2022</v>
      </c>
      <c r="M171" s="1" t="s">
        <v>3153</v>
      </c>
      <c r="N171" s="1" t="s">
        <v>3152</v>
      </c>
      <c r="O171" s="25" t="s">
        <v>1</v>
      </c>
      <c r="P171" s="25" t="s">
        <v>1</v>
      </c>
      <c r="Q171" s="25" t="s">
        <v>1</v>
      </c>
      <c r="R171" s="25" t="s">
        <v>1</v>
      </c>
      <c r="S171" s="25" t="s">
        <v>1</v>
      </c>
      <c r="T171" s="25" t="s">
        <v>1</v>
      </c>
      <c r="U171" s="25" t="s">
        <v>1</v>
      </c>
      <c r="V171" s="25" t="s">
        <v>1</v>
      </c>
      <c r="W171" s="25" t="s">
        <v>1</v>
      </c>
      <c r="X171" s="25" t="s">
        <v>1</v>
      </c>
      <c r="Y171" s="25" t="s">
        <v>1</v>
      </c>
      <c r="Z171" s="25" t="s">
        <v>1</v>
      </c>
      <c r="AA171" s="95" t="s">
        <v>2132</v>
      </c>
    </row>
    <row r="172" spans="1:30">
      <c r="A172" s="1">
        <f t="shared" si="2"/>
        <v>168</v>
      </c>
      <c r="B172" s="1" t="s">
        <v>742</v>
      </c>
      <c r="C172" s="26" t="s">
        <v>1720</v>
      </c>
      <c r="D172" s="3">
        <v>100</v>
      </c>
      <c r="E172" s="1" t="s">
        <v>5</v>
      </c>
      <c r="F172" s="3">
        <v>25</v>
      </c>
      <c r="G172" s="4">
        <v>44757</v>
      </c>
      <c r="H172" s="1" t="s">
        <v>3151</v>
      </c>
      <c r="J172" s="1" t="s">
        <v>2082</v>
      </c>
      <c r="K172" s="1" t="s">
        <v>3150</v>
      </c>
      <c r="L172" s="44" t="s">
        <v>3035</v>
      </c>
      <c r="N172" s="1" t="s">
        <v>3149</v>
      </c>
      <c r="O172" s="25" t="s">
        <v>4</v>
      </c>
      <c r="P172" s="25">
        <v>4</v>
      </c>
      <c r="Q172" s="25" t="s">
        <v>3148</v>
      </c>
      <c r="R172" s="25" t="s">
        <v>4</v>
      </c>
      <c r="S172" s="25">
        <v>1.5</v>
      </c>
      <c r="T172" s="25" t="s">
        <v>3147</v>
      </c>
      <c r="U172" s="25" t="s">
        <v>1</v>
      </c>
      <c r="V172" s="25" t="s">
        <v>1</v>
      </c>
      <c r="W172" s="25" t="s">
        <v>1</v>
      </c>
      <c r="X172" s="25" t="s">
        <v>1</v>
      </c>
      <c r="Y172" s="25" t="s">
        <v>1</v>
      </c>
      <c r="Z172" s="25" t="s">
        <v>1</v>
      </c>
      <c r="AA172" s="95" t="s">
        <v>2953</v>
      </c>
    </row>
    <row r="173" spans="1:30">
      <c r="A173" s="1">
        <f t="shared" si="2"/>
        <v>169</v>
      </c>
      <c r="B173" s="1" t="s">
        <v>3146</v>
      </c>
      <c r="C173" s="26" t="s">
        <v>1720</v>
      </c>
      <c r="D173" s="3">
        <v>100</v>
      </c>
      <c r="E173" s="1" t="s">
        <v>4</v>
      </c>
      <c r="F173" s="3">
        <v>22.4</v>
      </c>
      <c r="G173" s="4">
        <v>44553</v>
      </c>
      <c r="H173" s="1" t="s">
        <v>3145</v>
      </c>
      <c r="I173" s="1" t="s">
        <v>3144</v>
      </c>
      <c r="J173" s="1" t="s">
        <v>2082</v>
      </c>
      <c r="K173" s="1" t="s">
        <v>3143</v>
      </c>
      <c r="L173" s="1">
        <v>2019</v>
      </c>
      <c r="N173" s="1" t="s">
        <v>3142</v>
      </c>
      <c r="O173" s="25" t="s">
        <v>1</v>
      </c>
      <c r="P173" s="25" t="s">
        <v>1</v>
      </c>
      <c r="Q173" s="25" t="s">
        <v>1</v>
      </c>
      <c r="R173" s="25" t="s">
        <v>1</v>
      </c>
      <c r="S173" s="25" t="s">
        <v>1</v>
      </c>
      <c r="T173" s="25" t="s">
        <v>1</v>
      </c>
      <c r="U173" s="25" t="s">
        <v>1</v>
      </c>
      <c r="V173" s="25" t="s">
        <v>1</v>
      </c>
      <c r="W173" s="25" t="s">
        <v>1</v>
      </c>
      <c r="X173" s="25" t="s">
        <v>1</v>
      </c>
      <c r="Y173" s="25" t="s">
        <v>1</v>
      </c>
      <c r="Z173" s="25" t="s">
        <v>1</v>
      </c>
      <c r="AA173" s="95" t="s">
        <v>2206</v>
      </c>
    </row>
    <row r="174" spans="1:30">
      <c r="A174" s="1">
        <f t="shared" si="2"/>
        <v>170</v>
      </c>
      <c r="B174" s="1" t="s">
        <v>3141</v>
      </c>
      <c r="C174" s="26" t="s">
        <v>1720</v>
      </c>
      <c r="D174" s="3">
        <v>100</v>
      </c>
      <c r="E174" s="1" t="s">
        <v>5</v>
      </c>
      <c r="F174" s="3">
        <v>21</v>
      </c>
      <c r="G174" s="31">
        <v>44295</v>
      </c>
      <c r="H174" s="1" t="s">
        <v>3140</v>
      </c>
      <c r="I174" s="1" t="s">
        <v>3139</v>
      </c>
      <c r="J174" s="1" t="s">
        <v>2082</v>
      </c>
      <c r="K174" s="1" t="s">
        <v>2099</v>
      </c>
      <c r="L174" s="44">
        <v>43282</v>
      </c>
      <c r="N174" s="1" t="s">
        <v>1</v>
      </c>
      <c r="O174" s="25" t="s">
        <v>4</v>
      </c>
      <c r="P174" s="25" t="s">
        <v>1</v>
      </c>
      <c r="Q174" s="25" t="s">
        <v>3138</v>
      </c>
      <c r="R174" s="25" t="s">
        <v>1</v>
      </c>
      <c r="S174" s="25" t="s">
        <v>1</v>
      </c>
      <c r="T174" s="25" t="s">
        <v>1</v>
      </c>
      <c r="U174" s="25" t="s">
        <v>1</v>
      </c>
      <c r="V174" s="25" t="s">
        <v>1</v>
      </c>
      <c r="W174" s="25" t="s">
        <v>1</v>
      </c>
      <c r="X174" s="25" t="s">
        <v>1</v>
      </c>
      <c r="Y174" s="25" t="s">
        <v>1</v>
      </c>
      <c r="Z174" s="25" t="s">
        <v>1</v>
      </c>
      <c r="AA174" s="95" t="s">
        <v>2187</v>
      </c>
    </row>
    <row r="175" spans="1:30">
      <c r="A175" s="1">
        <f t="shared" si="2"/>
        <v>171</v>
      </c>
      <c r="B175" s="1" t="s">
        <v>97</v>
      </c>
      <c r="C175" s="26" t="s">
        <v>1720</v>
      </c>
      <c r="D175" s="3">
        <v>100</v>
      </c>
      <c r="E175" s="1" t="s">
        <v>7</v>
      </c>
      <c r="F175" s="3">
        <v>25</v>
      </c>
      <c r="G175" s="4">
        <v>43783</v>
      </c>
      <c r="H175" s="1" t="s">
        <v>3137</v>
      </c>
      <c r="I175" s="1" t="s">
        <v>3136</v>
      </c>
      <c r="J175" s="1" t="s">
        <v>2082</v>
      </c>
      <c r="K175" s="1" t="s">
        <v>2099</v>
      </c>
      <c r="L175" s="1">
        <v>2014</v>
      </c>
      <c r="N175" s="1" t="s">
        <v>3135</v>
      </c>
      <c r="O175" s="25" t="s">
        <v>7</v>
      </c>
      <c r="P175" s="25">
        <v>15</v>
      </c>
      <c r="Q175" s="25" t="s">
        <v>3134</v>
      </c>
      <c r="R175" s="25" t="s">
        <v>5</v>
      </c>
      <c r="S175" s="25">
        <v>10</v>
      </c>
      <c r="T175" s="25" t="s">
        <v>3133</v>
      </c>
      <c r="U175" s="25" t="s">
        <v>4</v>
      </c>
      <c r="V175" s="25">
        <v>5</v>
      </c>
      <c r="W175" s="25" t="s">
        <v>3132</v>
      </c>
      <c r="X175" s="25" t="s">
        <v>1</v>
      </c>
      <c r="Y175" s="25" t="s">
        <v>1</v>
      </c>
      <c r="Z175" s="25" t="s">
        <v>1</v>
      </c>
      <c r="AA175" s="95" t="s">
        <v>2085</v>
      </c>
      <c r="AB175" s="28" t="s">
        <v>3131</v>
      </c>
      <c r="AC175" s="109"/>
      <c r="AD175" s="101"/>
    </row>
    <row r="176" spans="1:30">
      <c r="A176" s="1">
        <f t="shared" si="2"/>
        <v>172</v>
      </c>
      <c r="B176" s="1" t="s">
        <v>3130</v>
      </c>
      <c r="C176" s="26" t="s">
        <v>1720</v>
      </c>
      <c r="D176" s="3">
        <v>100</v>
      </c>
      <c r="E176" s="1" t="s">
        <v>5</v>
      </c>
      <c r="F176" s="3">
        <v>20</v>
      </c>
      <c r="G176" s="4">
        <v>43818</v>
      </c>
      <c r="H176" s="1" t="s">
        <v>2930</v>
      </c>
      <c r="I176" s="1" t="s">
        <v>3129</v>
      </c>
      <c r="J176" s="1" t="s">
        <v>2082</v>
      </c>
      <c r="K176" s="1" t="s">
        <v>2903</v>
      </c>
      <c r="L176" s="1">
        <v>2013</v>
      </c>
      <c r="N176" s="1" t="s">
        <v>3128</v>
      </c>
      <c r="O176" s="25" t="s">
        <v>1</v>
      </c>
      <c r="P176" s="25" t="s">
        <v>1</v>
      </c>
      <c r="Q176" s="25" t="s">
        <v>1</v>
      </c>
      <c r="R176" s="25" t="s">
        <v>1</v>
      </c>
      <c r="S176" s="25" t="s">
        <v>1</v>
      </c>
      <c r="T176" s="25" t="s">
        <v>1</v>
      </c>
      <c r="U176" s="25" t="s">
        <v>1</v>
      </c>
      <c r="V176" s="25" t="s">
        <v>1</v>
      </c>
      <c r="W176" s="25" t="s">
        <v>1</v>
      </c>
      <c r="X176" s="25" t="s">
        <v>1</v>
      </c>
      <c r="Y176" s="25" t="s">
        <v>1</v>
      </c>
      <c r="Z176" s="25" t="s">
        <v>1</v>
      </c>
      <c r="AA176" s="95" t="s">
        <v>3127</v>
      </c>
    </row>
    <row r="177" spans="1:27">
      <c r="A177" s="1">
        <f t="shared" si="2"/>
        <v>173</v>
      </c>
      <c r="B177" s="1" t="s">
        <v>595</v>
      </c>
      <c r="C177" s="26" t="s">
        <v>1720</v>
      </c>
      <c r="D177" s="3">
        <v>100</v>
      </c>
      <c r="E177" s="1" t="s">
        <v>5</v>
      </c>
      <c r="F177" s="3">
        <v>20</v>
      </c>
      <c r="G177" s="4">
        <v>44801</v>
      </c>
      <c r="H177" s="1" t="s">
        <v>3126</v>
      </c>
      <c r="I177" s="1" t="s">
        <v>3125</v>
      </c>
      <c r="J177" s="1" t="s">
        <v>2082</v>
      </c>
      <c r="K177" s="1" t="s">
        <v>3124</v>
      </c>
      <c r="L177" s="1">
        <v>2021</v>
      </c>
      <c r="N177" s="1" t="s">
        <v>3123</v>
      </c>
      <c r="O177" s="25" t="s">
        <v>285</v>
      </c>
      <c r="P177" s="25">
        <v>0.125</v>
      </c>
      <c r="Q177" s="25" t="s">
        <v>1084</v>
      </c>
      <c r="R177" s="25" t="s">
        <v>1</v>
      </c>
      <c r="S177" s="25" t="s">
        <v>1</v>
      </c>
      <c r="T177" s="25" t="s">
        <v>1</v>
      </c>
      <c r="U177" s="25" t="s">
        <v>1</v>
      </c>
      <c r="V177" s="25" t="s">
        <v>1</v>
      </c>
      <c r="W177" s="25" t="s">
        <v>1</v>
      </c>
      <c r="X177" s="25" t="s">
        <v>1</v>
      </c>
      <c r="Y177" s="25" t="s">
        <v>1</v>
      </c>
      <c r="Z177" s="25" t="s">
        <v>1</v>
      </c>
      <c r="AA177" s="95" t="s">
        <v>2085</v>
      </c>
    </row>
    <row r="178" spans="1:27">
      <c r="A178" s="1">
        <f t="shared" si="2"/>
        <v>174</v>
      </c>
      <c r="B178" s="1" t="s">
        <v>558</v>
      </c>
      <c r="C178" s="26" t="s">
        <v>1720</v>
      </c>
      <c r="D178" s="3">
        <v>100</v>
      </c>
      <c r="E178" s="1" t="s">
        <v>7</v>
      </c>
      <c r="F178" s="3">
        <v>20</v>
      </c>
      <c r="G178" s="4">
        <v>45077</v>
      </c>
      <c r="H178" s="1" t="s">
        <v>3122</v>
      </c>
      <c r="I178" s="1" t="s">
        <v>3121</v>
      </c>
      <c r="J178" s="1" t="s">
        <v>2082</v>
      </c>
      <c r="K178" s="1" t="s">
        <v>2099</v>
      </c>
      <c r="L178" s="1">
        <v>2018</v>
      </c>
      <c r="N178" s="1" t="s">
        <v>3120</v>
      </c>
      <c r="O178" s="25" t="s">
        <v>5</v>
      </c>
      <c r="P178" s="25">
        <v>10.5</v>
      </c>
      <c r="Q178" s="25" t="s">
        <v>3119</v>
      </c>
      <c r="R178" s="25" t="s">
        <v>4</v>
      </c>
      <c r="S178" s="25">
        <v>4</v>
      </c>
      <c r="T178" s="25" t="s">
        <v>3118</v>
      </c>
      <c r="U178" s="25" t="s">
        <v>285</v>
      </c>
      <c r="V178" s="25">
        <v>0.5</v>
      </c>
      <c r="W178" s="25" t="s">
        <v>3117</v>
      </c>
      <c r="X178" s="25" t="s">
        <v>1</v>
      </c>
      <c r="Y178" s="25" t="s">
        <v>1</v>
      </c>
      <c r="Z178" s="25" t="s">
        <v>1</v>
      </c>
      <c r="AA178" s="95" t="s">
        <v>2092</v>
      </c>
    </row>
    <row r="179" spans="1:27">
      <c r="A179" s="1">
        <f t="shared" si="2"/>
        <v>175</v>
      </c>
      <c r="B179" s="1" t="s">
        <v>737</v>
      </c>
      <c r="C179" s="26" t="s">
        <v>1720</v>
      </c>
      <c r="D179" s="3">
        <v>100</v>
      </c>
      <c r="E179" s="1" t="s">
        <v>5</v>
      </c>
      <c r="F179" s="3">
        <v>20</v>
      </c>
      <c r="G179" s="4">
        <v>44676</v>
      </c>
      <c r="H179" s="1" t="s">
        <v>3116</v>
      </c>
      <c r="J179" s="1" t="s">
        <v>2082</v>
      </c>
      <c r="K179" s="1" t="s">
        <v>2345</v>
      </c>
      <c r="L179" s="44" t="s">
        <v>3035</v>
      </c>
      <c r="N179" s="1" t="s">
        <v>3115</v>
      </c>
      <c r="O179" s="25" t="s">
        <v>4</v>
      </c>
      <c r="P179" s="25">
        <v>5</v>
      </c>
      <c r="Q179" s="25" t="s">
        <v>3114</v>
      </c>
      <c r="R179" s="25" t="s">
        <v>285</v>
      </c>
      <c r="S179" s="25" t="s">
        <v>1</v>
      </c>
      <c r="T179" s="25" t="s">
        <v>3113</v>
      </c>
      <c r="U179" s="25" t="s">
        <v>1</v>
      </c>
      <c r="V179" s="25" t="s">
        <v>1</v>
      </c>
      <c r="W179" s="25" t="s">
        <v>1</v>
      </c>
      <c r="X179" s="25" t="s">
        <v>1</v>
      </c>
      <c r="Y179" s="25" t="s">
        <v>1</v>
      </c>
      <c r="Z179" s="25" t="s">
        <v>1</v>
      </c>
      <c r="AA179" s="95" t="s">
        <v>2115</v>
      </c>
    </row>
    <row r="180" spans="1:27">
      <c r="A180" s="1">
        <f t="shared" si="2"/>
        <v>176</v>
      </c>
      <c r="B180" s="1" t="s">
        <v>424</v>
      </c>
      <c r="C180" s="26" t="s">
        <v>1720</v>
      </c>
      <c r="D180" s="3">
        <v>100</v>
      </c>
      <c r="E180" s="1" t="s">
        <v>18</v>
      </c>
      <c r="F180" s="3">
        <v>23</v>
      </c>
      <c r="G180" s="4">
        <v>44328</v>
      </c>
      <c r="H180" s="1" t="s">
        <v>2438</v>
      </c>
      <c r="I180" s="1" t="s">
        <v>3112</v>
      </c>
      <c r="J180" s="1" t="s">
        <v>2082</v>
      </c>
      <c r="K180" s="1" t="s">
        <v>2438</v>
      </c>
      <c r="L180" s="1">
        <v>2013</v>
      </c>
      <c r="N180" s="1" t="s">
        <v>3111</v>
      </c>
      <c r="O180" s="25" t="s">
        <v>7</v>
      </c>
      <c r="P180" s="25">
        <v>16</v>
      </c>
      <c r="Q180" s="25" t="s">
        <v>3110</v>
      </c>
      <c r="R180" s="25" t="s">
        <v>5</v>
      </c>
      <c r="S180" s="25">
        <v>8</v>
      </c>
      <c r="T180" s="25" t="s">
        <v>3109</v>
      </c>
      <c r="U180" s="25" t="s">
        <v>4</v>
      </c>
      <c r="V180" s="25" t="s">
        <v>1</v>
      </c>
      <c r="W180" s="25" t="s">
        <v>3108</v>
      </c>
      <c r="X180" s="25" t="s">
        <v>1</v>
      </c>
      <c r="Y180" s="25" t="s">
        <v>1</v>
      </c>
      <c r="Z180" s="25" t="s">
        <v>1</v>
      </c>
      <c r="AA180" s="95" t="s">
        <v>2085</v>
      </c>
    </row>
    <row r="181" spans="1:27">
      <c r="A181" s="1">
        <f t="shared" si="2"/>
        <v>177</v>
      </c>
      <c r="B181" s="1" t="s">
        <v>665</v>
      </c>
      <c r="C181" s="26" t="s">
        <v>1720</v>
      </c>
      <c r="D181" s="3">
        <v>100</v>
      </c>
      <c r="E181" s="1" t="s">
        <v>4</v>
      </c>
      <c r="F181" s="3">
        <v>12.8</v>
      </c>
      <c r="G181" s="31">
        <v>44601</v>
      </c>
      <c r="H181" s="1" t="s">
        <v>3107</v>
      </c>
      <c r="I181" s="1" t="s">
        <v>3106</v>
      </c>
      <c r="J181" s="1" t="s">
        <v>2358</v>
      </c>
      <c r="K181" s="1" t="s">
        <v>2358</v>
      </c>
      <c r="L181" s="1">
        <v>2021</v>
      </c>
      <c r="M181" s="1" t="s">
        <v>3105</v>
      </c>
      <c r="N181" s="1" t="s">
        <v>3104</v>
      </c>
      <c r="O181" s="25" t="s">
        <v>1</v>
      </c>
      <c r="P181" s="25" t="s">
        <v>1</v>
      </c>
      <c r="Q181" s="25" t="s">
        <v>1</v>
      </c>
      <c r="R181" s="25" t="s">
        <v>1</v>
      </c>
      <c r="S181" s="25" t="s">
        <v>1</v>
      </c>
      <c r="T181" s="25" t="s">
        <v>1</v>
      </c>
      <c r="U181" s="25" t="s">
        <v>1</v>
      </c>
      <c r="V181" s="25" t="s">
        <v>1</v>
      </c>
      <c r="W181" s="25" t="s">
        <v>1</v>
      </c>
      <c r="X181" s="25" t="s">
        <v>1</v>
      </c>
      <c r="Y181" s="25" t="s">
        <v>1</v>
      </c>
      <c r="Z181" s="25" t="s">
        <v>1</v>
      </c>
      <c r="AA181" s="95" t="s">
        <v>2395</v>
      </c>
    </row>
    <row r="182" spans="1:27">
      <c r="A182" s="1">
        <f t="shared" si="2"/>
        <v>178</v>
      </c>
      <c r="B182" s="1" t="s">
        <v>3103</v>
      </c>
      <c r="C182" s="26" t="s">
        <v>1720</v>
      </c>
      <c r="D182" s="3">
        <v>100</v>
      </c>
      <c r="E182" s="1" t="s">
        <v>5</v>
      </c>
      <c r="F182" s="3">
        <v>6.5</v>
      </c>
      <c r="G182" s="4">
        <v>43069</v>
      </c>
      <c r="I182" s="1" t="s">
        <v>3102</v>
      </c>
      <c r="J182" s="1" t="s">
        <v>2351</v>
      </c>
      <c r="K182" s="1" t="s">
        <v>3101</v>
      </c>
      <c r="L182" s="1">
        <v>2017</v>
      </c>
      <c r="N182" s="1" t="s">
        <v>3100</v>
      </c>
      <c r="O182" s="25" t="s">
        <v>5</v>
      </c>
      <c r="P182" s="25">
        <v>4.4000000000000004</v>
      </c>
      <c r="Q182" s="25" t="s">
        <v>3099</v>
      </c>
      <c r="R182" s="25" t="s">
        <v>4</v>
      </c>
      <c r="S182" s="25" t="s">
        <v>1</v>
      </c>
      <c r="T182" s="25" t="s">
        <v>3098</v>
      </c>
      <c r="U182" s="25" t="s">
        <v>1</v>
      </c>
      <c r="V182" s="25" t="s">
        <v>1</v>
      </c>
      <c r="W182" s="25" t="s">
        <v>1</v>
      </c>
      <c r="X182" s="25" t="s">
        <v>1</v>
      </c>
      <c r="Y182" s="25" t="s">
        <v>1</v>
      </c>
      <c r="Z182" s="25" t="s">
        <v>1</v>
      </c>
      <c r="AA182" s="97" t="s">
        <v>1</v>
      </c>
    </row>
    <row r="183" spans="1:27">
      <c r="A183" s="1">
        <f t="shared" si="2"/>
        <v>179</v>
      </c>
      <c r="B183" s="1" t="s">
        <v>901</v>
      </c>
      <c r="C183" s="26" t="s">
        <v>1720</v>
      </c>
      <c r="D183" s="3">
        <v>80</v>
      </c>
      <c r="E183" s="1" t="s">
        <v>5</v>
      </c>
      <c r="F183" s="3">
        <v>20</v>
      </c>
      <c r="G183" s="4">
        <v>45009</v>
      </c>
      <c r="H183" s="1" t="s">
        <v>3097</v>
      </c>
      <c r="I183" s="1" t="s">
        <v>3096</v>
      </c>
      <c r="J183" s="1" t="s">
        <v>2082</v>
      </c>
      <c r="K183" s="1" t="s">
        <v>2751</v>
      </c>
      <c r="L183" s="1">
        <v>2021</v>
      </c>
      <c r="N183" s="1" t="s">
        <v>3095</v>
      </c>
      <c r="O183" s="25" t="s">
        <v>1</v>
      </c>
      <c r="P183" s="25" t="s">
        <v>1</v>
      </c>
      <c r="Q183" s="25" t="s">
        <v>1</v>
      </c>
      <c r="R183" s="25" t="s">
        <v>1</v>
      </c>
      <c r="S183" s="25" t="s">
        <v>1</v>
      </c>
      <c r="T183" s="25" t="s">
        <v>1</v>
      </c>
      <c r="U183" s="25" t="s">
        <v>1</v>
      </c>
      <c r="V183" s="25" t="s">
        <v>1</v>
      </c>
      <c r="W183" s="25" t="s">
        <v>1</v>
      </c>
      <c r="X183" s="25" t="s">
        <v>1</v>
      </c>
      <c r="Y183" s="25" t="s">
        <v>1</v>
      </c>
      <c r="Z183" s="25" t="s">
        <v>1</v>
      </c>
      <c r="AA183" s="95" t="s">
        <v>3094</v>
      </c>
    </row>
    <row r="184" spans="1:27">
      <c r="A184" s="1">
        <f t="shared" si="2"/>
        <v>180</v>
      </c>
      <c r="B184" s="1" t="s">
        <v>570</v>
      </c>
      <c r="C184" s="26" t="s">
        <v>1720</v>
      </c>
      <c r="D184" s="3">
        <v>80</v>
      </c>
      <c r="E184" s="1" t="s">
        <v>5</v>
      </c>
      <c r="F184" s="3">
        <v>20</v>
      </c>
      <c r="G184" s="4">
        <v>44701</v>
      </c>
      <c r="H184" s="1" t="s">
        <v>3093</v>
      </c>
      <c r="I184" s="1" t="s">
        <v>3092</v>
      </c>
      <c r="J184" s="1" t="s">
        <v>2082</v>
      </c>
      <c r="K184" s="1" t="s">
        <v>3091</v>
      </c>
      <c r="L184" s="1">
        <v>2021</v>
      </c>
      <c r="N184" s="1" t="s">
        <v>3090</v>
      </c>
      <c r="O184" s="25" t="s">
        <v>1</v>
      </c>
      <c r="P184" s="25" t="s">
        <v>1</v>
      </c>
      <c r="Q184" s="25" t="s">
        <v>1</v>
      </c>
      <c r="R184" s="25" t="s">
        <v>1</v>
      </c>
      <c r="S184" s="25" t="s">
        <v>1</v>
      </c>
      <c r="T184" s="25" t="s">
        <v>1</v>
      </c>
      <c r="U184" s="25" t="s">
        <v>1</v>
      </c>
      <c r="V184" s="25" t="s">
        <v>1</v>
      </c>
      <c r="W184" s="25" t="s">
        <v>1</v>
      </c>
      <c r="X184" s="25" t="s">
        <v>1</v>
      </c>
      <c r="Y184" s="25" t="s">
        <v>1</v>
      </c>
      <c r="Z184" s="25" t="s">
        <v>1</v>
      </c>
      <c r="AA184" s="95" t="s">
        <v>3089</v>
      </c>
    </row>
    <row r="185" spans="1:27">
      <c r="A185" s="1">
        <f t="shared" si="2"/>
        <v>181</v>
      </c>
      <c r="B185" s="1" t="s">
        <v>3088</v>
      </c>
      <c r="C185" s="26" t="s">
        <v>1720</v>
      </c>
      <c r="D185" s="3">
        <v>80</v>
      </c>
      <c r="E185" s="1" t="s">
        <v>7</v>
      </c>
      <c r="F185" s="3">
        <v>20</v>
      </c>
      <c r="G185" s="4">
        <v>44756</v>
      </c>
      <c r="H185" s="1" t="s">
        <v>2637</v>
      </c>
      <c r="I185" s="1" t="s">
        <v>3087</v>
      </c>
      <c r="J185" s="1" t="s">
        <v>2351</v>
      </c>
      <c r="K185" s="1" t="s">
        <v>3086</v>
      </c>
      <c r="L185" s="1">
        <v>2015</v>
      </c>
      <c r="M185" s="1" t="s">
        <v>3085</v>
      </c>
      <c r="N185" s="1" t="s">
        <v>3084</v>
      </c>
      <c r="O185" s="25" t="s">
        <v>5</v>
      </c>
      <c r="P185" s="25">
        <v>5.5</v>
      </c>
      <c r="Q185" s="25" t="s">
        <v>3083</v>
      </c>
      <c r="R185" s="25" t="s">
        <v>4</v>
      </c>
      <c r="S185" s="25">
        <v>2</v>
      </c>
      <c r="T185" s="25" t="s">
        <v>3082</v>
      </c>
      <c r="U185" s="25" t="s">
        <v>4</v>
      </c>
      <c r="V185" s="25">
        <v>1.3</v>
      </c>
      <c r="W185" s="25" t="s">
        <v>3081</v>
      </c>
      <c r="X185" s="25" t="s">
        <v>4</v>
      </c>
      <c r="Y185" s="25">
        <v>0.4</v>
      </c>
      <c r="Z185" s="25" t="s">
        <v>1</v>
      </c>
      <c r="AA185" s="95" t="s">
        <v>2221</v>
      </c>
    </row>
    <row r="186" spans="1:27">
      <c r="A186" s="1">
        <f t="shared" si="2"/>
        <v>182</v>
      </c>
      <c r="B186" s="1" t="s">
        <v>464</v>
      </c>
      <c r="C186" s="26" t="s">
        <v>1720</v>
      </c>
      <c r="D186" s="3">
        <v>75</v>
      </c>
      <c r="E186" s="1" t="s">
        <v>7</v>
      </c>
      <c r="F186" s="3">
        <v>26.8</v>
      </c>
      <c r="G186" s="4">
        <v>44600</v>
      </c>
      <c r="H186" s="1" t="s">
        <v>3080</v>
      </c>
      <c r="I186" s="1" t="s">
        <v>3079</v>
      </c>
      <c r="J186" s="1" t="s">
        <v>2082</v>
      </c>
      <c r="K186" s="1" t="s">
        <v>3078</v>
      </c>
      <c r="L186" s="1">
        <v>2012</v>
      </c>
      <c r="N186" s="1" t="s">
        <v>3077</v>
      </c>
      <c r="O186" s="25" t="s">
        <v>5</v>
      </c>
      <c r="P186" s="25">
        <v>8.3000000000000007</v>
      </c>
      <c r="Q186" s="25" t="s">
        <v>3076</v>
      </c>
      <c r="R186" s="25" t="s">
        <v>4</v>
      </c>
      <c r="S186" s="25" t="s">
        <v>1</v>
      </c>
      <c r="T186" s="25" t="s">
        <v>3075</v>
      </c>
      <c r="U186" s="25" t="s">
        <v>1</v>
      </c>
      <c r="V186" s="25" t="s">
        <v>1</v>
      </c>
      <c r="W186" s="25" t="s">
        <v>1</v>
      </c>
      <c r="X186" s="25" t="s">
        <v>1</v>
      </c>
      <c r="Y186" s="25" t="s">
        <v>1</v>
      </c>
      <c r="Z186" s="25" t="s">
        <v>1</v>
      </c>
      <c r="AA186" s="95" t="s">
        <v>3074</v>
      </c>
    </row>
    <row r="187" spans="1:27">
      <c r="A187" s="1">
        <f t="shared" si="2"/>
        <v>183</v>
      </c>
      <c r="B187" s="1" t="s">
        <v>3073</v>
      </c>
      <c r="C187" s="26" t="s">
        <v>1720</v>
      </c>
      <c r="D187" s="3">
        <v>75</v>
      </c>
      <c r="E187" s="1" t="s">
        <v>7</v>
      </c>
      <c r="F187" s="3">
        <v>26</v>
      </c>
      <c r="G187" s="4">
        <v>44594</v>
      </c>
      <c r="I187" s="1" t="s">
        <v>3072</v>
      </c>
      <c r="J187" s="1" t="s">
        <v>2082</v>
      </c>
      <c r="K187" s="1" t="s">
        <v>3071</v>
      </c>
      <c r="L187" s="1">
        <v>2015</v>
      </c>
      <c r="N187" s="1" t="s">
        <v>3070</v>
      </c>
      <c r="O187" s="25" t="s">
        <v>7</v>
      </c>
      <c r="P187" s="25">
        <v>13</v>
      </c>
      <c r="Q187" s="25" t="s">
        <v>955</v>
      </c>
      <c r="R187" s="25" t="s">
        <v>5</v>
      </c>
      <c r="S187" s="25">
        <v>5</v>
      </c>
      <c r="T187" s="25" t="s">
        <v>440</v>
      </c>
      <c r="U187" s="25" t="s">
        <v>4</v>
      </c>
      <c r="V187" s="25">
        <v>1.5</v>
      </c>
      <c r="W187" s="25" t="s">
        <v>1</v>
      </c>
      <c r="X187" s="25" t="s">
        <v>1</v>
      </c>
      <c r="Y187" s="25" t="s">
        <v>1</v>
      </c>
      <c r="Z187" s="25" t="s">
        <v>1</v>
      </c>
      <c r="AA187" s="95" t="s">
        <v>2080</v>
      </c>
    </row>
    <row r="188" spans="1:27">
      <c r="A188" s="1">
        <f t="shared" si="2"/>
        <v>184</v>
      </c>
      <c r="B188" s="1" t="s">
        <v>470</v>
      </c>
      <c r="C188" s="26" t="s">
        <v>1720</v>
      </c>
      <c r="D188" s="3">
        <v>75</v>
      </c>
      <c r="E188" s="1" t="s">
        <v>7</v>
      </c>
      <c r="F188" s="3">
        <v>25.7</v>
      </c>
      <c r="G188" s="31">
        <v>43837</v>
      </c>
      <c r="H188" s="1" t="s">
        <v>3069</v>
      </c>
      <c r="I188" s="1" t="s">
        <v>3068</v>
      </c>
      <c r="J188" s="1" t="s">
        <v>2082</v>
      </c>
      <c r="K188" s="1" t="s">
        <v>2099</v>
      </c>
      <c r="L188" s="1">
        <v>2015</v>
      </c>
      <c r="N188" s="1" t="s">
        <v>3067</v>
      </c>
      <c r="O188" s="25" t="s">
        <v>5</v>
      </c>
      <c r="P188" s="25">
        <v>21.6</v>
      </c>
      <c r="Q188" s="25" t="s">
        <v>3066</v>
      </c>
      <c r="R188" s="25" t="s">
        <v>1</v>
      </c>
      <c r="S188" s="25" t="s">
        <v>1</v>
      </c>
      <c r="T188" s="25" t="s">
        <v>1</v>
      </c>
      <c r="U188" s="25" t="s">
        <v>1</v>
      </c>
      <c r="V188" s="25" t="s">
        <v>1</v>
      </c>
      <c r="W188" s="25" t="s">
        <v>1</v>
      </c>
      <c r="X188" s="25" t="s">
        <v>1</v>
      </c>
      <c r="Y188" s="25" t="s">
        <v>1</v>
      </c>
      <c r="Z188" s="25" t="s">
        <v>1</v>
      </c>
      <c r="AA188" s="95" t="s">
        <v>3065</v>
      </c>
    </row>
    <row r="189" spans="1:27">
      <c r="A189" s="1">
        <f t="shared" si="2"/>
        <v>185</v>
      </c>
      <c r="B189" s="1" t="s">
        <v>358</v>
      </c>
      <c r="C189" s="26" t="s">
        <v>1720</v>
      </c>
      <c r="D189" s="3">
        <v>75</v>
      </c>
      <c r="E189" s="1" t="s">
        <v>7</v>
      </c>
      <c r="F189" s="3">
        <v>22</v>
      </c>
      <c r="G189" s="4">
        <v>44861</v>
      </c>
      <c r="H189" s="1" t="s">
        <v>3064</v>
      </c>
      <c r="I189" s="1" t="s">
        <v>3063</v>
      </c>
      <c r="J189" s="1" t="s">
        <v>2082</v>
      </c>
      <c r="K189" s="1" t="s">
        <v>2099</v>
      </c>
      <c r="L189" s="1">
        <v>2018</v>
      </c>
      <c r="N189" s="1" t="s">
        <v>3062</v>
      </c>
      <c r="O189" s="25" t="s">
        <v>5</v>
      </c>
      <c r="P189" s="25">
        <v>15</v>
      </c>
      <c r="Q189" s="25" t="s">
        <v>3061</v>
      </c>
      <c r="R189" s="25" t="s">
        <v>4</v>
      </c>
      <c r="S189" s="25">
        <v>7</v>
      </c>
      <c r="T189" s="25" t="s">
        <v>359</v>
      </c>
      <c r="U189" s="25" t="s">
        <v>1</v>
      </c>
      <c r="V189" s="25" t="s">
        <v>1</v>
      </c>
      <c r="W189" s="25" t="s">
        <v>1</v>
      </c>
      <c r="X189" s="25" t="s">
        <v>1</v>
      </c>
      <c r="Y189" s="25" t="s">
        <v>1</v>
      </c>
      <c r="Z189" s="25" t="s">
        <v>1</v>
      </c>
      <c r="AA189" s="95" t="s">
        <v>2115</v>
      </c>
    </row>
    <row r="190" spans="1:27">
      <c r="A190" s="1">
        <f t="shared" si="2"/>
        <v>186</v>
      </c>
      <c r="B190" s="1" t="s">
        <v>734</v>
      </c>
      <c r="C190" s="26" t="s">
        <v>1720</v>
      </c>
      <c r="D190" s="3">
        <v>75</v>
      </c>
      <c r="E190" s="1" t="s">
        <v>5</v>
      </c>
      <c r="F190" s="3">
        <v>20</v>
      </c>
      <c r="G190" s="4">
        <v>44903</v>
      </c>
      <c r="H190" s="1" t="s">
        <v>3060</v>
      </c>
      <c r="I190" s="1" t="s">
        <v>3059</v>
      </c>
      <c r="J190" s="1" t="s">
        <v>2082</v>
      </c>
      <c r="K190" s="1" t="s">
        <v>3058</v>
      </c>
      <c r="L190" s="44" t="s">
        <v>3035</v>
      </c>
      <c r="N190" s="1" t="s">
        <v>3057</v>
      </c>
      <c r="O190" s="25" t="s">
        <v>5</v>
      </c>
      <c r="P190" s="25">
        <v>11</v>
      </c>
      <c r="Q190" s="25" t="s">
        <v>3056</v>
      </c>
      <c r="R190" s="25" t="s">
        <v>4</v>
      </c>
      <c r="S190" s="25">
        <v>3</v>
      </c>
      <c r="T190" s="25" t="s">
        <v>3055</v>
      </c>
      <c r="U190" s="25" t="s">
        <v>285</v>
      </c>
      <c r="V190" s="25">
        <v>1.2</v>
      </c>
      <c r="W190" s="25" t="s">
        <v>3054</v>
      </c>
      <c r="X190" s="25" t="s">
        <v>1</v>
      </c>
      <c r="Y190" s="25" t="s">
        <v>1</v>
      </c>
      <c r="Z190" s="25" t="s">
        <v>1</v>
      </c>
      <c r="AA190" s="95" t="s">
        <v>2080</v>
      </c>
    </row>
    <row r="191" spans="1:27">
      <c r="A191" s="1">
        <f t="shared" si="2"/>
        <v>187</v>
      </c>
      <c r="B191" s="1" t="s">
        <v>3053</v>
      </c>
      <c r="C191" s="26" t="s">
        <v>1720</v>
      </c>
      <c r="D191" s="3">
        <v>75</v>
      </c>
      <c r="E191" s="1" t="s">
        <v>5</v>
      </c>
      <c r="F191" s="3">
        <v>20</v>
      </c>
      <c r="G191" s="4">
        <v>44578</v>
      </c>
      <c r="H191" s="1" t="s">
        <v>2926</v>
      </c>
      <c r="J191" s="1" t="s">
        <v>2082</v>
      </c>
      <c r="K191" s="1" t="s">
        <v>2568</v>
      </c>
      <c r="L191" s="32">
        <v>43510</v>
      </c>
      <c r="N191" s="1" t="s">
        <v>3052</v>
      </c>
      <c r="O191" s="25" t="s">
        <v>4</v>
      </c>
      <c r="P191" s="25">
        <v>6</v>
      </c>
      <c r="Q191" s="25" t="s">
        <v>3051</v>
      </c>
      <c r="R191" s="25" t="s">
        <v>4</v>
      </c>
      <c r="S191" s="25" t="s">
        <v>1</v>
      </c>
      <c r="T191" s="25" t="s">
        <v>3050</v>
      </c>
      <c r="U191" s="25" t="s">
        <v>1</v>
      </c>
      <c r="V191" s="25" t="s">
        <v>1</v>
      </c>
      <c r="W191" s="25" t="s">
        <v>1</v>
      </c>
      <c r="X191" s="25" t="s">
        <v>1</v>
      </c>
      <c r="Y191" s="25" t="s">
        <v>1</v>
      </c>
      <c r="Z191" s="25" t="s">
        <v>1</v>
      </c>
      <c r="AA191" s="95" t="s">
        <v>2478</v>
      </c>
    </row>
    <row r="192" spans="1:27">
      <c r="A192" s="1">
        <f t="shared" si="2"/>
        <v>188</v>
      </c>
      <c r="B192" s="1" t="s">
        <v>3049</v>
      </c>
      <c r="C192" s="26" t="s">
        <v>1720</v>
      </c>
      <c r="D192" s="3">
        <v>75</v>
      </c>
      <c r="E192" s="1" t="s">
        <v>5</v>
      </c>
      <c r="F192" s="3">
        <v>20</v>
      </c>
      <c r="G192" s="4">
        <v>44602</v>
      </c>
      <c r="H192" s="1" t="s">
        <v>3048</v>
      </c>
      <c r="I192" s="1" t="s">
        <v>3047</v>
      </c>
      <c r="J192" s="1" t="s">
        <v>2082</v>
      </c>
      <c r="K192" s="1" t="s">
        <v>2568</v>
      </c>
      <c r="L192" s="1">
        <v>2019</v>
      </c>
      <c r="N192" s="1" t="s">
        <v>3046</v>
      </c>
      <c r="O192" s="25" t="s">
        <v>1</v>
      </c>
      <c r="P192" s="25" t="s">
        <v>1</v>
      </c>
      <c r="Q192" s="25" t="s">
        <v>1</v>
      </c>
      <c r="R192" s="25" t="s">
        <v>1</v>
      </c>
      <c r="S192" s="25" t="s">
        <v>1</v>
      </c>
      <c r="T192" s="25" t="s">
        <v>1</v>
      </c>
      <c r="U192" s="25" t="s">
        <v>1</v>
      </c>
      <c r="V192" s="25" t="s">
        <v>1</v>
      </c>
      <c r="W192" s="25" t="s">
        <v>1</v>
      </c>
      <c r="X192" s="25" t="s">
        <v>1</v>
      </c>
      <c r="Y192" s="25" t="s">
        <v>1</v>
      </c>
      <c r="Z192" s="25" t="s">
        <v>1</v>
      </c>
      <c r="AA192" s="95" t="s">
        <v>2115</v>
      </c>
    </row>
    <row r="193" spans="1:30" s="12" customFormat="1">
      <c r="A193" s="1">
        <f t="shared" si="2"/>
        <v>189</v>
      </c>
      <c r="B193" s="12" t="s">
        <v>706</v>
      </c>
      <c r="C193" s="35" t="s">
        <v>1720</v>
      </c>
      <c r="D193" s="15">
        <v>75</v>
      </c>
      <c r="E193" s="12" t="s">
        <v>5</v>
      </c>
      <c r="F193" s="15">
        <v>20</v>
      </c>
      <c r="G193" s="42">
        <v>44392</v>
      </c>
      <c r="H193" s="12" t="s">
        <v>3045</v>
      </c>
      <c r="I193" s="12" t="s">
        <v>3044</v>
      </c>
      <c r="J193" s="40" t="s">
        <v>2082</v>
      </c>
      <c r="K193" s="40" t="s">
        <v>2494</v>
      </c>
      <c r="L193" s="12">
        <v>2019</v>
      </c>
      <c r="N193" s="12" t="s">
        <v>3043</v>
      </c>
      <c r="O193" s="24" t="s">
        <v>4</v>
      </c>
      <c r="P193" s="24">
        <v>3.4</v>
      </c>
      <c r="Q193" s="24" t="s">
        <v>707</v>
      </c>
      <c r="R193" s="24" t="s">
        <v>1</v>
      </c>
      <c r="S193" s="24" t="s">
        <v>1</v>
      </c>
      <c r="T193" s="24" t="s">
        <v>1</v>
      </c>
      <c r="U193" s="24" t="s">
        <v>1</v>
      </c>
      <c r="V193" s="24" t="s">
        <v>1</v>
      </c>
      <c r="W193" s="24" t="s">
        <v>1</v>
      </c>
      <c r="X193" s="24" t="s">
        <v>1</v>
      </c>
      <c r="Y193" s="24" t="s">
        <v>1</v>
      </c>
      <c r="Z193" s="24" t="s">
        <v>1</v>
      </c>
      <c r="AA193" s="12" t="s">
        <v>2092</v>
      </c>
      <c r="AC193" s="110"/>
      <c r="AD193" s="102"/>
    </row>
    <row r="194" spans="1:30" s="12" customFormat="1">
      <c r="A194" s="1">
        <f t="shared" si="2"/>
        <v>190</v>
      </c>
      <c r="B194" s="12" t="s">
        <v>3042</v>
      </c>
      <c r="C194" s="35" t="s">
        <v>1720</v>
      </c>
      <c r="D194" s="15">
        <v>75</v>
      </c>
      <c r="E194" s="12" t="s">
        <v>5</v>
      </c>
      <c r="F194" s="15">
        <v>20</v>
      </c>
      <c r="G194" s="14">
        <v>44614</v>
      </c>
      <c r="H194" s="12" t="s">
        <v>3041</v>
      </c>
      <c r="J194" s="12" t="s">
        <v>2616</v>
      </c>
      <c r="K194" s="12" t="s">
        <v>3040</v>
      </c>
      <c r="L194" s="12">
        <v>2021</v>
      </c>
      <c r="N194" s="12" t="s">
        <v>3039</v>
      </c>
      <c r="O194" s="24" t="s">
        <v>1</v>
      </c>
      <c r="P194" s="24" t="s">
        <v>1</v>
      </c>
      <c r="Q194" s="24" t="s">
        <v>1</v>
      </c>
      <c r="R194" s="24" t="s">
        <v>1</v>
      </c>
      <c r="S194" s="24" t="s">
        <v>1</v>
      </c>
      <c r="T194" s="24" t="s">
        <v>1</v>
      </c>
      <c r="U194" s="24" t="s">
        <v>1</v>
      </c>
      <c r="V194" s="24" t="s">
        <v>1</v>
      </c>
      <c r="W194" s="24" t="s">
        <v>1</v>
      </c>
      <c r="X194" s="24" t="s">
        <v>1</v>
      </c>
      <c r="Y194" s="24" t="s">
        <v>1</v>
      </c>
      <c r="Z194" s="24" t="s">
        <v>1</v>
      </c>
      <c r="AA194" s="12" t="s">
        <v>3038</v>
      </c>
      <c r="AC194" s="110"/>
      <c r="AD194" s="102"/>
    </row>
    <row r="195" spans="1:30">
      <c r="A195" s="1">
        <f t="shared" si="2"/>
        <v>191</v>
      </c>
      <c r="B195" s="12" t="s">
        <v>732</v>
      </c>
      <c r="C195" s="26" t="s">
        <v>1720</v>
      </c>
      <c r="D195" s="3">
        <v>75</v>
      </c>
      <c r="E195" s="1" t="s">
        <v>5</v>
      </c>
      <c r="F195" s="3">
        <v>20</v>
      </c>
      <c r="G195" s="31">
        <v>44455</v>
      </c>
      <c r="H195" s="1" t="s">
        <v>3037</v>
      </c>
      <c r="I195" s="1" t="s">
        <v>3036</v>
      </c>
      <c r="J195" s="1" t="s">
        <v>2616</v>
      </c>
      <c r="K195" s="1" t="s">
        <v>2438</v>
      </c>
      <c r="L195" s="43" t="s">
        <v>3035</v>
      </c>
      <c r="N195" s="1" t="s">
        <v>3034</v>
      </c>
      <c r="O195" s="25" t="s">
        <v>4</v>
      </c>
      <c r="P195" s="25" t="s">
        <v>3033</v>
      </c>
      <c r="Q195" s="25" t="s">
        <v>1</v>
      </c>
      <c r="R195" s="25" t="s">
        <v>1</v>
      </c>
      <c r="S195" s="25" t="s">
        <v>1</v>
      </c>
      <c r="T195" s="25" t="s">
        <v>1</v>
      </c>
      <c r="U195" s="25" t="s">
        <v>1</v>
      </c>
      <c r="V195" s="25" t="s">
        <v>1</v>
      </c>
      <c r="W195" s="25" t="s">
        <v>1</v>
      </c>
      <c r="X195" s="25" t="s">
        <v>1</v>
      </c>
      <c r="Y195" s="25" t="s">
        <v>1</v>
      </c>
      <c r="Z195" s="25" t="s">
        <v>1</v>
      </c>
      <c r="AA195" s="95" t="s">
        <v>3032</v>
      </c>
    </row>
    <row r="196" spans="1:30">
      <c r="A196" s="1">
        <f t="shared" si="2"/>
        <v>192</v>
      </c>
      <c r="B196" s="1" t="s">
        <v>1148</v>
      </c>
      <c r="C196" s="26" t="s">
        <v>1720</v>
      </c>
      <c r="D196" s="3">
        <v>75</v>
      </c>
      <c r="E196" s="1" t="s">
        <v>5</v>
      </c>
      <c r="F196" s="3">
        <v>20</v>
      </c>
      <c r="G196" s="31">
        <v>44371</v>
      </c>
      <c r="H196" s="1" t="s">
        <v>3031</v>
      </c>
      <c r="I196" s="1" t="s">
        <v>3030</v>
      </c>
      <c r="J196" s="1" t="s">
        <v>2082</v>
      </c>
      <c r="K196" s="1" t="s">
        <v>2273</v>
      </c>
      <c r="L196" s="43">
        <v>2020</v>
      </c>
      <c r="N196" s="1" t="s">
        <v>3029</v>
      </c>
      <c r="O196" s="25" t="s">
        <v>1</v>
      </c>
      <c r="P196" s="25" t="s">
        <v>1</v>
      </c>
      <c r="Q196" s="25" t="s">
        <v>1</v>
      </c>
      <c r="R196" s="25" t="s">
        <v>1</v>
      </c>
      <c r="S196" s="25" t="s">
        <v>1</v>
      </c>
      <c r="T196" s="25" t="s">
        <v>1</v>
      </c>
      <c r="U196" s="25" t="s">
        <v>1</v>
      </c>
      <c r="V196" s="25" t="s">
        <v>1</v>
      </c>
      <c r="W196" s="25" t="s">
        <v>1</v>
      </c>
      <c r="X196" s="25" t="s">
        <v>1</v>
      </c>
      <c r="Y196" s="25" t="s">
        <v>1</v>
      </c>
      <c r="Z196" s="25" t="s">
        <v>1</v>
      </c>
      <c r="AA196" s="95" t="s">
        <v>2092</v>
      </c>
    </row>
    <row r="197" spans="1:30">
      <c r="A197" s="1">
        <f t="shared" si="2"/>
        <v>193</v>
      </c>
      <c r="B197" s="1" t="s">
        <v>3028</v>
      </c>
      <c r="C197" s="26" t="s">
        <v>1720</v>
      </c>
      <c r="D197" s="3">
        <v>75</v>
      </c>
      <c r="E197" s="1" t="s">
        <v>4</v>
      </c>
      <c r="F197" s="3">
        <v>20</v>
      </c>
      <c r="G197" s="4">
        <v>44594</v>
      </c>
      <c r="H197" s="1" t="s">
        <v>3027</v>
      </c>
      <c r="I197" s="1" t="s">
        <v>3026</v>
      </c>
      <c r="J197" s="1" t="s">
        <v>2392</v>
      </c>
      <c r="K197" s="1" t="s">
        <v>3025</v>
      </c>
      <c r="L197" s="1">
        <v>2021</v>
      </c>
      <c r="N197" s="1" t="s">
        <v>1</v>
      </c>
      <c r="O197" s="1" t="s">
        <v>1</v>
      </c>
      <c r="P197" s="1" t="s">
        <v>1</v>
      </c>
      <c r="Q197" s="1" t="s">
        <v>1</v>
      </c>
      <c r="R197" s="1" t="s">
        <v>1</v>
      </c>
      <c r="S197" s="1" t="s">
        <v>1</v>
      </c>
      <c r="T197" s="1" t="s">
        <v>1</v>
      </c>
      <c r="U197" s="1" t="s">
        <v>1</v>
      </c>
      <c r="V197" s="1" t="s">
        <v>1</v>
      </c>
      <c r="W197" s="1" t="s">
        <v>1</v>
      </c>
      <c r="X197" s="1" t="s">
        <v>1</v>
      </c>
      <c r="Y197" s="1" t="s">
        <v>1</v>
      </c>
      <c r="Z197" s="1" t="s">
        <v>1</v>
      </c>
      <c r="AA197" s="95" t="s">
        <v>2187</v>
      </c>
    </row>
    <row r="198" spans="1:30">
      <c r="A198" s="1">
        <f t="shared" si="2"/>
        <v>194</v>
      </c>
      <c r="B198" s="1" t="s">
        <v>3024</v>
      </c>
      <c r="C198" s="26" t="s">
        <v>1720</v>
      </c>
      <c r="D198" s="3">
        <v>75</v>
      </c>
      <c r="E198" s="1" t="s">
        <v>4</v>
      </c>
      <c r="F198" s="3">
        <v>18</v>
      </c>
      <c r="G198" s="4">
        <v>45022</v>
      </c>
      <c r="H198" s="1" t="s">
        <v>3023</v>
      </c>
      <c r="J198" s="1" t="s">
        <v>2082</v>
      </c>
      <c r="K198" s="1" t="s">
        <v>1824</v>
      </c>
      <c r="L198" s="1">
        <v>2022</v>
      </c>
      <c r="M198" s="1" t="s">
        <v>1929</v>
      </c>
      <c r="N198" s="1" t="s">
        <v>3022</v>
      </c>
      <c r="O198" s="25" t="s">
        <v>285</v>
      </c>
      <c r="P198" s="25">
        <v>2.2999999999999998</v>
      </c>
      <c r="Q198" s="25" t="s">
        <v>3021</v>
      </c>
      <c r="R198" s="25" t="s">
        <v>1</v>
      </c>
      <c r="S198" s="25" t="s">
        <v>1</v>
      </c>
      <c r="T198" s="25" t="s">
        <v>1</v>
      </c>
      <c r="U198" s="25" t="s">
        <v>1</v>
      </c>
      <c r="V198" s="25" t="s">
        <v>1</v>
      </c>
      <c r="W198" s="25" t="s">
        <v>1</v>
      </c>
      <c r="X198" s="25" t="s">
        <v>1</v>
      </c>
      <c r="Y198" s="25" t="s">
        <v>1</v>
      </c>
      <c r="Z198" s="25" t="s">
        <v>1</v>
      </c>
      <c r="AA198" s="95" t="s">
        <v>2085</v>
      </c>
    </row>
    <row r="199" spans="1:30">
      <c r="A199" s="1">
        <f t="shared" si="2"/>
        <v>195</v>
      </c>
      <c r="B199" s="12" t="s">
        <v>674</v>
      </c>
      <c r="C199" s="35" t="s">
        <v>1720</v>
      </c>
      <c r="D199" s="15">
        <v>75</v>
      </c>
      <c r="E199" s="12" t="s">
        <v>5</v>
      </c>
      <c r="F199" s="15">
        <v>17</v>
      </c>
      <c r="G199" s="14">
        <v>44679</v>
      </c>
      <c r="H199" s="12" t="s">
        <v>3020</v>
      </c>
      <c r="I199" s="12" t="s">
        <v>3019</v>
      </c>
      <c r="J199" s="12" t="s">
        <v>2616</v>
      </c>
      <c r="K199" s="12" t="s">
        <v>2438</v>
      </c>
      <c r="L199" s="12">
        <v>2019</v>
      </c>
      <c r="N199" s="1" t="s">
        <v>3018</v>
      </c>
      <c r="O199" s="25" t="s">
        <v>4</v>
      </c>
      <c r="P199" s="25">
        <v>4.5</v>
      </c>
      <c r="Q199" s="25" t="s">
        <v>3017</v>
      </c>
      <c r="R199" s="25" t="s">
        <v>1</v>
      </c>
      <c r="S199" s="25" t="s">
        <v>1</v>
      </c>
      <c r="T199" s="25" t="s">
        <v>1</v>
      </c>
      <c r="U199" s="25" t="s">
        <v>1</v>
      </c>
      <c r="V199" s="25" t="s">
        <v>1</v>
      </c>
      <c r="W199" s="25" t="s">
        <v>1</v>
      </c>
      <c r="X199" s="25" t="s">
        <v>1</v>
      </c>
      <c r="Y199" s="25" t="s">
        <v>1</v>
      </c>
      <c r="Z199" s="25" t="s">
        <v>1</v>
      </c>
      <c r="AA199" s="95" t="s">
        <v>2405</v>
      </c>
    </row>
    <row r="200" spans="1:30" s="12" customFormat="1">
      <c r="A200" s="1">
        <f t="shared" si="2"/>
        <v>196</v>
      </c>
      <c r="B200" s="12" t="s">
        <v>3016</v>
      </c>
      <c r="C200" s="35" t="s">
        <v>1720</v>
      </c>
      <c r="D200" s="15">
        <v>75</v>
      </c>
      <c r="E200" s="12" t="s">
        <v>4</v>
      </c>
      <c r="F200" s="15">
        <v>16</v>
      </c>
      <c r="G200" s="42">
        <v>44434</v>
      </c>
      <c r="H200" s="12" t="s">
        <v>3015</v>
      </c>
      <c r="I200" s="12" t="s">
        <v>3014</v>
      </c>
      <c r="J200" s="12" t="s">
        <v>2351</v>
      </c>
      <c r="K200" s="12" t="s">
        <v>2751</v>
      </c>
      <c r="L200" s="12">
        <v>2020</v>
      </c>
      <c r="N200" s="12" t="s">
        <v>3013</v>
      </c>
      <c r="O200" s="24" t="s">
        <v>285</v>
      </c>
      <c r="P200" s="24" t="s">
        <v>1</v>
      </c>
      <c r="Q200" s="24" t="s">
        <v>3012</v>
      </c>
      <c r="R200" s="24" t="s">
        <v>1</v>
      </c>
      <c r="S200" s="24" t="s">
        <v>1</v>
      </c>
      <c r="T200" s="24" t="s">
        <v>1</v>
      </c>
      <c r="U200" s="24" t="s">
        <v>1</v>
      </c>
      <c r="V200" s="24" t="s">
        <v>1</v>
      </c>
      <c r="W200" s="24" t="s">
        <v>1</v>
      </c>
      <c r="X200" s="24" t="s">
        <v>1</v>
      </c>
      <c r="Y200" s="24" t="s">
        <v>1</v>
      </c>
      <c r="Z200" s="24" t="s">
        <v>1</v>
      </c>
      <c r="AA200" s="12" t="s">
        <v>2478</v>
      </c>
      <c r="AC200" s="110"/>
      <c r="AD200" s="102"/>
    </row>
    <row r="201" spans="1:30">
      <c r="A201" s="1">
        <f t="shared" si="2"/>
        <v>197</v>
      </c>
      <c r="B201" s="1" t="s">
        <v>860</v>
      </c>
      <c r="C201" s="26" t="s">
        <v>1720</v>
      </c>
      <c r="D201" s="3">
        <v>75</v>
      </c>
      <c r="E201" s="1" t="s">
        <v>4</v>
      </c>
      <c r="F201" s="3">
        <v>16</v>
      </c>
      <c r="G201" s="31">
        <v>44298</v>
      </c>
      <c r="I201" s="1" t="s">
        <v>3011</v>
      </c>
      <c r="J201" s="1" t="s">
        <v>2082</v>
      </c>
      <c r="K201" s="1" t="s">
        <v>2167</v>
      </c>
      <c r="L201" s="1">
        <v>2019</v>
      </c>
      <c r="N201" s="1" t="s">
        <v>3010</v>
      </c>
      <c r="O201" s="25" t="s">
        <v>4</v>
      </c>
      <c r="P201" s="25" t="s">
        <v>1</v>
      </c>
      <c r="Q201" s="25" t="s">
        <v>3009</v>
      </c>
      <c r="R201" s="25" t="s">
        <v>1</v>
      </c>
      <c r="S201" s="25" t="s">
        <v>1</v>
      </c>
      <c r="T201" s="25" t="s">
        <v>1</v>
      </c>
      <c r="U201" s="25" t="s">
        <v>1</v>
      </c>
      <c r="V201" s="25" t="s">
        <v>1</v>
      </c>
      <c r="W201" s="25" t="s">
        <v>1</v>
      </c>
      <c r="X201" s="25" t="s">
        <v>1</v>
      </c>
      <c r="Y201" s="25" t="s">
        <v>1</v>
      </c>
      <c r="Z201" s="25" t="s">
        <v>1</v>
      </c>
      <c r="AA201" s="95" t="s">
        <v>2405</v>
      </c>
    </row>
    <row r="202" spans="1:30">
      <c r="A202" s="1">
        <f t="shared" si="2"/>
        <v>198</v>
      </c>
      <c r="B202" s="1" t="s">
        <v>296</v>
      </c>
      <c r="C202" s="26" t="s">
        <v>1720</v>
      </c>
      <c r="D202" s="3">
        <v>75</v>
      </c>
      <c r="E202" s="1" t="s">
        <v>5</v>
      </c>
      <c r="F202" s="3">
        <v>30</v>
      </c>
      <c r="G202" s="4">
        <v>44474</v>
      </c>
      <c r="H202" s="1" t="s">
        <v>3008</v>
      </c>
      <c r="I202" s="1" t="s">
        <v>3007</v>
      </c>
      <c r="J202" s="1" t="s">
        <v>2082</v>
      </c>
      <c r="K202" s="1" t="s">
        <v>2116</v>
      </c>
      <c r="L202" s="1">
        <v>2017</v>
      </c>
      <c r="N202" s="1" t="s">
        <v>3006</v>
      </c>
      <c r="O202" s="25" t="s">
        <v>4</v>
      </c>
      <c r="P202" s="25">
        <v>15</v>
      </c>
      <c r="Q202" s="25" t="s">
        <v>3005</v>
      </c>
      <c r="R202" s="25" t="s">
        <v>1</v>
      </c>
      <c r="S202" s="25" t="s">
        <v>1</v>
      </c>
      <c r="T202" s="25" t="s">
        <v>1</v>
      </c>
      <c r="U202" s="25" t="s">
        <v>1</v>
      </c>
      <c r="V202" s="25" t="s">
        <v>1</v>
      </c>
      <c r="W202" s="25" t="s">
        <v>1</v>
      </c>
      <c r="X202" s="25" t="s">
        <v>1</v>
      </c>
      <c r="Y202" s="25" t="s">
        <v>1</v>
      </c>
      <c r="Z202" s="25" t="s">
        <v>1</v>
      </c>
      <c r="AA202" s="95" t="s">
        <v>3004</v>
      </c>
    </row>
    <row r="203" spans="1:30">
      <c r="A203" s="1">
        <f t="shared" si="2"/>
        <v>199</v>
      </c>
      <c r="B203" s="1" t="s">
        <v>1147</v>
      </c>
      <c r="C203" s="26" t="s">
        <v>1720</v>
      </c>
      <c r="D203" s="3">
        <v>75</v>
      </c>
      <c r="E203" s="1" t="s">
        <v>5</v>
      </c>
      <c r="F203" s="3">
        <v>15</v>
      </c>
      <c r="G203" s="4">
        <v>44468</v>
      </c>
      <c r="H203" s="12" t="s">
        <v>3003</v>
      </c>
      <c r="J203" s="1" t="s">
        <v>2082</v>
      </c>
      <c r="K203" s="1" t="s">
        <v>2499</v>
      </c>
      <c r="L203" s="1">
        <v>2021</v>
      </c>
      <c r="N203" s="1" t="s">
        <v>3002</v>
      </c>
      <c r="O203" s="25" t="s">
        <v>1</v>
      </c>
      <c r="P203" s="25" t="s">
        <v>1</v>
      </c>
      <c r="Q203" s="25" t="s">
        <v>1</v>
      </c>
      <c r="R203" s="25" t="s">
        <v>1</v>
      </c>
      <c r="S203" s="25" t="s">
        <v>1</v>
      </c>
      <c r="T203" s="25" t="s">
        <v>1</v>
      </c>
      <c r="U203" s="25" t="s">
        <v>1</v>
      </c>
      <c r="V203" s="25" t="s">
        <v>1</v>
      </c>
      <c r="W203" s="25" t="s">
        <v>1</v>
      </c>
      <c r="X203" s="25" t="s">
        <v>1</v>
      </c>
      <c r="Y203" s="25" t="s">
        <v>1</v>
      </c>
      <c r="Z203" s="25" t="s">
        <v>1</v>
      </c>
      <c r="AA203" s="95" t="s">
        <v>2957</v>
      </c>
    </row>
    <row r="204" spans="1:30">
      <c r="A204" s="1">
        <f t="shared" si="2"/>
        <v>200</v>
      </c>
      <c r="B204" s="1" t="s">
        <v>3001</v>
      </c>
      <c r="C204" s="26" t="s">
        <v>1720</v>
      </c>
      <c r="D204" s="3">
        <v>75</v>
      </c>
      <c r="E204" s="1" t="s">
        <v>5</v>
      </c>
      <c r="F204" s="3">
        <v>13</v>
      </c>
      <c r="G204" s="4">
        <v>44516</v>
      </c>
      <c r="H204" s="1" t="s">
        <v>3000</v>
      </c>
      <c r="I204" s="1" t="s">
        <v>2999</v>
      </c>
      <c r="J204" s="1" t="s">
        <v>2082</v>
      </c>
      <c r="K204" s="1" t="s">
        <v>2998</v>
      </c>
      <c r="L204" s="1">
        <v>2017</v>
      </c>
      <c r="N204" s="1" t="s">
        <v>2997</v>
      </c>
      <c r="O204" s="25" t="s">
        <v>4</v>
      </c>
      <c r="P204" s="25">
        <v>2.5</v>
      </c>
      <c r="Q204" s="25" t="s">
        <v>2996</v>
      </c>
      <c r="R204" s="25" t="s">
        <v>4</v>
      </c>
      <c r="S204" s="25" t="s">
        <v>1</v>
      </c>
      <c r="T204" s="25" t="s">
        <v>2995</v>
      </c>
      <c r="U204" s="25" t="s">
        <v>1</v>
      </c>
      <c r="V204" s="25" t="s">
        <v>1</v>
      </c>
      <c r="W204" s="25" t="s">
        <v>1</v>
      </c>
      <c r="X204" s="25" t="s">
        <v>1</v>
      </c>
      <c r="Y204" s="25" t="s">
        <v>1</v>
      </c>
      <c r="Z204" s="25" t="s">
        <v>1</v>
      </c>
      <c r="AA204" s="95" t="s">
        <v>2085</v>
      </c>
    </row>
    <row r="205" spans="1:30">
      <c r="A205" s="1">
        <f t="shared" si="2"/>
        <v>201</v>
      </c>
      <c r="B205" s="1" t="s">
        <v>2994</v>
      </c>
      <c r="C205" s="26" t="s">
        <v>1720</v>
      </c>
      <c r="D205" s="3">
        <v>60</v>
      </c>
      <c r="E205" s="1" t="s">
        <v>5</v>
      </c>
      <c r="F205" s="3">
        <v>21.7</v>
      </c>
      <c r="G205" s="4">
        <v>44909</v>
      </c>
      <c r="H205" s="1" t="s">
        <v>2993</v>
      </c>
      <c r="J205" s="1" t="s">
        <v>2138</v>
      </c>
      <c r="K205" s="1" t="s">
        <v>2992</v>
      </c>
      <c r="L205" s="1">
        <v>2022</v>
      </c>
      <c r="N205" s="1" t="s">
        <v>2991</v>
      </c>
      <c r="O205" s="25" t="s">
        <v>1</v>
      </c>
      <c r="P205" s="25" t="s">
        <v>1</v>
      </c>
      <c r="Q205" s="25" t="s">
        <v>1</v>
      </c>
      <c r="R205" s="25" t="s">
        <v>1</v>
      </c>
      <c r="S205" s="25" t="s">
        <v>1</v>
      </c>
      <c r="T205" s="25" t="s">
        <v>1</v>
      </c>
      <c r="U205" s="25" t="s">
        <v>1</v>
      </c>
      <c r="V205" s="25" t="s">
        <v>1</v>
      </c>
      <c r="W205" s="25" t="s">
        <v>1</v>
      </c>
      <c r="X205" s="25" t="s">
        <v>1</v>
      </c>
      <c r="Y205" s="25" t="s">
        <v>1</v>
      </c>
      <c r="Z205" s="25" t="s">
        <v>1</v>
      </c>
      <c r="AA205" s="95" t="s">
        <v>2320</v>
      </c>
    </row>
    <row r="206" spans="1:30">
      <c r="A206" s="1">
        <f t="shared" ref="A206:A270" si="3">A205+1</f>
        <v>202</v>
      </c>
      <c r="B206" s="1" t="s">
        <v>309</v>
      </c>
      <c r="C206" s="26" t="s">
        <v>1720</v>
      </c>
      <c r="D206" s="3">
        <v>60</v>
      </c>
      <c r="E206" s="1" t="s">
        <v>5</v>
      </c>
      <c r="F206" s="3">
        <v>10</v>
      </c>
      <c r="G206" s="4">
        <v>44637</v>
      </c>
      <c r="H206" s="1" t="s">
        <v>2990</v>
      </c>
      <c r="I206" s="1" t="s">
        <v>2989</v>
      </c>
      <c r="J206" s="1" t="s">
        <v>2082</v>
      </c>
      <c r="K206" s="1" t="s">
        <v>2988</v>
      </c>
      <c r="L206" s="1">
        <v>2014</v>
      </c>
      <c r="N206" s="1" t="s">
        <v>2987</v>
      </c>
      <c r="O206" s="25" t="s">
        <v>4</v>
      </c>
      <c r="P206" s="25">
        <v>4.5</v>
      </c>
      <c r="Q206" s="25" t="s">
        <v>2986</v>
      </c>
      <c r="R206" s="25" t="s">
        <v>4</v>
      </c>
      <c r="S206" s="25">
        <v>1.8</v>
      </c>
      <c r="T206" s="25" t="s">
        <v>2985</v>
      </c>
      <c r="U206" s="25" t="s">
        <v>1</v>
      </c>
      <c r="V206" s="25" t="s">
        <v>1</v>
      </c>
      <c r="W206" s="25" t="s">
        <v>1</v>
      </c>
      <c r="X206" s="25" t="s">
        <v>1</v>
      </c>
      <c r="Y206" s="25" t="s">
        <v>1</v>
      </c>
      <c r="Z206" s="25" t="s">
        <v>1</v>
      </c>
      <c r="AA206" s="95" t="s">
        <v>2085</v>
      </c>
    </row>
    <row r="207" spans="1:30">
      <c r="A207" s="1">
        <f t="shared" si="3"/>
        <v>203</v>
      </c>
      <c r="B207" s="1" t="s">
        <v>2984</v>
      </c>
      <c r="C207" s="26" t="s">
        <v>1720</v>
      </c>
      <c r="D207" s="3">
        <v>50</v>
      </c>
      <c r="E207" s="1" t="s">
        <v>5</v>
      </c>
      <c r="F207" s="3">
        <v>20.9</v>
      </c>
      <c r="G207" s="4">
        <v>44411</v>
      </c>
      <c r="H207" s="1" t="s">
        <v>2983</v>
      </c>
      <c r="I207" s="1" t="s">
        <v>2982</v>
      </c>
      <c r="J207" s="1" t="s">
        <v>2082</v>
      </c>
      <c r="K207" s="1" t="s">
        <v>2981</v>
      </c>
      <c r="L207" s="1">
        <v>2018</v>
      </c>
      <c r="N207" s="1" t="s">
        <v>2980</v>
      </c>
      <c r="O207" s="25" t="s">
        <v>4</v>
      </c>
      <c r="P207" s="25">
        <v>1.5</v>
      </c>
      <c r="Q207" s="25" t="s">
        <v>2979</v>
      </c>
      <c r="R207" s="25" t="s">
        <v>1</v>
      </c>
      <c r="S207" s="25" t="s">
        <v>1</v>
      </c>
      <c r="T207" s="25" t="s">
        <v>1</v>
      </c>
      <c r="U207" s="25" t="s">
        <v>1</v>
      </c>
      <c r="V207" s="25" t="s">
        <v>1</v>
      </c>
      <c r="W207" s="25" t="s">
        <v>1</v>
      </c>
      <c r="X207" s="25" t="s">
        <v>1</v>
      </c>
      <c r="Y207" s="25" t="s">
        <v>1</v>
      </c>
      <c r="Z207" s="25" t="s">
        <v>1</v>
      </c>
      <c r="AA207" s="95" t="s">
        <v>2241</v>
      </c>
    </row>
    <row r="208" spans="1:30">
      <c r="A208" s="1">
        <f t="shared" si="3"/>
        <v>204</v>
      </c>
      <c r="B208" s="1" t="s">
        <v>1113</v>
      </c>
      <c r="C208" s="26" t="s">
        <v>1720</v>
      </c>
      <c r="D208" s="3">
        <v>50</v>
      </c>
      <c r="E208" s="1" t="s">
        <v>4</v>
      </c>
      <c r="F208" s="15">
        <v>18.5</v>
      </c>
      <c r="G208" s="4">
        <v>45050</v>
      </c>
      <c r="H208" s="1" t="s">
        <v>2978</v>
      </c>
      <c r="I208" s="1" t="s">
        <v>2977</v>
      </c>
      <c r="J208" s="1" t="s">
        <v>2082</v>
      </c>
      <c r="K208" s="1" t="s">
        <v>2093</v>
      </c>
      <c r="L208" s="1">
        <v>2023</v>
      </c>
      <c r="N208" s="1" t="s">
        <v>2976</v>
      </c>
      <c r="O208" s="25" t="s">
        <v>1</v>
      </c>
      <c r="P208" s="25" t="s">
        <v>1</v>
      </c>
      <c r="Q208" s="25" t="s">
        <v>1</v>
      </c>
      <c r="R208" s="25" t="s">
        <v>1</v>
      </c>
      <c r="S208" s="25" t="s">
        <v>1</v>
      </c>
      <c r="T208" s="25" t="s">
        <v>1</v>
      </c>
      <c r="U208" s="25" t="s">
        <v>1</v>
      </c>
      <c r="V208" s="25" t="s">
        <v>1</v>
      </c>
      <c r="W208" s="25" t="s">
        <v>1</v>
      </c>
      <c r="X208" s="25" t="s">
        <v>1</v>
      </c>
      <c r="Y208" s="25" t="s">
        <v>1</v>
      </c>
      <c r="Z208" s="25" t="s">
        <v>1</v>
      </c>
      <c r="AA208" s="95" t="s">
        <v>2405</v>
      </c>
    </row>
    <row r="209" spans="1:30">
      <c r="B209" s="1" t="s">
        <v>2062</v>
      </c>
      <c r="C209" s="26" t="s">
        <v>1720</v>
      </c>
      <c r="D209" s="3">
        <v>50</v>
      </c>
      <c r="E209" s="1" t="s">
        <v>5</v>
      </c>
      <c r="F209" s="3">
        <v>18</v>
      </c>
      <c r="G209" s="4">
        <v>44866</v>
      </c>
      <c r="H209" s="1" t="s">
        <v>4549</v>
      </c>
      <c r="I209" s="1" t="s">
        <v>4548</v>
      </c>
      <c r="J209" s="1" t="s">
        <v>2082</v>
      </c>
      <c r="K209" s="1" t="s">
        <v>2093</v>
      </c>
      <c r="L209" s="1">
        <v>2021</v>
      </c>
      <c r="N209" s="1" t="s">
        <v>4550</v>
      </c>
      <c r="O209" s="25" t="s">
        <v>4</v>
      </c>
      <c r="P209" s="25">
        <v>5.0999999999999996</v>
      </c>
      <c r="Q209" s="25" t="s">
        <v>4552</v>
      </c>
      <c r="R209" s="25" t="s">
        <v>1</v>
      </c>
      <c r="S209" s="25" t="s">
        <v>1</v>
      </c>
      <c r="T209" s="25" t="s">
        <v>1</v>
      </c>
      <c r="U209" s="25" t="s">
        <v>1</v>
      </c>
      <c r="V209" s="25" t="s">
        <v>1</v>
      </c>
      <c r="W209" s="25" t="s">
        <v>1</v>
      </c>
      <c r="X209" s="25" t="s">
        <v>1</v>
      </c>
      <c r="Y209" s="25" t="s">
        <v>1</v>
      </c>
      <c r="Z209" s="25" t="s">
        <v>1</v>
      </c>
      <c r="AA209" s="95" t="s">
        <v>2085</v>
      </c>
      <c r="AB209" s="28" t="s">
        <v>4547</v>
      </c>
      <c r="AC209" s="109"/>
      <c r="AD209" s="101"/>
    </row>
    <row r="210" spans="1:30">
      <c r="A210" s="1">
        <f>A208+1</f>
        <v>205</v>
      </c>
      <c r="B210" s="1" t="s">
        <v>474</v>
      </c>
      <c r="C210" s="26" t="s">
        <v>1720</v>
      </c>
      <c r="D210" s="3">
        <v>50</v>
      </c>
      <c r="E210" s="1" t="s">
        <v>5</v>
      </c>
      <c r="F210" s="3">
        <v>15.5</v>
      </c>
      <c r="G210" s="4">
        <v>44727</v>
      </c>
      <c r="H210" s="1" t="s">
        <v>2975</v>
      </c>
      <c r="I210" s="1" t="s">
        <v>2974</v>
      </c>
      <c r="J210" s="1" t="s">
        <v>2082</v>
      </c>
      <c r="K210" s="1" t="s">
        <v>2280</v>
      </c>
      <c r="L210" s="1">
        <v>2013</v>
      </c>
      <c r="N210" s="1" t="s">
        <v>2973</v>
      </c>
      <c r="O210" s="25" t="s">
        <v>5</v>
      </c>
      <c r="P210" s="25">
        <v>12</v>
      </c>
      <c r="Q210" s="41" t="s">
        <v>2972</v>
      </c>
      <c r="R210" s="25" t="s">
        <v>4</v>
      </c>
      <c r="S210" s="25">
        <v>2</v>
      </c>
      <c r="T210" s="25" t="s">
        <v>1116</v>
      </c>
      <c r="U210" s="25" t="s">
        <v>1</v>
      </c>
      <c r="V210" s="25" t="s">
        <v>1</v>
      </c>
      <c r="W210" s="25" t="s">
        <v>1</v>
      </c>
      <c r="X210" s="25" t="s">
        <v>1</v>
      </c>
      <c r="Y210" s="25" t="s">
        <v>1</v>
      </c>
      <c r="Z210" s="25" t="s">
        <v>1</v>
      </c>
      <c r="AA210" s="95" t="s">
        <v>2115</v>
      </c>
    </row>
    <row r="211" spans="1:30">
      <c r="A211" s="1">
        <f t="shared" si="3"/>
        <v>206</v>
      </c>
      <c r="B211" s="1" t="s">
        <v>362</v>
      </c>
      <c r="C211" s="26" t="s">
        <v>1720</v>
      </c>
      <c r="D211" s="3">
        <v>50</v>
      </c>
      <c r="E211" s="1" t="s">
        <v>5</v>
      </c>
      <c r="F211" s="3">
        <v>16</v>
      </c>
      <c r="G211" s="4">
        <v>44663</v>
      </c>
      <c r="H211" s="1" t="s">
        <v>2971</v>
      </c>
      <c r="I211" s="1" t="s">
        <v>2970</v>
      </c>
      <c r="J211" s="1" t="s">
        <v>2082</v>
      </c>
      <c r="K211" s="1" t="s">
        <v>2269</v>
      </c>
      <c r="L211" s="1">
        <v>2019</v>
      </c>
      <c r="N211" s="1" t="s">
        <v>2969</v>
      </c>
      <c r="O211" s="25" t="s">
        <v>4</v>
      </c>
      <c r="P211" s="25">
        <v>12</v>
      </c>
      <c r="Q211" s="25" t="s">
        <v>2968</v>
      </c>
      <c r="R211" s="25" t="s">
        <v>1</v>
      </c>
      <c r="S211" s="25" t="s">
        <v>1</v>
      </c>
      <c r="T211" s="25" t="s">
        <v>1</v>
      </c>
      <c r="U211" s="25" t="s">
        <v>1</v>
      </c>
      <c r="V211" s="25" t="s">
        <v>1</v>
      </c>
      <c r="W211" s="25" t="s">
        <v>1</v>
      </c>
      <c r="X211" s="25" t="s">
        <v>1</v>
      </c>
      <c r="Y211" s="25" t="s">
        <v>1</v>
      </c>
      <c r="Z211" s="25" t="s">
        <v>1</v>
      </c>
      <c r="AA211" s="95" t="s">
        <v>2115</v>
      </c>
    </row>
    <row r="212" spans="1:30">
      <c r="A212" s="1">
        <f t="shared" si="3"/>
        <v>207</v>
      </c>
      <c r="B212" s="1" t="s">
        <v>305</v>
      </c>
      <c r="C212" s="26" t="s">
        <v>1720</v>
      </c>
      <c r="D212" s="3">
        <v>50</v>
      </c>
      <c r="E212" s="1" t="s">
        <v>5</v>
      </c>
      <c r="F212" s="3">
        <v>15</v>
      </c>
      <c r="G212" s="4">
        <v>44314</v>
      </c>
      <c r="H212" s="1" t="s">
        <v>2967</v>
      </c>
      <c r="I212" s="1" t="s">
        <v>2966</v>
      </c>
      <c r="J212" s="1" t="s">
        <v>2082</v>
      </c>
      <c r="K212" s="1" t="s">
        <v>2965</v>
      </c>
      <c r="L212" s="1">
        <v>2017</v>
      </c>
      <c r="N212" s="1" t="s">
        <v>2964</v>
      </c>
      <c r="O212" s="25" t="s">
        <v>285</v>
      </c>
      <c r="P212" s="25" t="s">
        <v>1</v>
      </c>
      <c r="Q212" s="25" t="s">
        <v>2963</v>
      </c>
      <c r="R212" s="25" t="s">
        <v>1</v>
      </c>
      <c r="S212" s="25" t="s">
        <v>1</v>
      </c>
      <c r="T212" s="25" t="s">
        <v>1</v>
      </c>
      <c r="U212" s="25" t="s">
        <v>1</v>
      </c>
      <c r="V212" s="25" t="s">
        <v>1</v>
      </c>
      <c r="W212" s="25" t="s">
        <v>1</v>
      </c>
      <c r="X212" s="25" t="s">
        <v>1</v>
      </c>
      <c r="Y212" s="25" t="s">
        <v>1</v>
      </c>
      <c r="Z212" s="25" t="s">
        <v>1</v>
      </c>
      <c r="AA212" s="95" t="s">
        <v>2962</v>
      </c>
    </row>
    <row r="213" spans="1:30" s="12" customFormat="1">
      <c r="A213" s="1">
        <f t="shared" si="3"/>
        <v>208</v>
      </c>
      <c r="B213" s="12" t="s">
        <v>2961</v>
      </c>
      <c r="C213" s="35" t="s">
        <v>1720</v>
      </c>
      <c r="D213" s="15">
        <v>50</v>
      </c>
      <c r="E213" s="12" t="s">
        <v>5</v>
      </c>
      <c r="F213" s="15">
        <v>11</v>
      </c>
      <c r="G213" s="14">
        <v>45070</v>
      </c>
      <c r="H213" s="12" t="s">
        <v>2133</v>
      </c>
      <c r="J213" s="40" t="s">
        <v>2082</v>
      </c>
      <c r="K213" s="40" t="s">
        <v>2499</v>
      </c>
      <c r="L213" s="12">
        <v>2018</v>
      </c>
      <c r="N213" s="12" t="s">
        <v>2960</v>
      </c>
      <c r="O213" s="24" t="s">
        <v>4</v>
      </c>
      <c r="P213" s="24" t="s">
        <v>1</v>
      </c>
      <c r="Q213" s="24" t="s">
        <v>2959</v>
      </c>
      <c r="R213" s="24" t="s">
        <v>285</v>
      </c>
      <c r="S213" s="24" t="s">
        <v>1</v>
      </c>
      <c r="T213" s="24" t="s">
        <v>2958</v>
      </c>
      <c r="U213" s="25" t="s">
        <v>1</v>
      </c>
      <c r="V213" s="25" t="s">
        <v>1</v>
      </c>
      <c r="W213" s="25" t="s">
        <v>1</v>
      </c>
      <c r="X213" s="25" t="s">
        <v>1</v>
      </c>
      <c r="Y213" s="25" t="s">
        <v>1</v>
      </c>
      <c r="Z213" s="25" t="s">
        <v>1</v>
      </c>
      <c r="AA213" s="12" t="s">
        <v>2957</v>
      </c>
      <c r="AC213" s="110"/>
      <c r="AD213" s="102"/>
    </row>
    <row r="214" spans="1:30">
      <c r="A214" s="1">
        <f t="shared" si="3"/>
        <v>209</v>
      </c>
      <c r="B214" s="1" t="s">
        <v>693</v>
      </c>
      <c r="C214" s="26" t="s">
        <v>1720</v>
      </c>
      <c r="D214" s="3">
        <v>50</v>
      </c>
      <c r="E214" s="1" t="s">
        <v>5</v>
      </c>
      <c r="F214" s="3">
        <v>15</v>
      </c>
      <c r="G214" s="4">
        <v>44838</v>
      </c>
      <c r="H214" s="1" t="s">
        <v>2956</v>
      </c>
      <c r="I214" s="1" t="s">
        <v>2955</v>
      </c>
      <c r="J214" s="1" t="s">
        <v>2082</v>
      </c>
      <c r="K214" s="1" t="s">
        <v>2786</v>
      </c>
      <c r="L214" s="1">
        <v>2020</v>
      </c>
      <c r="N214" s="1" t="s">
        <v>2954</v>
      </c>
      <c r="O214" s="25" t="s">
        <v>1</v>
      </c>
      <c r="P214" s="25" t="s">
        <v>1</v>
      </c>
      <c r="Q214" s="25" t="s">
        <v>1</v>
      </c>
      <c r="R214" s="25" t="s">
        <v>1</v>
      </c>
      <c r="S214" s="25" t="s">
        <v>1</v>
      </c>
      <c r="T214" s="25" t="s">
        <v>1</v>
      </c>
      <c r="U214" s="25" t="s">
        <v>1</v>
      </c>
      <c r="V214" s="25" t="s">
        <v>1</v>
      </c>
      <c r="W214" s="25" t="s">
        <v>1</v>
      </c>
      <c r="X214" s="25" t="s">
        <v>1</v>
      </c>
      <c r="Y214" s="25" t="s">
        <v>1</v>
      </c>
      <c r="Z214" s="25" t="s">
        <v>1</v>
      </c>
      <c r="AA214" s="95" t="s">
        <v>2953</v>
      </c>
    </row>
    <row r="215" spans="1:30" s="12" customFormat="1">
      <c r="A215" s="1">
        <f t="shared" si="3"/>
        <v>210</v>
      </c>
      <c r="B215" s="12" t="s">
        <v>728</v>
      </c>
      <c r="C215" s="35" t="s">
        <v>1720</v>
      </c>
      <c r="D215" s="15">
        <v>50</v>
      </c>
      <c r="E215" s="12" t="s">
        <v>5</v>
      </c>
      <c r="F215" s="15">
        <v>12.5</v>
      </c>
      <c r="G215" s="14">
        <v>44784</v>
      </c>
      <c r="H215" s="12" t="s">
        <v>2952</v>
      </c>
      <c r="I215" s="12" t="s">
        <v>2951</v>
      </c>
      <c r="J215" s="12" t="s">
        <v>2082</v>
      </c>
      <c r="K215" s="12" t="s">
        <v>2099</v>
      </c>
      <c r="L215" s="39">
        <v>2018</v>
      </c>
      <c r="N215" s="12" t="s">
        <v>2950</v>
      </c>
      <c r="O215" s="24" t="s">
        <v>5</v>
      </c>
      <c r="P215" s="24">
        <v>10</v>
      </c>
      <c r="Q215" s="24" t="s">
        <v>2949</v>
      </c>
      <c r="R215" s="24" t="s">
        <v>285</v>
      </c>
      <c r="S215" s="24" t="s">
        <v>1</v>
      </c>
      <c r="T215" s="24" t="s">
        <v>2948</v>
      </c>
      <c r="U215" s="24" t="s">
        <v>4</v>
      </c>
      <c r="V215" s="24" t="s">
        <v>1</v>
      </c>
      <c r="W215" s="24" t="s">
        <v>2947</v>
      </c>
      <c r="X215" s="24" t="s">
        <v>1</v>
      </c>
      <c r="Y215" s="24" t="s">
        <v>1</v>
      </c>
      <c r="Z215" s="24" t="s">
        <v>1</v>
      </c>
      <c r="AA215" s="12" t="s">
        <v>2946</v>
      </c>
      <c r="AC215" s="110"/>
      <c r="AD215" s="102"/>
    </row>
    <row r="216" spans="1:30" s="12" customFormat="1">
      <c r="A216" s="1">
        <f t="shared" si="3"/>
        <v>211</v>
      </c>
      <c r="B216" s="12" t="s">
        <v>691</v>
      </c>
      <c r="C216" s="35" t="s">
        <v>1720</v>
      </c>
      <c r="D216" s="15">
        <v>50</v>
      </c>
      <c r="E216" s="12" t="s">
        <v>4</v>
      </c>
      <c r="F216" s="15">
        <v>5.3</v>
      </c>
      <c r="G216" s="14">
        <v>45069</v>
      </c>
      <c r="H216" s="12" t="s">
        <v>2945</v>
      </c>
      <c r="I216" s="12" t="s">
        <v>2944</v>
      </c>
      <c r="J216" s="12" t="s">
        <v>2082</v>
      </c>
      <c r="K216" s="12" t="s">
        <v>2345</v>
      </c>
      <c r="L216" s="38">
        <v>44531</v>
      </c>
      <c r="N216" s="12" t="s">
        <v>2943</v>
      </c>
      <c r="O216" s="24" t="s">
        <v>285</v>
      </c>
      <c r="P216" s="24" t="s">
        <v>1</v>
      </c>
      <c r="Q216" s="24" t="s">
        <v>692</v>
      </c>
      <c r="R216" s="24" t="s">
        <v>1</v>
      </c>
      <c r="S216" s="24" t="s">
        <v>1</v>
      </c>
      <c r="T216" s="24" t="s">
        <v>1</v>
      </c>
      <c r="U216" s="24" t="s">
        <v>1</v>
      </c>
      <c r="V216" s="24" t="s">
        <v>1</v>
      </c>
      <c r="W216" s="24" t="s">
        <v>1</v>
      </c>
      <c r="X216" s="24" t="s">
        <v>1</v>
      </c>
      <c r="Y216" s="24" t="s">
        <v>1</v>
      </c>
      <c r="Z216" s="24" t="s">
        <v>1</v>
      </c>
      <c r="AA216" s="12" t="s">
        <v>2942</v>
      </c>
      <c r="AC216" s="110"/>
      <c r="AD216" s="102"/>
    </row>
    <row r="217" spans="1:30">
      <c r="A217" s="1">
        <f t="shared" si="3"/>
        <v>212</v>
      </c>
      <c r="B217" s="1" t="s">
        <v>689</v>
      </c>
      <c r="C217" s="26" t="s">
        <v>1720</v>
      </c>
      <c r="D217" s="3">
        <v>50</v>
      </c>
      <c r="E217" s="1" t="s">
        <v>4</v>
      </c>
      <c r="F217" s="3">
        <v>15</v>
      </c>
      <c r="G217" s="4">
        <v>44691</v>
      </c>
      <c r="H217" s="1" t="s">
        <v>2926</v>
      </c>
      <c r="I217" s="1" t="s">
        <v>2941</v>
      </c>
      <c r="J217" s="1" t="s">
        <v>2082</v>
      </c>
      <c r="K217" s="1" t="s">
        <v>2682</v>
      </c>
      <c r="L217" s="32">
        <v>44362</v>
      </c>
      <c r="N217" s="1" t="s">
        <v>2940</v>
      </c>
      <c r="O217" s="25" t="s">
        <v>1</v>
      </c>
      <c r="P217" s="25" t="s">
        <v>1</v>
      </c>
      <c r="Q217" s="25" t="s">
        <v>1</v>
      </c>
      <c r="R217" s="25" t="s">
        <v>1</v>
      </c>
      <c r="S217" s="25" t="s">
        <v>1</v>
      </c>
      <c r="T217" s="25" t="s">
        <v>1</v>
      </c>
      <c r="U217" s="25" t="s">
        <v>1</v>
      </c>
      <c r="V217" s="25" t="s">
        <v>1</v>
      </c>
      <c r="W217" s="25" t="s">
        <v>1</v>
      </c>
      <c r="X217" s="25" t="s">
        <v>1</v>
      </c>
      <c r="Y217" s="25" t="s">
        <v>1</v>
      </c>
      <c r="Z217" s="25" t="s">
        <v>1</v>
      </c>
      <c r="AA217" s="95" t="s">
        <v>2194</v>
      </c>
    </row>
    <row r="218" spans="1:30">
      <c r="A218" s="1">
        <f t="shared" si="3"/>
        <v>213</v>
      </c>
      <c r="B218" s="1" t="s">
        <v>687</v>
      </c>
      <c r="C218" s="26" t="s">
        <v>1720</v>
      </c>
      <c r="D218" s="3">
        <v>50</v>
      </c>
      <c r="E218" s="1" t="s">
        <v>5</v>
      </c>
      <c r="F218" s="3">
        <v>15</v>
      </c>
      <c r="G218" s="31">
        <v>44482</v>
      </c>
      <c r="H218" s="1" t="s">
        <v>2939</v>
      </c>
      <c r="I218" s="1" t="s">
        <v>2938</v>
      </c>
      <c r="J218" s="1" t="s">
        <v>2082</v>
      </c>
      <c r="K218" s="1" t="s">
        <v>2093</v>
      </c>
      <c r="L218" s="1">
        <v>2020</v>
      </c>
      <c r="N218" s="1" t="s">
        <v>2937</v>
      </c>
      <c r="O218" s="25" t="s">
        <v>4</v>
      </c>
      <c r="P218" s="25">
        <v>4.5</v>
      </c>
      <c r="Q218" s="25" t="s">
        <v>2936</v>
      </c>
      <c r="R218" s="25" t="s">
        <v>285</v>
      </c>
      <c r="S218" s="25">
        <v>0.125</v>
      </c>
      <c r="T218" s="25" t="s">
        <v>1084</v>
      </c>
      <c r="U218" s="25" t="s">
        <v>1</v>
      </c>
      <c r="V218" s="25" t="s">
        <v>1</v>
      </c>
      <c r="W218" s="25" t="s">
        <v>1</v>
      </c>
      <c r="X218" s="25" t="s">
        <v>1</v>
      </c>
      <c r="Y218" s="25" t="s">
        <v>1</v>
      </c>
      <c r="Z218" s="25" t="s">
        <v>1</v>
      </c>
      <c r="AA218" s="95" t="s">
        <v>2132</v>
      </c>
    </row>
    <row r="219" spans="1:30">
      <c r="A219" s="1">
        <f t="shared" si="3"/>
        <v>214</v>
      </c>
      <c r="B219" s="1" t="s">
        <v>683</v>
      </c>
      <c r="C219" s="26" t="s">
        <v>1720</v>
      </c>
      <c r="D219" s="3">
        <v>50</v>
      </c>
      <c r="E219" s="1" t="s">
        <v>5</v>
      </c>
      <c r="F219" s="3">
        <v>14.5</v>
      </c>
      <c r="G219" s="31">
        <v>44389</v>
      </c>
      <c r="H219" s="1" t="s">
        <v>2935</v>
      </c>
      <c r="I219" s="1" t="s">
        <v>2934</v>
      </c>
      <c r="J219" s="1" t="s">
        <v>2082</v>
      </c>
      <c r="K219" s="1" t="s">
        <v>2093</v>
      </c>
      <c r="L219" s="1">
        <v>2019</v>
      </c>
      <c r="N219" s="1" t="s">
        <v>2933</v>
      </c>
      <c r="O219" s="25" t="s">
        <v>4</v>
      </c>
      <c r="P219" s="25">
        <v>3</v>
      </c>
      <c r="Q219" s="25" t="s">
        <v>2932</v>
      </c>
      <c r="R219" s="25" t="s">
        <v>285</v>
      </c>
      <c r="S219" s="25" t="s">
        <v>1</v>
      </c>
      <c r="T219" s="25" t="s">
        <v>2931</v>
      </c>
      <c r="U219" s="25" t="s">
        <v>1</v>
      </c>
      <c r="V219" s="25" t="s">
        <v>1</v>
      </c>
      <c r="W219" s="25" t="s">
        <v>1</v>
      </c>
      <c r="X219" s="25" t="s">
        <v>1</v>
      </c>
      <c r="Y219" s="25" t="s">
        <v>1</v>
      </c>
      <c r="Z219" s="25" t="s">
        <v>1</v>
      </c>
      <c r="AA219" s="95" t="s">
        <v>2405</v>
      </c>
    </row>
    <row r="220" spans="1:30">
      <c r="A220" s="1">
        <f t="shared" si="3"/>
        <v>215</v>
      </c>
      <c r="B220" s="1" t="s">
        <v>788</v>
      </c>
      <c r="C220" s="26" t="s">
        <v>1720</v>
      </c>
      <c r="D220" s="3">
        <v>50</v>
      </c>
      <c r="E220" s="1" t="s">
        <v>4</v>
      </c>
      <c r="F220" s="3">
        <v>15</v>
      </c>
      <c r="G220" s="4">
        <v>44999</v>
      </c>
      <c r="H220" s="1" t="s">
        <v>2930</v>
      </c>
      <c r="I220" s="1" t="s">
        <v>2929</v>
      </c>
      <c r="J220" s="1" t="s">
        <v>2082</v>
      </c>
      <c r="K220" s="1" t="s">
        <v>2093</v>
      </c>
      <c r="L220" s="1">
        <v>2021</v>
      </c>
      <c r="M220" s="1" t="s">
        <v>2928</v>
      </c>
      <c r="N220" s="1" t="s">
        <v>1</v>
      </c>
      <c r="O220" s="25" t="s">
        <v>285</v>
      </c>
      <c r="P220" s="25">
        <v>4.5</v>
      </c>
      <c r="Q220" s="25" t="s">
        <v>2927</v>
      </c>
      <c r="R220" s="25" t="s">
        <v>1</v>
      </c>
      <c r="S220" s="25" t="s">
        <v>1</v>
      </c>
      <c r="T220" s="25" t="s">
        <v>1</v>
      </c>
      <c r="U220" s="25" t="s">
        <v>1</v>
      </c>
      <c r="V220" s="25" t="s">
        <v>1</v>
      </c>
      <c r="W220" s="25" t="s">
        <v>1</v>
      </c>
      <c r="X220" s="25" t="s">
        <v>1</v>
      </c>
      <c r="Y220" s="25" t="s">
        <v>1</v>
      </c>
      <c r="Z220" s="25" t="s">
        <v>1</v>
      </c>
      <c r="AA220" s="95" t="s">
        <v>2405</v>
      </c>
    </row>
    <row r="221" spans="1:30">
      <c r="A221" s="1">
        <f t="shared" si="3"/>
        <v>216</v>
      </c>
      <c r="B221" s="1" t="s">
        <v>680</v>
      </c>
      <c r="C221" s="26" t="s">
        <v>1720</v>
      </c>
      <c r="D221" s="3">
        <v>50</v>
      </c>
      <c r="E221" s="1" t="s">
        <v>5</v>
      </c>
      <c r="F221" s="3">
        <v>14</v>
      </c>
      <c r="G221" s="4">
        <v>44705</v>
      </c>
      <c r="H221" s="1" t="s">
        <v>2926</v>
      </c>
      <c r="I221" s="1" t="s">
        <v>2925</v>
      </c>
      <c r="J221" s="1" t="s">
        <v>2082</v>
      </c>
      <c r="K221" s="1" t="s">
        <v>2682</v>
      </c>
      <c r="L221" s="1">
        <v>2019</v>
      </c>
      <c r="N221" s="1" t="s">
        <v>2924</v>
      </c>
      <c r="O221" s="25" t="s">
        <v>4</v>
      </c>
      <c r="P221" s="25">
        <v>5</v>
      </c>
      <c r="Q221" s="25" t="s">
        <v>2923</v>
      </c>
      <c r="R221" s="25" t="s">
        <v>285</v>
      </c>
      <c r="S221" s="25">
        <v>0.62</v>
      </c>
      <c r="T221" s="25" t="s">
        <v>2922</v>
      </c>
      <c r="U221" s="25" t="s">
        <v>1</v>
      </c>
      <c r="V221" s="25" t="s">
        <v>1</v>
      </c>
      <c r="W221" s="25" t="s">
        <v>1</v>
      </c>
      <c r="X221" s="25" t="s">
        <v>1</v>
      </c>
      <c r="Y221" s="25" t="s">
        <v>1</v>
      </c>
      <c r="Z221" s="25" t="s">
        <v>1</v>
      </c>
      <c r="AA221" s="95" t="s">
        <v>2743</v>
      </c>
    </row>
    <row r="222" spans="1:30">
      <c r="A222" s="1">
        <f t="shared" si="3"/>
        <v>217</v>
      </c>
      <c r="B222" s="1" t="s">
        <v>2921</v>
      </c>
      <c r="C222" s="26" t="s">
        <v>1720</v>
      </c>
      <c r="D222" s="3">
        <v>50</v>
      </c>
      <c r="E222" s="1" t="s">
        <v>5</v>
      </c>
      <c r="F222" s="3">
        <v>13.6</v>
      </c>
      <c r="G222" s="4">
        <v>44134</v>
      </c>
      <c r="H222" s="1" t="s">
        <v>2920</v>
      </c>
      <c r="I222" s="1" t="s">
        <v>2919</v>
      </c>
      <c r="J222" s="1" t="s">
        <v>2082</v>
      </c>
      <c r="K222" s="1" t="s">
        <v>2903</v>
      </c>
      <c r="L222" s="1">
        <v>2016</v>
      </c>
      <c r="N222" s="1" t="s">
        <v>2918</v>
      </c>
      <c r="O222" s="25" t="s">
        <v>5</v>
      </c>
      <c r="P222" s="25">
        <v>6</v>
      </c>
      <c r="Q222" s="25" t="s">
        <v>2917</v>
      </c>
      <c r="R222" s="25" t="s">
        <v>4</v>
      </c>
      <c r="S222" s="25">
        <v>5</v>
      </c>
      <c r="T222" s="25" t="s">
        <v>2917</v>
      </c>
      <c r="U222" s="25" t="s">
        <v>4</v>
      </c>
      <c r="V222" s="25">
        <v>3</v>
      </c>
      <c r="W222" s="25" t="s">
        <v>2916</v>
      </c>
      <c r="X222" s="25" t="s">
        <v>4</v>
      </c>
      <c r="Y222" s="25">
        <v>2</v>
      </c>
      <c r="Z222" s="25" t="s">
        <v>2916</v>
      </c>
      <c r="AA222" s="95" t="s">
        <v>2249</v>
      </c>
    </row>
    <row r="223" spans="1:30">
      <c r="A223" s="1">
        <f t="shared" si="3"/>
        <v>218</v>
      </c>
      <c r="B223" s="1" t="s">
        <v>2915</v>
      </c>
      <c r="C223" s="26" t="s">
        <v>1720</v>
      </c>
      <c r="D223" s="3">
        <v>50</v>
      </c>
      <c r="E223" s="1" t="s">
        <v>4</v>
      </c>
      <c r="F223" s="3">
        <v>13.75</v>
      </c>
      <c r="G223" s="4">
        <v>45014</v>
      </c>
      <c r="H223" s="1" t="s">
        <v>2914</v>
      </c>
      <c r="I223" s="1" t="s">
        <v>2913</v>
      </c>
      <c r="J223" s="1" t="s">
        <v>2616</v>
      </c>
      <c r="K223" s="1" t="s">
        <v>2912</v>
      </c>
      <c r="L223" s="1">
        <v>2021</v>
      </c>
      <c r="M223" s="1" t="s">
        <v>2911</v>
      </c>
      <c r="N223" s="1" t="s">
        <v>1</v>
      </c>
      <c r="O223" s="25" t="s">
        <v>4</v>
      </c>
      <c r="P223" s="25">
        <v>5.4</v>
      </c>
      <c r="Q223" s="25" t="s">
        <v>1</v>
      </c>
      <c r="R223" s="25" t="s">
        <v>1</v>
      </c>
      <c r="S223" s="25" t="s">
        <v>1</v>
      </c>
      <c r="T223" s="25" t="s">
        <v>1</v>
      </c>
      <c r="U223" s="25" t="s">
        <v>1</v>
      </c>
      <c r="V223" s="25" t="s">
        <v>1</v>
      </c>
      <c r="W223" s="25" t="s">
        <v>1</v>
      </c>
      <c r="X223" s="25" t="s">
        <v>1</v>
      </c>
      <c r="Y223" s="25" t="s">
        <v>1</v>
      </c>
      <c r="Z223" s="25" t="s">
        <v>1</v>
      </c>
      <c r="AA223" s="95" t="s">
        <v>2132</v>
      </c>
    </row>
    <row r="224" spans="1:30">
      <c r="A224" s="1">
        <f t="shared" si="3"/>
        <v>219</v>
      </c>
      <c r="B224" s="1" t="s">
        <v>677</v>
      </c>
      <c r="C224" s="26" t="s">
        <v>1720</v>
      </c>
      <c r="D224" s="3">
        <v>50</v>
      </c>
      <c r="E224" s="1" t="s">
        <v>5</v>
      </c>
      <c r="F224" s="3">
        <v>12.7</v>
      </c>
      <c r="G224" s="4">
        <v>44952</v>
      </c>
      <c r="H224" s="1" t="s">
        <v>2910</v>
      </c>
      <c r="I224" s="1" t="s">
        <v>2909</v>
      </c>
      <c r="J224" s="1" t="s">
        <v>2082</v>
      </c>
      <c r="K224" s="1" t="s">
        <v>2572</v>
      </c>
      <c r="L224" s="1">
        <v>2021</v>
      </c>
      <c r="N224" s="1" t="s">
        <v>2908</v>
      </c>
      <c r="O224" s="25" t="s">
        <v>4</v>
      </c>
      <c r="P224" s="25">
        <v>5</v>
      </c>
      <c r="Q224" s="25" t="s">
        <v>678</v>
      </c>
      <c r="R224" s="25" t="s">
        <v>1</v>
      </c>
      <c r="S224" s="25" t="s">
        <v>1</v>
      </c>
      <c r="T224" s="25" t="s">
        <v>1</v>
      </c>
      <c r="U224" s="25" t="s">
        <v>1</v>
      </c>
      <c r="V224" s="25" t="s">
        <v>1</v>
      </c>
      <c r="W224" s="25" t="s">
        <v>1</v>
      </c>
      <c r="X224" s="25" t="s">
        <v>1</v>
      </c>
      <c r="Y224" s="25" t="s">
        <v>1</v>
      </c>
      <c r="Z224" s="25" t="s">
        <v>1</v>
      </c>
      <c r="AA224" s="95" t="s">
        <v>2092</v>
      </c>
    </row>
    <row r="225" spans="1:30">
      <c r="A225" s="1">
        <f t="shared" si="3"/>
        <v>220</v>
      </c>
      <c r="B225" s="12" t="s">
        <v>672</v>
      </c>
      <c r="C225" s="35" t="s">
        <v>1720</v>
      </c>
      <c r="D225" s="15">
        <v>50</v>
      </c>
      <c r="E225" s="12" t="s">
        <v>4</v>
      </c>
      <c r="F225" s="15">
        <v>13</v>
      </c>
      <c r="G225" s="14">
        <v>44896</v>
      </c>
      <c r="H225" s="12" t="s">
        <v>2907</v>
      </c>
      <c r="I225" s="1" t="s">
        <v>2906</v>
      </c>
      <c r="J225" s="12" t="s">
        <v>2082</v>
      </c>
      <c r="K225" s="12" t="s">
        <v>2494</v>
      </c>
      <c r="L225" s="12">
        <v>2019</v>
      </c>
      <c r="N225" s="1" t="s">
        <v>2905</v>
      </c>
      <c r="O225" s="25" t="s">
        <v>285</v>
      </c>
      <c r="P225" s="25">
        <v>1</v>
      </c>
      <c r="Q225" s="25" t="s">
        <v>1</v>
      </c>
      <c r="R225" s="25" t="s">
        <v>1</v>
      </c>
      <c r="S225" s="25" t="s">
        <v>1</v>
      </c>
      <c r="T225" s="25" t="s">
        <v>1</v>
      </c>
      <c r="U225" s="25" t="s">
        <v>1</v>
      </c>
      <c r="V225" s="25" t="s">
        <v>1</v>
      </c>
      <c r="W225" s="25" t="s">
        <v>1</v>
      </c>
      <c r="X225" s="25" t="s">
        <v>1</v>
      </c>
      <c r="Y225" s="25" t="s">
        <v>1</v>
      </c>
      <c r="Z225" s="25" t="s">
        <v>1</v>
      </c>
      <c r="AA225" s="95" t="s">
        <v>2904</v>
      </c>
    </row>
    <row r="226" spans="1:30">
      <c r="A226" s="1">
        <f t="shared" si="3"/>
        <v>221</v>
      </c>
      <c r="B226" s="1" t="s">
        <v>667</v>
      </c>
      <c r="C226" s="26" t="s">
        <v>1720</v>
      </c>
      <c r="D226" s="3">
        <v>50</v>
      </c>
      <c r="E226" s="1" t="s">
        <v>5</v>
      </c>
      <c r="F226" s="3">
        <v>12.6</v>
      </c>
      <c r="G226" s="4">
        <v>44579</v>
      </c>
      <c r="H226" s="1" t="s">
        <v>2903</v>
      </c>
      <c r="I226" s="1" t="s">
        <v>2902</v>
      </c>
      <c r="J226" s="1" t="s">
        <v>2082</v>
      </c>
      <c r="K226" s="1" t="s">
        <v>2093</v>
      </c>
      <c r="L226" s="1">
        <v>2020</v>
      </c>
      <c r="N226" s="1" t="s">
        <v>2901</v>
      </c>
      <c r="O226" s="25" t="s">
        <v>4</v>
      </c>
      <c r="P226" s="25">
        <v>3</v>
      </c>
      <c r="Q226" s="25" t="s">
        <v>2900</v>
      </c>
      <c r="R226" s="1" t="s">
        <v>1</v>
      </c>
      <c r="S226" s="1" t="s">
        <v>1</v>
      </c>
      <c r="T226" s="1" t="s">
        <v>1</v>
      </c>
      <c r="U226" s="1" t="s">
        <v>1</v>
      </c>
      <c r="V226" s="1" t="s">
        <v>1</v>
      </c>
      <c r="W226" s="1" t="s">
        <v>1</v>
      </c>
      <c r="X226" s="1" t="s">
        <v>1</v>
      </c>
      <c r="Y226" s="1" t="s">
        <v>1</v>
      </c>
      <c r="Z226" s="1" t="s">
        <v>1</v>
      </c>
      <c r="AA226" s="95" t="s">
        <v>2405</v>
      </c>
    </row>
    <row r="227" spans="1:30">
      <c r="A227" s="1">
        <f t="shared" si="3"/>
        <v>222</v>
      </c>
      <c r="B227" s="1" t="s">
        <v>699</v>
      </c>
      <c r="C227" s="26" t="s">
        <v>1720</v>
      </c>
      <c r="D227" s="3">
        <v>50</v>
      </c>
      <c r="E227" s="1" t="s">
        <v>5</v>
      </c>
      <c r="F227" s="3">
        <v>12.5</v>
      </c>
      <c r="G227" s="4">
        <v>45005</v>
      </c>
      <c r="H227" s="1" t="s">
        <v>2899</v>
      </c>
      <c r="J227" s="1" t="s">
        <v>2082</v>
      </c>
      <c r="K227" s="1" t="s">
        <v>2093</v>
      </c>
      <c r="L227" s="1">
        <v>2021</v>
      </c>
      <c r="N227" s="1" t="s">
        <v>2898</v>
      </c>
      <c r="O227" s="25" t="s">
        <v>4</v>
      </c>
      <c r="P227" s="25">
        <v>5</v>
      </c>
      <c r="Q227" s="25" t="s">
        <v>709</v>
      </c>
      <c r="R227" s="25" t="s">
        <v>1</v>
      </c>
      <c r="S227" s="25" t="s">
        <v>1</v>
      </c>
      <c r="T227" s="25" t="s">
        <v>1</v>
      </c>
      <c r="U227" s="25" t="s">
        <v>1</v>
      </c>
      <c r="V227" s="25" t="s">
        <v>1</v>
      </c>
      <c r="W227" s="25" t="s">
        <v>1</v>
      </c>
      <c r="X227" s="25" t="s">
        <v>1</v>
      </c>
      <c r="Y227" s="25" t="s">
        <v>1</v>
      </c>
      <c r="Z227" s="25" t="s">
        <v>1</v>
      </c>
      <c r="AA227" s="95" t="s">
        <v>2699</v>
      </c>
    </row>
    <row r="228" spans="1:30" s="12" customFormat="1">
      <c r="A228" s="1">
        <f t="shared" si="3"/>
        <v>223</v>
      </c>
      <c r="B228" s="12" t="s">
        <v>1085</v>
      </c>
      <c r="C228" s="35" t="s">
        <v>1720</v>
      </c>
      <c r="D228" s="15">
        <v>50</v>
      </c>
      <c r="E228" s="12" t="s">
        <v>5</v>
      </c>
      <c r="F228" s="15">
        <v>12.5</v>
      </c>
      <c r="G228" s="14">
        <v>44978</v>
      </c>
      <c r="H228" s="12" t="s">
        <v>2897</v>
      </c>
      <c r="I228" s="12" t="s">
        <v>2896</v>
      </c>
      <c r="J228" s="12" t="s">
        <v>2082</v>
      </c>
      <c r="K228" s="12" t="s">
        <v>2093</v>
      </c>
      <c r="L228" s="12">
        <v>2019</v>
      </c>
      <c r="M228" s="12" t="s">
        <v>1929</v>
      </c>
      <c r="N228" s="12" t="s">
        <v>2895</v>
      </c>
      <c r="O228" s="24" t="s">
        <v>4</v>
      </c>
      <c r="P228" s="24" t="s">
        <v>1</v>
      </c>
      <c r="Q228" s="24" t="s">
        <v>1084</v>
      </c>
      <c r="R228" s="24" t="s">
        <v>1</v>
      </c>
      <c r="S228" s="24" t="s">
        <v>1</v>
      </c>
      <c r="T228" s="24" t="s">
        <v>1</v>
      </c>
      <c r="U228" s="24" t="s">
        <v>1</v>
      </c>
      <c r="V228" s="24" t="s">
        <v>1</v>
      </c>
      <c r="W228" s="24" t="s">
        <v>1</v>
      </c>
      <c r="X228" s="24" t="s">
        <v>1</v>
      </c>
      <c r="Y228" s="24" t="s">
        <v>1</v>
      </c>
      <c r="Z228" s="24" t="s">
        <v>1</v>
      </c>
      <c r="AA228" s="12" t="s">
        <v>2405</v>
      </c>
      <c r="AC228" s="110"/>
      <c r="AD228" s="102"/>
    </row>
    <row r="229" spans="1:30">
      <c r="A229" s="1">
        <f t="shared" si="3"/>
        <v>224</v>
      </c>
      <c r="B229" s="1" t="s">
        <v>785</v>
      </c>
      <c r="C229" s="26" t="s">
        <v>1720</v>
      </c>
      <c r="D229" s="3">
        <v>50</v>
      </c>
      <c r="E229" s="1" t="s">
        <v>5</v>
      </c>
      <c r="F229" s="3">
        <v>12.8</v>
      </c>
      <c r="G229" s="4">
        <v>44698</v>
      </c>
      <c r="H229" s="1" t="s">
        <v>2894</v>
      </c>
      <c r="J229" s="1" t="s">
        <v>2082</v>
      </c>
      <c r="K229" s="1" t="s">
        <v>2093</v>
      </c>
      <c r="L229" s="1">
        <v>2020</v>
      </c>
      <c r="N229" s="1" t="s">
        <v>2893</v>
      </c>
      <c r="O229" s="25" t="s">
        <v>4</v>
      </c>
      <c r="P229" s="25">
        <v>5.5</v>
      </c>
      <c r="Q229" s="25" t="s">
        <v>2892</v>
      </c>
      <c r="R229" s="1" t="s">
        <v>1</v>
      </c>
      <c r="S229" s="1" t="s">
        <v>1</v>
      </c>
      <c r="T229" s="1" t="s">
        <v>1</v>
      </c>
      <c r="U229" s="1" t="s">
        <v>1</v>
      </c>
      <c r="V229" s="1" t="s">
        <v>1</v>
      </c>
      <c r="W229" s="1" t="s">
        <v>1</v>
      </c>
      <c r="X229" s="1" t="s">
        <v>1</v>
      </c>
      <c r="Y229" s="1" t="s">
        <v>1</v>
      </c>
      <c r="Z229" s="1" t="s">
        <v>1</v>
      </c>
      <c r="AA229" s="95" t="s">
        <v>2405</v>
      </c>
    </row>
    <row r="230" spans="1:30">
      <c r="A230" s="1">
        <f t="shared" si="3"/>
        <v>225</v>
      </c>
      <c r="B230" s="1" t="s">
        <v>655</v>
      </c>
      <c r="C230" s="26" t="s">
        <v>1720</v>
      </c>
      <c r="D230" s="3">
        <v>50</v>
      </c>
      <c r="E230" s="1" t="s">
        <v>5</v>
      </c>
      <c r="F230" s="3">
        <v>12.5</v>
      </c>
      <c r="G230" s="4">
        <v>43391</v>
      </c>
      <c r="H230" s="1" t="s">
        <v>2891</v>
      </c>
      <c r="I230" s="1" t="s">
        <v>2890</v>
      </c>
      <c r="J230" s="1" t="s">
        <v>2082</v>
      </c>
      <c r="K230" s="1" t="s">
        <v>2093</v>
      </c>
      <c r="L230" s="1">
        <v>2018</v>
      </c>
      <c r="N230" s="1" t="s">
        <v>2889</v>
      </c>
      <c r="O230" s="25" t="s">
        <v>4</v>
      </c>
      <c r="P230" s="25">
        <v>2</v>
      </c>
      <c r="Q230" s="25" t="s">
        <v>828</v>
      </c>
      <c r="R230" s="25" t="s">
        <v>1</v>
      </c>
      <c r="S230" s="25" t="s">
        <v>1</v>
      </c>
      <c r="T230" s="25" t="s">
        <v>1</v>
      </c>
      <c r="U230" s="25" t="s">
        <v>1</v>
      </c>
      <c r="V230" s="25" t="s">
        <v>1</v>
      </c>
      <c r="W230" s="25" t="s">
        <v>1</v>
      </c>
      <c r="X230" s="25" t="s">
        <v>1</v>
      </c>
      <c r="Y230" s="25" t="s">
        <v>1</v>
      </c>
      <c r="Z230" s="25" t="s">
        <v>1</v>
      </c>
      <c r="AA230" s="95" t="s">
        <v>2888</v>
      </c>
    </row>
    <row r="231" spans="1:30">
      <c r="A231" s="1">
        <f t="shared" si="3"/>
        <v>226</v>
      </c>
      <c r="B231" s="1" t="s">
        <v>657</v>
      </c>
      <c r="C231" s="26" t="s">
        <v>1720</v>
      </c>
      <c r="D231" s="3">
        <v>50</v>
      </c>
      <c r="E231" s="1" t="s">
        <v>5</v>
      </c>
      <c r="F231" s="3">
        <v>13</v>
      </c>
      <c r="G231" s="4">
        <v>44642</v>
      </c>
      <c r="H231" s="1" t="s">
        <v>2887</v>
      </c>
      <c r="I231" s="1" t="s">
        <v>2886</v>
      </c>
      <c r="J231" s="1" t="s">
        <v>2082</v>
      </c>
      <c r="K231" s="1" t="s">
        <v>2093</v>
      </c>
      <c r="L231" s="1">
        <v>2019</v>
      </c>
      <c r="N231" s="1" t="s">
        <v>2885</v>
      </c>
      <c r="O231" s="25" t="s">
        <v>4</v>
      </c>
      <c r="P231" s="25">
        <v>3.5</v>
      </c>
      <c r="Q231" s="25" t="s">
        <v>2884</v>
      </c>
      <c r="R231" s="25" t="s">
        <v>285</v>
      </c>
      <c r="S231" s="25">
        <v>1</v>
      </c>
      <c r="T231" s="25" t="s">
        <v>2883</v>
      </c>
      <c r="U231" s="25" t="s">
        <v>1</v>
      </c>
      <c r="V231" s="25" t="s">
        <v>1</v>
      </c>
      <c r="W231" s="25" t="s">
        <v>1</v>
      </c>
      <c r="X231" s="25" t="s">
        <v>1</v>
      </c>
      <c r="Y231" s="25" t="s">
        <v>1</v>
      </c>
      <c r="Z231" s="25" t="s">
        <v>1</v>
      </c>
      <c r="AA231" s="95" t="s">
        <v>2882</v>
      </c>
    </row>
    <row r="232" spans="1:30">
      <c r="A232" s="1">
        <f t="shared" si="3"/>
        <v>227</v>
      </c>
      <c r="B232" s="1" t="s">
        <v>662</v>
      </c>
      <c r="C232" s="26" t="s">
        <v>1720</v>
      </c>
      <c r="D232" s="3">
        <v>50</v>
      </c>
      <c r="E232" s="1" t="s">
        <v>4</v>
      </c>
      <c r="F232" s="3">
        <v>12.25</v>
      </c>
      <c r="G232" s="4">
        <v>44622</v>
      </c>
      <c r="H232" s="1" t="s">
        <v>2881</v>
      </c>
      <c r="I232" s="1" t="s">
        <v>2880</v>
      </c>
      <c r="J232" s="1" t="s">
        <v>2082</v>
      </c>
      <c r="K232" s="1" t="s">
        <v>2093</v>
      </c>
      <c r="L232" s="1">
        <v>2019</v>
      </c>
      <c r="M232" s="1" t="s">
        <v>2879</v>
      </c>
      <c r="N232" s="1" t="s">
        <v>2878</v>
      </c>
      <c r="O232" s="25" t="s">
        <v>4</v>
      </c>
      <c r="P232" s="25">
        <v>3.8</v>
      </c>
      <c r="Q232" s="25" t="s">
        <v>1</v>
      </c>
      <c r="R232" s="25" t="s">
        <v>1</v>
      </c>
      <c r="S232" s="25" t="s">
        <v>1</v>
      </c>
      <c r="T232" s="25" t="s">
        <v>1</v>
      </c>
      <c r="U232" s="25" t="s">
        <v>1</v>
      </c>
      <c r="V232" s="25" t="s">
        <v>1</v>
      </c>
      <c r="W232" s="25" t="s">
        <v>1</v>
      </c>
      <c r="X232" s="25" t="s">
        <v>1</v>
      </c>
      <c r="Y232" s="25" t="s">
        <v>1</v>
      </c>
      <c r="Z232" s="25" t="s">
        <v>1</v>
      </c>
      <c r="AA232" s="95" t="s">
        <v>2405</v>
      </c>
    </row>
    <row r="233" spans="1:30">
      <c r="A233" s="1">
        <f t="shared" si="3"/>
        <v>228</v>
      </c>
      <c r="B233" s="1" t="s">
        <v>526</v>
      </c>
      <c r="C233" s="26" t="s">
        <v>1720</v>
      </c>
      <c r="D233" s="3">
        <v>50</v>
      </c>
      <c r="E233" s="1" t="s">
        <v>5</v>
      </c>
      <c r="F233" s="3">
        <v>12</v>
      </c>
      <c r="G233" s="4">
        <v>44340</v>
      </c>
      <c r="H233" s="1" t="s">
        <v>2877</v>
      </c>
      <c r="I233" s="1" t="s">
        <v>2876</v>
      </c>
      <c r="J233" s="1" t="s">
        <v>2082</v>
      </c>
      <c r="K233" s="1" t="s">
        <v>2116</v>
      </c>
      <c r="L233" s="1">
        <v>2014</v>
      </c>
      <c r="N233" s="1" t="s">
        <v>2875</v>
      </c>
      <c r="O233" s="25" t="s">
        <v>4</v>
      </c>
      <c r="P233" s="25">
        <v>4</v>
      </c>
      <c r="Q233" s="25" t="s">
        <v>2874</v>
      </c>
      <c r="R233" s="25" t="s">
        <v>4</v>
      </c>
      <c r="S233" s="25">
        <v>1.7</v>
      </c>
      <c r="T233" s="25" t="s">
        <v>2873</v>
      </c>
      <c r="U233" s="25" t="s">
        <v>4</v>
      </c>
      <c r="V233" s="25" t="s">
        <v>1</v>
      </c>
      <c r="W233" s="25" t="s">
        <v>2872</v>
      </c>
      <c r="X233" s="25" t="s">
        <v>4</v>
      </c>
      <c r="Y233" s="25" t="s">
        <v>1</v>
      </c>
      <c r="Z233" s="25" t="s">
        <v>2871</v>
      </c>
      <c r="AA233" s="95" t="s">
        <v>2870</v>
      </c>
    </row>
    <row r="234" spans="1:30">
      <c r="A234" s="1">
        <f t="shared" si="3"/>
        <v>229</v>
      </c>
      <c r="B234" s="1" t="s">
        <v>660</v>
      </c>
      <c r="C234" s="26" t="s">
        <v>1720</v>
      </c>
      <c r="D234" s="3">
        <v>50</v>
      </c>
      <c r="E234" s="1" t="s">
        <v>5</v>
      </c>
      <c r="F234" s="3">
        <v>12</v>
      </c>
      <c r="G234" s="4">
        <v>44677</v>
      </c>
      <c r="H234" s="1" t="s">
        <v>2869</v>
      </c>
      <c r="I234" s="1" t="s">
        <v>2868</v>
      </c>
      <c r="J234" s="1" t="s">
        <v>2082</v>
      </c>
      <c r="K234" s="1" t="s">
        <v>2093</v>
      </c>
      <c r="L234" s="1">
        <v>2019</v>
      </c>
      <c r="N234" s="1" t="s">
        <v>2867</v>
      </c>
      <c r="O234" s="25" t="s">
        <v>4</v>
      </c>
      <c r="P234" s="25">
        <v>8</v>
      </c>
      <c r="Q234" s="1" t="s">
        <v>2866</v>
      </c>
      <c r="R234" s="25" t="s">
        <v>1</v>
      </c>
      <c r="S234" s="25" t="s">
        <v>1</v>
      </c>
      <c r="T234" s="25" t="s">
        <v>1</v>
      </c>
      <c r="U234" s="25" t="s">
        <v>1</v>
      </c>
      <c r="V234" s="25" t="s">
        <v>1</v>
      </c>
      <c r="W234" s="25" t="s">
        <v>1</v>
      </c>
      <c r="X234" s="25" t="s">
        <v>1</v>
      </c>
      <c r="Y234" s="25" t="s">
        <v>1</v>
      </c>
      <c r="Z234" s="25" t="s">
        <v>1</v>
      </c>
      <c r="AA234" s="95" t="s">
        <v>2405</v>
      </c>
    </row>
    <row r="235" spans="1:30">
      <c r="A235" s="1">
        <f t="shared" si="3"/>
        <v>230</v>
      </c>
      <c r="B235" s="1" t="s">
        <v>653</v>
      </c>
      <c r="C235" s="26" t="s">
        <v>1720</v>
      </c>
      <c r="D235" s="3">
        <v>50</v>
      </c>
      <c r="E235" s="1" t="s">
        <v>5</v>
      </c>
      <c r="F235" s="3">
        <v>12</v>
      </c>
      <c r="G235" s="4">
        <v>44860</v>
      </c>
      <c r="H235" s="1" t="s">
        <v>2438</v>
      </c>
      <c r="I235" s="1" t="s">
        <v>2865</v>
      </c>
      <c r="J235" s="1" t="s">
        <v>2082</v>
      </c>
      <c r="K235" s="1" t="s">
        <v>2093</v>
      </c>
      <c r="L235" s="1">
        <v>2020</v>
      </c>
      <c r="M235" s="1" t="s">
        <v>2864</v>
      </c>
      <c r="N235" s="1" t="s">
        <v>2863</v>
      </c>
      <c r="O235" s="25" t="s">
        <v>4</v>
      </c>
      <c r="P235" s="25">
        <v>2.8</v>
      </c>
      <c r="Q235" s="25" t="s">
        <v>2862</v>
      </c>
      <c r="R235" s="25" t="s">
        <v>1</v>
      </c>
      <c r="S235" s="25" t="s">
        <v>1</v>
      </c>
      <c r="T235" s="25" t="s">
        <v>1</v>
      </c>
      <c r="U235" s="25" t="s">
        <v>1</v>
      </c>
      <c r="V235" s="25" t="s">
        <v>1</v>
      </c>
      <c r="W235" s="25" t="s">
        <v>1</v>
      </c>
      <c r="X235" s="25" t="s">
        <v>1</v>
      </c>
      <c r="Y235" s="25" t="s">
        <v>1</v>
      </c>
      <c r="Z235" s="25" t="s">
        <v>1</v>
      </c>
      <c r="AA235" s="95" t="s">
        <v>2861</v>
      </c>
    </row>
    <row r="236" spans="1:30">
      <c r="A236" s="1">
        <f t="shared" si="3"/>
        <v>231</v>
      </c>
      <c r="B236" s="1" t="s">
        <v>663</v>
      </c>
      <c r="C236" s="26" t="s">
        <v>1720</v>
      </c>
      <c r="D236" s="3">
        <v>50</v>
      </c>
      <c r="E236" s="1" t="s">
        <v>5</v>
      </c>
      <c r="F236" s="3">
        <v>12</v>
      </c>
      <c r="G236" s="4">
        <v>44971</v>
      </c>
      <c r="H236" s="1" t="s">
        <v>2860</v>
      </c>
      <c r="I236" s="1" t="s">
        <v>2859</v>
      </c>
      <c r="J236" s="1" t="s">
        <v>2082</v>
      </c>
      <c r="K236" s="1" t="s">
        <v>2093</v>
      </c>
      <c r="L236" s="1">
        <v>2022</v>
      </c>
      <c r="N236" s="1" t="s">
        <v>2858</v>
      </c>
      <c r="O236" s="25" t="s">
        <v>4</v>
      </c>
      <c r="P236" s="25">
        <v>5</v>
      </c>
      <c r="Q236" s="25" t="s">
        <v>2857</v>
      </c>
      <c r="R236" s="25" t="s">
        <v>1</v>
      </c>
      <c r="S236" s="25" t="s">
        <v>1</v>
      </c>
      <c r="T236" s="25" t="s">
        <v>1</v>
      </c>
      <c r="U236" s="25" t="s">
        <v>1</v>
      </c>
      <c r="V236" s="25" t="s">
        <v>1</v>
      </c>
      <c r="W236" s="25" t="s">
        <v>1</v>
      </c>
      <c r="X236" s="25" t="s">
        <v>1</v>
      </c>
      <c r="Y236" s="25" t="s">
        <v>1</v>
      </c>
      <c r="Z236" s="25" t="s">
        <v>1</v>
      </c>
      <c r="AA236" s="95" t="s">
        <v>2162</v>
      </c>
    </row>
    <row r="237" spans="1:30">
      <c r="A237" s="1">
        <f t="shared" si="3"/>
        <v>232</v>
      </c>
      <c r="B237" s="1" t="s">
        <v>731</v>
      </c>
      <c r="C237" s="26" t="s">
        <v>1720</v>
      </c>
      <c r="D237" s="3">
        <v>50</v>
      </c>
      <c r="E237" s="1" t="s">
        <v>5</v>
      </c>
      <c r="F237" s="3">
        <v>11</v>
      </c>
      <c r="G237" s="4">
        <v>44483</v>
      </c>
      <c r="H237" s="1" t="s">
        <v>2856</v>
      </c>
      <c r="I237" s="1" t="s">
        <v>2855</v>
      </c>
      <c r="J237" s="1" t="s">
        <v>2082</v>
      </c>
      <c r="K237" s="1" t="s">
        <v>2163</v>
      </c>
      <c r="L237" s="1">
        <v>2020</v>
      </c>
      <c r="N237" s="1" t="s">
        <v>2854</v>
      </c>
      <c r="O237" s="25" t="s">
        <v>4</v>
      </c>
      <c r="P237" s="25">
        <v>2.9</v>
      </c>
      <c r="Q237" s="25" t="s">
        <v>2853</v>
      </c>
      <c r="R237" s="25" t="s">
        <v>285</v>
      </c>
      <c r="S237" s="25" t="s">
        <v>1</v>
      </c>
      <c r="T237" s="25" t="s">
        <v>2852</v>
      </c>
      <c r="U237" s="25" t="s">
        <v>1</v>
      </c>
      <c r="V237" s="25" t="s">
        <v>1</v>
      </c>
      <c r="W237" s="25" t="s">
        <v>1</v>
      </c>
      <c r="X237" s="25" t="s">
        <v>1</v>
      </c>
      <c r="Y237" s="25" t="s">
        <v>1</v>
      </c>
      <c r="Z237" s="25" t="s">
        <v>1</v>
      </c>
      <c r="AA237" s="95" t="s">
        <v>2851</v>
      </c>
    </row>
    <row r="238" spans="1:30">
      <c r="A238" s="1">
        <f t="shared" si="3"/>
        <v>233</v>
      </c>
      <c r="B238" s="1" t="s">
        <v>2850</v>
      </c>
      <c r="C238" s="26" t="s">
        <v>1720</v>
      </c>
      <c r="D238" s="3">
        <v>50</v>
      </c>
      <c r="E238" s="1" t="s">
        <v>5</v>
      </c>
      <c r="F238" s="3">
        <v>11</v>
      </c>
      <c r="G238" s="4">
        <v>44959</v>
      </c>
      <c r="H238" s="1" t="s">
        <v>2849</v>
      </c>
      <c r="I238" s="1" t="s">
        <v>2848</v>
      </c>
      <c r="J238" s="1" t="s">
        <v>2082</v>
      </c>
      <c r="K238" s="1" t="s">
        <v>2163</v>
      </c>
      <c r="L238" s="1">
        <v>2020</v>
      </c>
      <c r="N238" s="1" t="s">
        <v>2847</v>
      </c>
      <c r="O238" s="25" t="s">
        <v>4</v>
      </c>
      <c r="P238" s="25">
        <v>2.2000000000000002</v>
      </c>
      <c r="Q238" s="25" t="s">
        <v>2846</v>
      </c>
      <c r="R238" s="25" t="s">
        <v>1</v>
      </c>
      <c r="S238" s="25" t="s">
        <v>1</v>
      </c>
      <c r="T238" s="25" t="s">
        <v>1</v>
      </c>
      <c r="U238" s="25" t="s">
        <v>1</v>
      </c>
      <c r="V238" s="25" t="s">
        <v>1</v>
      </c>
      <c r="W238" s="25" t="s">
        <v>1</v>
      </c>
      <c r="X238" s="25" t="s">
        <v>1</v>
      </c>
      <c r="Y238" s="25" t="s">
        <v>1</v>
      </c>
      <c r="Z238" s="25" t="s">
        <v>1</v>
      </c>
      <c r="AA238" s="95" t="s">
        <v>2092</v>
      </c>
    </row>
    <row r="239" spans="1:30">
      <c r="A239" s="1">
        <f t="shared" si="3"/>
        <v>234</v>
      </c>
      <c r="B239" s="1" t="s">
        <v>2845</v>
      </c>
      <c r="C239" s="26" t="s">
        <v>1720</v>
      </c>
      <c r="D239" s="3">
        <v>50</v>
      </c>
      <c r="E239" s="1" t="s">
        <v>5</v>
      </c>
      <c r="F239" s="3">
        <v>10.6</v>
      </c>
      <c r="G239" s="4">
        <v>44819</v>
      </c>
      <c r="H239" s="1" t="s">
        <v>2844</v>
      </c>
      <c r="I239" s="1" t="s">
        <v>2843</v>
      </c>
      <c r="J239" s="1" t="s">
        <v>2082</v>
      </c>
      <c r="K239" s="1" t="s">
        <v>2345</v>
      </c>
      <c r="L239" s="1">
        <v>2019</v>
      </c>
      <c r="N239" s="1" t="s">
        <v>2842</v>
      </c>
      <c r="O239" s="25" t="s">
        <v>4</v>
      </c>
      <c r="P239" s="25">
        <v>1.5</v>
      </c>
      <c r="Q239" s="25" t="s">
        <v>2841</v>
      </c>
      <c r="R239" s="25" t="s">
        <v>285</v>
      </c>
      <c r="S239" s="25">
        <v>0.1</v>
      </c>
      <c r="T239" s="25" t="s">
        <v>650</v>
      </c>
      <c r="U239" s="25" t="s">
        <v>1</v>
      </c>
      <c r="V239" s="25" t="s">
        <v>1</v>
      </c>
      <c r="W239" s="25" t="s">
        <v>1</v>
      </c>
      <c r="X239" s="25" t="s">
        <v>1</v>
      </c>
      <c r="Y239" s="25" t="s">
        <v>1</v>
      </c>
      <c r="Z239" s="25" t="s">
        <v>1</v>
      </c>
      <c r="AA239" s="95" t="s">
        <v>2085</v>
      </c>
    </row>
    <row r="240" spans="1:30">
      <c r="A240" s="1">
        <f t="shared" si="3"/>
        <v>235</v>
      </c>
      <c r="B240" s="1" t="s">
        <v>646</v>
      </c>
      <c r="C240" s="26" t="s">
        <v>1720</v>
      </c>
      <c r="D240" s="3">
        <v>50</v>
      </c>
      <c r="E240" s="1" t="s">
        <v>4</v>
      </c>
      <c r="F240" s="3">
        <v>10.6</v>
      </c>
      <c r="G240" s="4">
        <v>45007</v>
      </c>
      <c r="H240" s="1" t="s">
        <v>2840</v>
      </c>
      <c r="I240" s="1" t="s">
        <v>2839</v>
      </c>
      <c r="J240" s="1" t="s">
        <v>2082</v>
      </c>
      <c r="K240" s="1" t="s">
        <v>2280</v>
      </c>
      <c r="L240" s="1">
        <v>2022</v>
      </c>
      <c r="N240" s="1" t="s">
        <v>2838</v>
      </c>
      <c r="O240" s="25" t="s">
        <v>1</v>
      </c>
      <c r="P240" s="25" t="s">
        <v>1</v>
      </c>
      <c r="Q240" s="25" t="s">
        <v>1</v>
      </c>
      <c r="R240" s="25" t="s">
        <v>1</v>
      </c>
      <c r="S240" s="25" t="s">
        <v>1</v>
      </c>
      <c r="T240" s="25" t="s">
        <v>1</v>
      </c>
      <c r="U240" s="25" t="s">
        <v>1</v>
      </c>
      <c r="V240" s="25" t="s">
        <v>1</v>
      </c>
      <c r="W240" s="25" t="s">
        <v>1</v>
      </c>
      <c r="X240" s="25" t="s">
        <v>1</v>
      </c>
      <c r="Y240" s="25" t="s">
        <v>1</v>
      </c>
      <c r="Z240" s="25" t="s">
        <v>1</v>
      </c>
      <c r="AA240" s="95" t="s">
        <v>2115</v>
      </c>
    </row>
    <row r="241" spans="1:30">
      <c r="A241" s="1">
        <f t="shared" si="3"/>
        <v>236</v>
      </c>
      <c r="B241" s="1" t="s">
        <v>643</v>
      </c>
      <c r="C241" s="26" t="s">
        <v>1720</v>
      </c>
      <c r="D241" s="3">
        <v>50</v>
      </c>
      <c r="E241" s="1" t="s">
        <v>4</v>
      </c>
      <c r="F241" s="3">
        <v>10.5</v>
      </c>
      <c r="G241" s="4">
        <v>44984</v>
      </c>
      <c r="H241" s="1" t="s">
        <v>2133</v>
      </c>
      <c r="I241" s="1" t="s">
        <v>2837</v>
      </c>
      <c r="J241" s="1" t="s">
        <v>2082</v>
      </c>
      <c r="K241" s="1" t="s">
        <v>2499</v>
      </c>
      <c r="L241" s="1">
        <v>2019</v>
      </c>
      <c r="N241" s="1" t="s">
        <v>2836</v>
      </c>
      <c r="O241" s="25" t="s">
        <v>4</v>
      </c>
      <c r="P241" s="25">
        <v>3</v>
      </c>
      <c r="Q241" s="25" t="s">
        <v>2835</v>
      </c>
      <c r="R241" s="25" t="s">
        <v>4</v>
      </c>
      <c r="S241" s="25">
        <v>2</v>
      </c>
      <c r="T241" s="25" t="s">
        <v>2834</v>
      </c>
      <c r="U241" s="25" t="s">
        <v>285</v>
      </c>
      <c r="V241" s="25">
        <v>0.6</v>
      </c>
      <c r="W241" s="25" t="s">
        <v>1</v>
      </c>
      <c r="X241" s="25" t="s">
        <v>1</v>
      </c>
      <c r="Y241" s="25" t="s">
        <v>1</v>
      </c>
      <c r="Z241" s="25" t="s">
        <v>1</v>
      </c>
      <c r="AA241" s="95" t="s">
        <v>2132</v>
      </c>
    </row>
    <row r="242" spans="1:30">
      <c r="A242" s="1">
        <f t="shared" si="3"/>
        <v>237</v>
      </c>
      <c r="B242" s="1" t="s">
        <v>584</v>
      </c>
      <c r="C242" s="26" t="s">
        <v>1720</v>
      </c>
      <c r="D242" s="3">
        <v>50</v>
      </c>
      <c r="E242" s="1" t="s">
        <v>4</v>
      </c>
      <c r="F242" s="3">
        <v>10</v>
      </c>
      <c r="G242" s="4">
        <v>44887</v>
      </c>
      <c r="H242" s="1" t="s">
        <v>2833</v>
      </c>
      <c r="I242" s="1" t="s">
        <v>2832</v>
      </c>
      <c r="J242" s="1" t="s">
        <v>2082</v>
      </c>
      <c r="K242" s="1" t="s">
        <v>2099</v>
      </c>
      <c r="L242" s="1">
        <v>2021</v>
      </c>
      <c r="N242" s="1" t="s">
        <v>2831</v>
      </c>
      <c r="O242" s="25" t="s">
        <v>1</v>
      </c>
      <c r="P242" s="25" t="s">
        <v>1</v>
      </c>
      <c r="Q242" s="25" t="s">
        <v>1</v>
      </c>
      <c r="R242" s="25" t="s">
        <v>1</v>
      </c>
      <c r="S242" s="25" t="s">
        <v>1</v>
      </c>
      <c r="T242" s="25" t="s">
        <v>1</v>
      </c>
      <c r="U242" s="25" t="s">
        <v>1</v>
      </c>
      <c r="V242" s="25" t="s">
        <v>1</v>
      </c>
      <c r="W242" s="25" t="s">
        <v>1</v>
      </c>
      <c r="X242" s="25" t="s">
        <v>1</v>
      </c>
      <c r="Y242" s="25" t="s">
        <v>1</v>
      </c>
      <c r="Z242" s="25" t="s">
        <v>1</v>
      </c>
      <c r="AA242" s="95" t="s">
        <v>2092</v>
      </c>
    </row>
    <row r="243" spans="1:30">
      <c r="A243" s="1">
        <f t="shared" si="3"/>
        <v>238</v>
      </c>
      <c r="B243" s="1" t="s">
        <v>783</v>
      </c>
      <c r="C243" s="26" t="s">
        <v>1720</v>
      </c>
      <c r="D243" s="3">
        <v>50</v>
      </c>
      <c r="E243" s="1" t="s">
        <v>4</v>
      </c>
      <c r="F243" s="3">
        <v>10</v>
      </c>
      <c r="G243" s="4">
        <v>44858</v>
      </c>
      <c r="H243" s="1" t="s">
        <v>2830</v>
      </c>
      <c r="I243" s="1" t="s">
        <v>2829</v>
      </c>
      <c r="J243" s="1" t="s">
        <v>2351</v>
      </c>
      <c r="K243" s="1" t="s">
        <v>2828</v>
      </c>
      <c r="L243" s="1">
        <v>2021</v>
      </c>
      <c r="N243" s="1" t="s">
        <v>2827</v>
      </c>
      <c r="O243" s="25" t="s">
        <v>4</v>
      </c>
      <c r="P243" s="25">
        <v>4.5999999999999996</v>
      </c>
      <c r="Q243" s="25" t="s">
        <v>2826</v>
      </c>
      <c r="R243" s="25" t="s">
        <v>1</v>
      </c>
      <c r="S243" s="25" t="s">
        <v>1</v>
      </c>
      <c r="T243" s="25" t="s">
        <v>1</v>
      </c>
      <c r="U243" s="25" t="s">
        <v>1</v>
      </c>
      <c r="V243" s="25" t="s">
        <v>1</v>
      </c>
      <c r="W243" s="25" t="s">
        <v>1</v>
      </c>
      <c r="X243" s="25" t="s">
        <v>1</v>
      </c>
      <c r="Y243" s="25" t="s">
        <v>1</v>
      </c>
      <c r="Z243" s="25" t="s">
        <v>1</v>
      </c>
      <c r="AA243" s="95" t="s">
        <v>2825</v>
      </c>
    </row>
    <row r="244" spans="1:30">
      <c r="A244" s="1">
        <f t="shared" si="3"/>
        <v>239</v>
      </c>
      <c r="B244" s="1" t="s">
        <v>416</v>
      </c>
      <c r="C244" s="26" t="s">
        <v>1720</v>
      </c>
      <c r="D244" s="3">
        <v>50</v>
      </c>
      <c r="E244" s="1" t="s">
        <v>5</v>
      </c>
      <c r="F244" s="3">
        <v>10</v>
      </c>
      <c r="G244" s="4">
        <v>44740</v>
      </c>
      <c r="H244" s="1" t="s">
        <v>2824</v>
      </c>
      <c r="I244" s="1" t="s">
        <v>2823</v>
      </c>
      <c r="J244" s="1" t="s">
        <v>2082</v>
      </c>
      <c r="K244" s="1" t="s">
        <v>2436</v>
      </c>
      <c r="L244" s="1">
        <v>2016</v>
      </c>
      <c r="N244" s="1" t="s">
        <v>2822</v>
      </c>
      <c r="O244" s="25" t="s">
        <v>4</v>
      </c>
      <c r="P244" s="25">
        <v>4</v>
      </c>
      <c r="Q244" s="25" t="s">
        <v>2821</v>
      </c>
      <c r="R244" s="25" t="s">
        <v>1</v>
      </c>
      <c r="S244" s="25" t="s">
        <v>1</v>
      </c>
      <c r="T244" s="25" t="s">
        <v>1</v>
      </c>
      <c r="U244" s="25" t="s">
        <v>1</v>
      </c>
      <c r="V244" s="25" t="s">
        <v>1</v>
      </c>
      <c r="W244" s="25" t="s">
        <v>1</v>
      </c>
      <c r="X244" s="25" t="s">
        <v>1</v>
      </c>
      <c r="Y244" s="25" t="s">
        <v>1</v>
      </c>
      <c r="Z244" s="25" t="s">
        <v>1</v>
      </c>
      <c r="AA244" s="95" t="s">
        <v>2123</v>
      </c>
    </row>
    <row r="245" spans="1:30">
      <c r="A245" s="1">
        <f t="shared" si="3"/>
        <v>240</v>
      </c>
      <c r="B245" s="1" t="s">
        <v>576</v>
      </c>
      <c r="C245" s="26" t="s">
        <v>1720</v>
      </c>
      <c r="D245" s="3">
        <v>50</v>
      </c>
      <c r="E245" s="1" t="s">
        <v>4</v>
      </c>
      <c r="F245" s="3">
        <v>9</v>
      </c>
      <c r="G245" s="4">
        <v>44859</v>
      </c>
      <c r="H245" s="1" t="s">
        <v>2820</v>
      </c>
      <c r="I245" s="1" t="s">
        <v>2819</v>
      </c>
      <c r="J245" s="1" t="s">
        <v>2082</v>
      </c>
      <c r="K245" s="1" t="s">
        <v>2818</v>
      </c>
      <c r="L245" s="1">
        <v>2021</v>
      </c>
      <c r="M245" s="1" t="s">
        <v>2817</v>
      </c>
      <c r="N245" s="1" t="s">
        <v>2816</v>
      </c>
      <c r="O245" s="25" t="s">
        <v>1</v>
      </c>
      <c r="P245" s="25" t="s">
        <v>1</v>
      </c>
      <c r="Q245" s="25" t="s">
        <v>1</v>
      </c>
      <c r="R245" s="25" t="s">
        <v>1</v>
      </c>
      <c r="S245" s="25" t="s">
        <v>1</v>
      </c>
      <c r="T245" s="25" t="s">
        <v>1</v>
      </c>
      <c r="U245" s="25" t="s">
        <v>1</v>
      </c>
      <c r="V245" s="25" t="s">
        <v>1</v>
      </c>
      <c r="W245" s="25" t="s">
        <v>1</v>
      </c>
      <c r="X245" s="25" t="s">
        <v>1</v>
      </c>
      <c r="Y245" s="25" t="s">
        <v>1</v>
      </c>
      <c r="Z245" s="25" t="s">
        <v>1</v>
      </c>
      <c r="AA245" s="95" t="s">
        <v>2115</v>
      </c>
    </row>
    <row r="246" spans="1:30">
      <c r="A246" s="1">
        <f t="shared" si="3"/>
        <v>241</v>
      </c>
      <c r="B246" s="1" t="s">
        <v>436</v>
      </c>
      <c r="C246" s="26" t="s">
        <v>1720</v>
      </c>
      <c r="D246" s="3">
        <v>50</v>
      </c>
      <c r="E246" s="1" t="s">
        <v>5</v>
      </c>
      <c r="F246" s="3">
        <v>8.5</v>
      </c>
      <c r="G246" s="4">
        <v>44307</v>
      </c>
      <c r="H246" s="1" t="s">
        <v>2815</v>
      </c>
      <c r="I246" s="1" t="s">
        <v>2814</v>
      </c>
      <c r="J246" s="1" t="s">
        <v>2082</v>
      </c>
      <c r="K246" s="1" t="s">
        <v>2813</v>
      </c>
      <c r="L246" s="1">
        <v>2016</v>
      </c>
      <c r="N246" s="1" t="s">
        <v>2812</v>
      </c>
      <c r="O246" s="25" t="s">
        <v>4</v>
      </c>
      <c r="P246" s="25">
        <v>4.4000000000000004</v>
      </c>
      <c r="Q246" s="25" t="s">
        <v>1</v>
      </c>
      <c r="R246" s="25" t="s">
        <v>1</v>
      </c>
      <c r="S246" s="25" t="s">
        <v>1</v>
      </c>
      <c r="T246" s="25" t="s">
        <v>1</v>
      </c>
      <c r="U246" s="25" t="s">
        <v>1</v>
      </c>
      <c r="V246" s="25" t="s">
        <v>1</v>
      </c>
      <c r="W246" s="25" t="s">
        <v>1</v>
      </c>
      <c r="X246" s="25" t="s">
        <v>1</v>
      </c>
      <c r="Y246" s="25" t="s">
        <v>1</v>
      </c>
      <c r="Z246" s="25" t="s">
        <v>1</v>
      </c>
      <c r="AA246" s="95" t="s">
        <v>2088</v>
      </c>
    </row>
    <row r="247" spans="1:30">
      <c r="A247" s="1">
        <f t="shared" si="3"/>
        <v>242</v>
      </c>
      <c r="B247" s="1" t="s">
        <v>591</v>
      </c>
      <c r="C247" s="26" t="s">
        <v>1720</v>
      </c>
      <c r="D247" s="3">
        <v>50</v>
      </c>
      <c r="E247" s="1" t="s">
        <v>4</v>
      </c>
      <c r="F247" s="3">
        <v>8</v>
      </c>
      <c r="G247" s="4">
        <v>44711</v>
      </c>
      <c r="H247" s="1" t="s">
        <v>2811</v>
      </c>
      <c r="I247" s="1" t="s">
        <v>2810</v>
      </c>
      <c r="J247" s="1" t="s">
        <v>2082</v>
      </c>
      <c r="K247" s="1" t="s">
        <v>2280</v>
      </c>
      <c r="L247" s="1">
        <v>2021</v>
      </c>
      <c r="M247" s="1" t="s">
        <v>2809</v>
      </c>
      <c r="N247" s="1" t="s">
        <v>2808</v>
      </c>
      <c r="O247" s="25" t="s">
        <v>1</v>
      </c>
      <c r="P247" s="25" t="s">
        <v>1</v>
      </c>
      <c r="Q247" s="25" t="s">
        <v>1</v>
      </c>
      <c r="R247" s="25" t="s">
        <v>1</v>
      </c>
      <c r="S247" s="25" t="s">
        <v>1</v>
      </c>
      <c r="T247" s="25" t="s">
        <v>1</v>
      </c>
      <c r="U247" s="25" t="s">
        <v>1</v>
      </c>
      <c r="V247" s="25" t="s">
        <v>1</v>
      </c>
      <c r="W247" s="25" t="s">
        <v>1</v>
      </c>
      <c r="X247" s="25" t="s">
        <v>1</v>
      </c>
      <c r="Y247" s="25" t="s">
        <v>1</v>
      </c>
      <c r="Z247" s="25" t="s">
        <v>1</v>
      </c>
      <c r="AA247" s="95" t="s">
        <v>2115</v>
      </c>
    </row>
    <row r="248" spans="1:30">
      <c r="A248" s="1">
        <f t="shared" si="3"/>
        <v>243</v>
      </c>
      <c r="B248" s="1" t="s">
        <v>2807</v>
      </c>
      <c r="C248" s="26" t="s">
        <v>1720</v>
      </c>
      <c r="D248" s="3">
        <v>50</v>
      </c>
      <c r="E248" s="1" t="s">
        <v>5</v>
      </c>
      <c r="F248" s="3">
        <v>8</v>
      </c>
      <c r="G248" s="4">
        <v>45020</v>
      </c>
      <c r="H248" s="1" t="s">
        <v>2806</v>
      </c>
      <c r="J248" s="1" t="s">
        <v>2082</v>
      </c>
      <c r="K248" s="1" t="s">
        <v>2345</v>
      </c>
      <c r="L248" s="1">
        <v>2019</v>
      </c>
      <c r="N248" s="1" t="s">
        <v>2805</v>
      </c>
      <c r="O248" s="25" t="s">
        <v>1</v>
      </c>
      <c r="P248" s="25" t="s">
        <v>1</v>
      </c>
      <c r="Q248" s="25" t="s">
        <v>1</v>
      </c>
      <c r="R248" s="25" t="s">
        <v>1</v>
      </c>
      <c r="S248" s="25" t="s">
        <v>1</v>
      </c>
      <c r="T248" s="25" t="s">
        <v>1</v>
      </c>
      <c r="U248" s="25" t="s">
        <v>1</v>
      </c>
      <c r="V248" s="25" t="s">
        <v>1</v>
      </c>
      <c r="W248" s="25" t="s">
        <v>1</v>
      </c>
      <c r="X248" s="25" t="s">
        <v>1</v>
      </c>
      <c r="Y248" s="25" t="s">
        <v>1</v>
      </c>
      <c r="Z248" s="25" t="s">
        <v>1</v>
      </c>
      <c r="AA248" s="95" t="s">
        <v>2804</v>
      </c>
    </row>
    <row r="249" spans="1:30">
      <c r="A249" s="1">
        <f t="shared" si="3"/>
        <v>244</v>
      </c>
      <c r="B249" s="1" t="s">
        <v>604</v>
      </c>
      <c r="C249" s="26" t="s">
        <v>1720</v>
      </c>
      <c r="D249" s="3">
        <v>50</v>
      </c>
      <c r="E249" s="1" t="s">
        <v>4</v>
      </c>
      <c r="F249" s="3">
        <v>6.8</v>
      </c>
      <c r="G249" s="4">
        <v>44964</v>
      </c>
      <c r="H249" s="1" t="s">
        <v>2803</v>
      </c>
      <c r="I249" s="1" t="s">
        <v>2802</v>
      </c>
      <c r="J249" s="1" t="s">
        <v>2082</v>
      </c>
      <c r="K249" s="1" t="s">
        <v>2801</v>
      </c>
      <c r="L249" s="1">
        <v>2021</v>
      </c>
      <c r="N249" s="1" t="s">
        <v>2800</v>
      </c>
      <c r="O249" s="25" t="s">
        <v>4</v>
      </c>
      <c r="P249" s="25">
        <v>1.6</v>
      </c>
      <c r="Q249" s="25" t="s">
        <v>2799</v>
      </c>
      <c r="R249" s="25" t="s">
        <v>1</v>
      </c>
      <c r="S249" s="25" t="s">
        <v>1</v>
      </c>
      <c r="T249" s="25" t="s">
        <v>1</v>
      </c>
      <c r="U249" s="25" t="s">
        <v>1</v>
      </c>
      <c r="V249" s="25" t="s">
        <v>1</v>
      </c>
      <c r="W249" s="25" t="s">
        <v>1</v>
      </c>
      <c r="X249" s="25" t="s">
        <v>1</v>
      </c>
      <c r="Y249" s="25" t="s">
        <v>1</v>
      </c>
      <c r="Z249" s="25" t="s">
        <v>1</v>
      </c>
      <c r="AA249" s="95" t="s">
        <v>2798</v>
      </c>
    </row>
    <row r="250" spans="1:30">
      <c r="A250" s="1">
        <f t="shared" si="3"/>
        <v>245</v>
      </c>
      <c r="B250" s="1" t="s">
        <v>447</v>
      </c>
      <c r="C250" s="26" t="s">
        <v>1720</v>
      </c>
      <c r="D250" s="3">
        <v>50</v>
      </c>
      <c r="E250" s="1" t="s">
        <v>4</v>
      </c>
      <c r="F250" s="3">
        <v>7</v>
      </c>
      <c r="G250" s="4">
        <v>44602</v>
      </c>
      <c r="H250" s="1" t="s">
        <v>2797</v>
      </c>
      <c r="I250" s="1" t="s">
        <v>2796</v>
      </c>
      <c r="J250" s="1" t="s">
        <v>2082</v>
      </c>
      <c r="K250" s="1" t="s">
        <v>2362</v>
      </c>
      <c r="L250" s="1">
        <v>2019</v>
      </c>
      <c r="N250" s="1" t="s">
        <v>2795</v>
      </c>
      <c r="O250" s="25" t="s">
        <v>285</v>
      </c>
      <c r="P250" s="25">
        <v>1.1000000000000001</v>
      </c>
      <c r="Q250" s="25" t="s">
        <v>448</v>
      </c>
      <c r="R250" s="25" t="s">
        <v>1</v>
      </c>
      <c r="S250" s="25" t="s">
        <v>1</v>
      </c>
      <c r="T250" s="25" t="s">
        <v>1</v>
      </c>
      <c r="U250" s="25" t="s">
        <v>1</v>
      </c>
      <c r="V250" s="25" t="s">
        <v>1</v>
      </c>
      <c r="W250" s="25" t="s">
        <v>1</v>
      </c>
      <c r="X250" s="25" t="s">
        <v>1</v>
      </c>
      <c r="Y250" s="25" t="s">
        <v>1</v>
      </c>
      <c r="Z250" s="25" t="s">
        <v>1</v>
      </c>
      <c r="AA250" s="95" t="s">
        <v>2194</v>
      </c>
    </row>
    <row r="251" spans="1:30">
      <c r="A251" s="1">
        <f t="shared" si="3"/>
        <v>246</v>
      </c>
      <c r="B251" s="1" t="s">
        <v>841</v>
      </c>
      <c r="C251" s="26" t="s">
        <v>1720</v>
      </c>
      <c r="D251" s="3">
        <v>50</v>
      </c>
      <c r="E251" s="1" t="s">
        <v>4</v>
      </c>
      <c r="F251" s="3">
        <v>4.5</v>
      </c>
      <c r="G251" s="4">
        <v>45056</v>
      </c>
      <c r="H251" s="1" t="s">
        <v>2794</v>
      </c>
      <c r="I251" s="1" t="s">
        <v>2793</v>
      </c>
      <c r="J251" s="1" t="s">
        <v>2082</v>
      </c>
      <c r="K251" s="1" t="s">
        <v>2792</v>
      </c>
      <c r="L251" s="1">
        <v>2022</v>
      </c>
      <c r="N251" s="1" t="s">
        <v>2791</v>
      </c>
      <c r="O251" s="25" t="s">
        <v>1</v>
      </c>
      <c r="P251" s="25" t="s">
        <v>1</v>
      </c>
      <c r="Q251" s="25" t="s">
        <v>1</v>
      </c>
      <c r="R251" s="25" t="s">
        <v>1</v>
      </c>
      <c r="S251" s="25" t="s">
        <v>1</v>
      </c>
      <c r="T251" s="25" t="s">
        <v>1</v>
      </c>
      <c r="U251" s="25" t="s">
        <v>1</v>
      </c>
      <c r="V251" s="25" t="s">
        <v>1</v>
      </c>
      <c r="W251" s="25" t="s">
        <v>1</v>
      </c>
      <c r="X251" s="25" t="s">
        <v>1</v>
      </c>
      <c r="Y251" s="25" t="s">
        <v>1</v>
      </c>
      <c r="Z251" s="25" t="s">
        <v>1</v>
      </c>
      <c r="AA251" s="95" t="s">
        <v>2080</v>
      </c>
    </row>
    <row r="252" spans="1:30">
      <c r="A252" s="1">
        <f t="shared" si="3"/>
        <v>247</v>
      </c>
      <c r="B252" s="1" t="s">
        <v>721</v>
      </c>
      <c r="C252" s="26" t="s">
        <v>1720</v>
      </c>
      <c r="D252" s="3">
        <v>50</v>
      </c>
      <c r="E252" s="1" t="s">
        <v>4</v>
      </c>
      <c r="F252" s="3">
        <v>5.5</v>
      </c>
      <c r="G252" s="4">
        <v>45092</v>
      </c>
      <c r="H252" s="1" t="s">
        <v>2790</v>
      </c>
      <c r="J252" s="1" t="s">
        <v>2082</v>
      </c>
      <c r="K252" s="1" t="s">
        <v>2093</v>
      </c>
      <c r="L252" s="32">
        <v>44176</v>
      </c>
      <c r="N252" s="1" t="s">
        <v>2789</v>
      </c>
      <c r="O252" s="25" t="s">
        <v>285</v>
      </c>
      <c r="P252" s="25">
        <v>0.125</v>
      </c>
      <c r="Q252" s="25" t="s">
        <v>2749</v>
      </c>
      <c r="R252" s="25" t="s">
        <v>1</v>
      </c>
      <c r="S252" s="25" t="s">
        <v>1</v>
      </c>
      <c r="T252" s="25" t="s">
        <v>1</v>
      </c>
      <c r="U252" s="25" t="s">
        <v>1</v>
      </c>
      <c r="V252" s="25" t="s">
        <v>1</v>
      </c>
      <c r="W252" s="25" t="s">
        <v>1</v>
      </c>
      <c r="X252" s="25" t="s">
        <v>1</v>
      </c>
      <c r="Y252" s="25" t="s">
        <v>1</v>
      </c>
      <c r="Z252" s="25" t="s">
        <v>1</v>
      </c>
      <c r="AA252" s="95" t="s">
        <v>2405</v>
      </c>
    </row>
    <row r="253" spans="1:30" s="12" customFormat="1">
      <c r="A253" s="1">
        <f t="shared" si="3"/>
        <v>248</v>
      </c>
      <c r="B253" s="12" t="s">
        <v>573</v>
      </c>
      <c r="C253" s="35" t="s">
        <v>1720</v>
      </c>
      <c r="D253" s="15">
        <v>50</v>
      </c>
      <c r="E253" s="12" t="s">
        <v>4</v>
      </c>
      <c r="F253" s="15">
        <v>5.6</v>
      </c>
      <c r="G253" s="14">
        <v>45048</v>
      </c>
      <c r="H253" s="12" t="s">
        <v>2788</v>
      </c>
      <c r="I253" s="12" t="s">
        <v>2787</v>
      </c>
      <c r="J253" s="12" t="s">
        <v>2082</v>
      </c>
      <c r="K253" s="12" t="s">
        <v>2786</v>
      </c>
      <c r="L253" s="12">
        <v>2022</v>
      </c>
      <c r="M253" s="12" t="s">
        <v>2785</v>
      </c>
      <c r="N253" s="12" t="s">
        <v>2784</v>
      </c>
      <c r="O253" s="24" t="s">
        <v>1</v>
      </c>
      <c r="P253" s="24" t="s">
        <v>1</v>
      </c>
      <c r="Q253" s="24" t="s">
        <v>1</v>
      </c>
      <c r="R253" s="24" t="s">
        <v>1</v>
      </c>
      <c r="S253" s="24" t="s">
        <v>1</v>
      </c>
      <c r="T253" s="24" t="s">
        <v>1</v>
      </c>
      <c r="U253" s="24" t="s">
        <v>1</v>
      </c>
      <c r="V253" s="24" t="s">
        <v>1</v>
      </c>
      <c r="W253" s="24" t="s">
        <v>1</v>
      </c>
      <c r="X253" s="24" t="s">
        <v>1</v>
      </c>
      <c r="Y253" s="24" t="s">
        <v>1</v>
      </c>
      <c r="Z253" s="24" t="s">
        <v>1</v>
      </c>
      <c r="AA253" s="12" t="s">
        <v>2085</v>
      </c>
      <c r="AC253" s="110"/>
      <c r="AD253" s="102"/>
    </row>
    <row r="254" spans="1:30">
      <c r="A254" s="1">
        <f t="shared" si="3"/>
        <v>249</v>
      </c>
      <c r="B254" s="1" t="s">
        <v>602</v>
      </c>
      <c r="C254" s="26" t="s">
        <v>1720</v>
      </c>
      <c r="D254" s="3">
        <v>50</v>
      </c>
      <c r="E254" s="1" t="s">
        <v>4</v>
      </c>
      <c r="F254" s="3">
        <v>6</v>
      </c>
      <c r="G254" s="4">
        <v>44852</v>
      </c>
      <c r="H254" s="1" t="s">
        <v>2783</v>
      </c>
      <c r="I254" s="1" t="s">
        <v>2782</v>
      </c>
      <c r="J254" s="1" t="s">
        <v>2082</v>
      </c>
      <c r="K254" s="1" t="s">
        <v>2781</v>
      </c>
      <c r="L254" s="1">
        <v>2022</v>
      </c>
      <c r="N254" s="1" t="s">
        <v>2780</v>
      </c>
      <c r="O254" s="25" t="s">
        <v>1</v>
      </c>
      <c r="P254" s="25" t="s">
        <v>1</v>
      </c>
      <c r="Q254" s="25" t="s">
        <v>1</v>
      </c>
      <c r="R254" s="25" t="s">
        <v>1</v>
      </c>
      <c r="S254" s="25" t="s">
        <v>1</v>
      </c>
      <c r="T254" s="25" t="s">
        <v>1</v>
      </c>
      <c r="U254" s="25" t="s">
        <v>1</v>
      </c>
      <c r="V254" s="25" t="s">
        <v>1</v>
      </c>
      <c r="W254" s="25" t="s">
        <v>1</v>
      </c>
      <c r="X254" s="25" t="s">
        <v>1</v>
      </c>
      <c r="Y254" s="25" t="s">
        <v>1</v>
      </c>
      <c r="Z254" s="25" t="s">
        <v>1</v>
      </c>
      <c r="AA254" s="95" t="s">
        <v>2194</v>
      </c>
    </row>
    <row r="255" spans="1:30">
      <c r="A255" s="1">
        <f t="shared" si="3"/>
        <v>250</v>
      </c>
      <c r="B255" s="1" t="s">
        <v>478</v>
      </c>
      <c r="C255" s="26" t="s">
        <v>1720</v>
      </c>
      <c r="D255" s="3">
        <v>50</v>
      </c>
      <c r="E255" s="1" t="s">
        <v>4</v>
      </c>
      <c r="F255" s="3">
        <v>6</v>
      </c>
      <c r="G255" s="4">
        <v>45104</v>
      </c>
      <c r="H255" s="1" t="s">
        <v>2779</v>
      </c>
      <c r="J255" s="1" t="s">
        <v>2082</v>
      </c>
      <c r="K255" s="1" t="s">
        <v>2778</v>
      </c>
      <c r="L255" s="1">
        <v>2023</v>
      </c>
      <c r="M255" s="1" t="s">
        <v>1929</v>
      </c>
      <c r="N255" s="1" t="s">
        <v>2777</v>
      </c>
      <c r="O255" s="25" t="s">
        <v>1</v>
      </c>
      <c r="P255" s="25" t="s">
        <v>1</v>
      </c>
      <c r="Q255" s="25" t="s">
        <v>1</v>
      </c>
      <c r="R255" s="25" t="s">
        <v>1</v>
      </c>
      <c r="S255" s="25" t="s">
        <v>1</v>
      </c>
      <c r="T255" s="25" t="s">
        <v>1</v>
      </c>
      <c r="U255" s="25" t="s">
        <v>1</v>
      </c>
      <c r="V255" s="25" t="s">
        <v>1</v>
      </c>
      <c r="W255" s="25" t="s">
        <v>1</v>
      </c>
      <c r="X255" s="25" t="s">
        <v>1</v>
      </c>
      <c r="Y255" s="25" t="s">
        <v>1</v>
      </c>
      <c r="Z255" s="25" t="s">
        <v>1</v>
      </c>
      <c r="AA255" s="95" t="s">
        <v>2187</v>
      </c>
    </row>
    <row r="256" spans="1:30">
      <c r="A256" s="1">
        <f t="shared" si="3"/>
        <v>251</v>
      </c>
      <c r="B256" s="1" t="s">
        <v>607</v>
      </c>
      <c r="C256" s="26" t="s">
        <v>1720</v>
      </c>
      <c r="D256" s="3">
        <v>50</v>
      </c>
      <c r="E256" s="1" t="s">
        <v>4</v>
      </c>
      <c r="F256" s="3">
        <v>6</v>
      </c>
      <c r="G256" s="4">
        <v>44781</v>
      </c>
      <c r="H256" s="1" t="s">
        <v>2776</v>
      </c>
      <c r="I256" s="1" t="s">
        <v>2775</v>
      </c>
      <c r="J256" s="1" t="s">
        <v>2082</v>
      </c>
      <c r="K256" s="1" t="s">
        <v>2774</v>
      </c>
      <c r="L256" s="1">
        <v>2021</v>
      </c>
      <c r="N256" s="1" t="s">
        <v>2773</v>
      </c>
      <c r="O256" s="25" t="s">
        <v>285</v>
      </c>
      <c r="P256" s="25">
        <v>1</v>
      </c>
      <c r="Q256" s="25" t="s">
        <v>2772</v>
      </c>
      <c r="R256" s="25" t="s">
        <v>1</v>
      </c>
      <c r="S256" s="25" t="s">
        <v>1</v>
      </c>
      <c r="T256" s="25" t="s">
        <v>1</v>
      </c>
      <c r="U256" s="25" t="s">
        <v>1</v>
      </c>
      <c r="V256" s="25" t="s">
        <v>1</v>
      </c>
      <c r="W256" s="25" t="s">
        <v>1</v>
      </c>
      <c r="X256" s="25" t="s">
        <v>1</v>
      </c>
      <c r="Y256" s="25" t="s">
        <v>1</v>
      </c>
      <c r="Z256" s="25" t="s">
        <v>1</v>
      </c>
      <c r="AA256" s="95" t="s">
        <v>2162</v>
      </c>
    </row>
    <row r="257" spans="1:30">
      <c r="A257" s="1">
        <f t="shared" si="3"/>
        <v>252</v>
      </c>
      <c r="B257" s="1" t="s">
        <v>551</v>
      </c>
      <c r="C257" s="26" t="s">
        <v>1720</v>
      </c>
      <c r="D257" s="3">
        <v>50</v>
      </c>
      <c r="E257" s="1" t="s">
        <v>5</v>
      </c>
      <c r="F257" s="3">
        <v>5</v>
      </c>
      <c r="G257" s="31">
        <v>44514</v>
      </c>
      <c r="H257" s="1" t="s">
        <v>2771</v>
      </c>
      <c r="I257" s="1" t="s">
        <v>2770</v>
      </c>
      <c r="J257" s="1" t="s">
        <v>2082</v>
      </c>
      <c r="K257" s="1" t="s">
        <v>2184</v>
      </c>
      <c r="L257" s="1">
        <v>2018</v>
      </c>
      <c r="N257" s="1" t="s">
        <v>2769</v>
      </c>
      <c r="O257" s="25" t="s">
        <v>4</v>
      </c>
      <c r="P257" s="25" t="s">
        <v>1</v>
      </c>
      <c r="Q257" s="25" t="s">
        <v>2768</v>
      </c>
      <c r="R257" s="25" t="s">
        <v>1</v>
      </c>
      <c r="S257" s="25" t="s">
        <v>1</v>
      </c>
      <c r="T257" s="25" t="s">
        <v>1</v>
      </c>
      <c r="U257" s="25" t="s">
        <v>1</v>
      </c>
      <c r="V257" s="25" t="s">
        <v>1</v>
      </c>
      <c r="W257" s="25" t="s">
        <v>1</v>
      </c>
      <c r="X257" s="25" t="s">
        <v>1</v>
      </c>
      <c r="Y257" s="25" t="s">
        <v>1</v>
      </c>
      <c r="Z257" s="25" t="s">
        <v>1</v>
      </c>
      <c r="AA257" s="95" t="s">
        <v>2132</v>
      </c>
    </row>
    <row r="258" spans="1:30">
      <c r="A258" s="1">
        <f t="shared" si="3"/>
        <v>253</v>
      </c>
      <c r="B258" s="1" t="s">
        <v>2767</v>
      </c>
      <c r="C258" s="26" t="s">
        <v>1720</v>
      </c>
      <c r="D258" s="3">
        <v>50</v>
      </c>
      <c r="E258" s="1" t="s">
        <v>7</v>
      </c>
      <c r="F258" s="3">
        <v>5</v>
      </c>
      <c r="G258" s="37" t="s">
        <v>1</v>
      </c>
      <c r="H258" s="1" t="s">
        <v>2766</v>
      </c>
      <c r="J258" s="1" t="s">
        <v>2082</v>
      </c>
      <c r="K258" s="1" t="s">
        <v>2345</v>
      </c>
      <c r="L258" s="32">
        <v>40483</v>
      </c>
      <c r="N258" s="1" t="s">
        <v>7</v>
      </c>
      <c r="O258" s="25" t="s">
        <v>1</v>
      </c>
      <c r="P258" s="25" t="s">
        <v>1</v>
      </c>
      <c r="Q258" s="25" t="s">
        <v>5</v>
      </c>
      <c r="R258" s="25" t="s">
        <v>1</v>
      </c>
      <c r="S258" s="25" t="s">
        <v>1</v>
      </c>
      <c r="T258" s="25" t="s">
        <v>1</v>
      </c>
      <c r="U258" s="25" t="s">
        <v>1</v>
      </c>
      <c r="V258" s="25" t="s">
        <v>1</v>
      </c>
      <c r="W258" s="25" t="s">
        <v>1</v>
      </c>
      <c r="X258" s="25" t="s">
        <v>1</v>
      </c>
      <c r="Y258" s="25" t="s">
        <v>1</v>
      </c>
      <c r="Z258" s="25" t="s">
        <v>1</v>
      </c>
      <c r="AA258" s="95" t="s">
        <v>2765</v>
      </c>
    </row>
    <row r="259" spans="1:30">
      <c r="A259" s="1">
        <f t="shared" si="3"/>
        <v>254</v>
      </c>
      <c r="B259" s="1" t="s">
        <v>714</v>
      </c>
      <c r="C259" s="26" t="s">
        <v>1720</v>
      </c>
      <c r="D259" s="3">
        <v>50</v>
      </c>
      <c r="E259" s="1" t="s">
        <v>5</v>
      </c>
      <c r="F259" s="3">
        <v>6</v>
      </c>
      <c r="G259" s="4">
        <v>44917</v>
      </c>
      <c r="H259" s="1" t="s">
        <v>2764</v>
      </c>
      <c r="J259" s="1" t="s">
        <v>2082</v>
      </c>
      <c r="K259" s="1" t="s">
        <v>2678</v>
      </c>
      <c r="N259" s="1" t="s">
        <v>2763</v>
      </c>
      <c r="O259" s="25" t="s">
        <v>4</v>
      </c>
      <c r="P259" s="25">
        <v>5.9</v>
      </c>
      <c r="Q259" s="25" t="s">
        <v>2762</v>
      </c>
      <c r="R259" s="25" t="s">
        <v>4</v>
      </c>
      <c r="S259" s="25" t="s">
        <v>1</v>
      </c>
      <c r="T259" s="25" t="s">
        <v>2761</v>
      </c>
      <c r="U259" s="25" t="s">
        <v>4</v>
      </c>
      <c r="V259" s="25">
        <v>3.6</v>
      </c>
      <c r="W259" s="25" t="s">
        <v>2760</v>
      </c>
      <c r="X259" s="25" t="s">
        <v>1</v>
      </c>
      <c r="Y259" s="25" t="s">
        <v>1</v>
      </c>
      <c r="Z259" s="25" t="s">
        <v>1</v>
      </c>
      <c r="AA259" s="95" t="s">
        <v>2759</v>
      </c>
    </row>
    <row r="260" spans="1:30">
      <c r="A260" s="1">
        <f t="shared" si="3"/>
        <v>255</v>
      </c>
      <c r="B260" s="1" t="s">
        <v>339</v>
      </c>
      <c r="C260" s="26" t="s">
        <v>1720</v>
      </c>
      <c r="D260" s="3">
        <v>50</v>
      </c>
      <c r="E260" s="1" t="s">
        <v>2758</v>
      </c>
      <c r="F260" s="3">
        <v>2.5</v>
      </c>
      <c r="G260" s="4">
        <v>44805</v>
      </c>
      <c r="H260" s="1" t="s">
        <v>2757</v>
      </c>
      <c r="I260" s="1" t="s">
        <v>2756</v>
      </c>
      <c r="J260" s="1" t="s">
        <v>2082</v>
      </c>
      <c r="K260" s="1" t="s">
        <v>2436</v>
      </c>
      <c r="L260" s="1">
        <v>2020</v>
      </c>
      <c r="M260" s="1" t="s">
        <v>2755</v>
      </c>
      <c r="N260" s="1" t="s">
        <v>1</v>
      </c>
      <c r="O260" s="25" t="s">
        <v>4</v>
      </c>
      <c r="P260" s="25">
        <v>5.0999999999999996</v>
      </c>
      <c r="Q260" s="25" t="s">
        <v>2754</v>
      </c>
      <c r="R260" s="25" t="s">
        <v>1</v>
      </c>
      <c r="S260" s="25" t="s">
        <v>1</v>
      </c>
      <c r="T260" s="25" t="s">
        <v>1</v>
      </c>
      <c r="U260" s="25" t="s">
        <v>1</v>
      </c>
      <c r="V260" s="25" t="s">
        <v>1</v>
      </c>
      <c r="W260" s="25" t="s">
        <v>1</v>
      </c>
      <c r="X260" s="25" t="s">
        <v>1</v>
      </c>
      <c r="Y260" s="25" t="s">
        <v>1</v>
      </c>
      <c r="Z260" s="25" t="s">
        <v>1</v>
      </c>
      <c r="AA260" s="95" t="s">
        <v>2502</v>
      </c>
    </row>
    <row r="261" spans="1:30">
      <c r="A261" s="1">
        <f t="shared" si="3"/>
        <v>256</v>
      </c>
      <c r="B261" s="1" t="s">
        <v>710</v>
      </c>
      <c r="C261" s="26" t="s">
        <v>1720</v>
      </c>
      <c r="D261" s="3">
        <v>50</v>
      </c>
      <c r="E261" s="1" t="s">
        <v>4</v>
      </c>
      <c r="F261" s="3">
        <v>2.5</v>
      </c>
      <c r="G261" s="4">
        <v>44469</v>
      </c>
      <c r="H261" s="1" t="s">
        <v>2753</v>
      </c>
      <c r="I261" s="1" t="s">
        <v>2752</v>
      </c>
      <c r="J261" s="1" t="s">
        <v>2082</v>
      </c>
      <c r="K261" s="1" t="s">
        <v>2751</v>
      </c>
      <c r="L261" s="34">
        <v>44211</v>
      </c>
      <c r="N261" s="1" t="s">
        <v>2750</v>
      </c>
      <c r="O261" s="25" t="s">
        <v>285</v>
      </c>
      <c r="P261" s="25" t="s">
        <v>1</v>
      </c>
      <c r="Q261" s="25" t="s">
        <v>2749</v>
      </c>
      <c r="R261" s="25" t="s">
        <v>1</v>
      </c>
      <c r="S261" s="25" t="s">
        <v>1</v>
      </c>
      <c r="T261" s="25" t="s">
        <v>1</v>
      </c>
      <c r="U261" s="25" t="s">
        <v>1</v>
      </c>
      <c r="V261" s="25" t="s">
        <v>1</v>
      </c>
      <c r="W261" s="25" t="s">
        <v>1</v>
      </c>
      <c r="X261" s="25" t="s">
        <v>1</v>
      </c>
      <c r="Y261" s="25" t="s">
        <v>1</v>
      </c>
      <c r="Z261" s="25" t="s">
        <v>1</v>
      </c>
      <c r="AA261" s="95" t="s">
        <v>2405</v>
      </c>
    </row>
    <row r="262" spans="1:30">
      <c r="A262" s="1">
        <f t="shared" si="3"/>
        <v>257</v>
      </c>
      <c r="B262" s="1" t="s">
        <v>2748</v>
      </c>
      <c r="C262" s="26" t="s">
        <v>1720</v>
      </c>
      <c r="D262" s="3">
        <v>50</v>
      </c>
      <c r="E262" s="1" t="s">
        <v>4</v>
      </c>
      <c r="F262" s="3">
        <v>1.5</v>
      </c>
      <c r="G262" s="4">
        <v>45061</v>
      </c>
      <c r="H262" s="1" t="s">
        <v>2747</v>
      </c>
      <c r="I262" s="1" t="s">
        <v>2746</v>
      </c>
      <c r="J262" s="1" t="s">
        <v>2351</v>
      </c>
      <c r="K262" s="1" t="s">
        <v>2745</v>
      </c>
      <c r="L262" s="1">
        <v>2023</v>
      </c>
      <c r="N262" s="1" t="s">
        <v>2744</v>
      </c>
      <c r="O262" s="25" t="s">
        <v>1</v>
      </c>
      <c r="P262" s="25" t="s">
        <v>1</v>
      </c>
      <c r="Q262" s="25" t="s">
        <v>1</v>
      </c>
      <c r="R262" s="25" t="s">
        <v>1</v>
      </c>
      <c r="S262" s="25" t="s">
        <v>1</v>
      </c>
      <c r="T262" s="25" t="s">
        <v>1</v>
      </c>
      <c r="U262" s="25" t="s">
        <v>1</v>
      </c>
      <c r="V262" s="25" t="s">
        <v>1</v>
      </c>
      <c r="W262" s="25" t="s">
        <v>1</v>
      </c>
      <c r="X262" s="25" t="s">
        <v>1</v>
      </c>
      <c r="Y262" s="25" t="s">
        <v>1</v>
      </c>
      <c r="Z262" s="25" t="s">
        <v>1</v>
      </c>
      <c r="AA262" s="95" t="s">
        <v>2743</v>
      </c>
    </row>
    <row r="263" spans="1:30">
      <c r="A263" s="1">
        <f t="shared" si="3"/>
        <v>258</v>
      </c>
      <c r="B263" s="1" t="s">
        <v>2742</v>
      </c>
      <c r="C263" s="26" t="s">
        <v>1720</v>
      </c>
      <c r="D263" s="3">
        <v>50</v>
      </c>
      <c r="E263" s="1" t="s">
        <v>4</v>
      </c>
      <c r="F263" s="3">
        <v>0.5</v>
      </c>
      <c r="G263" s="4">
        <v>45021</v>
      </c>
      <c r="H263" s="1" t="s">
        <v>2741</v>
      </c>
      <c r="J263" s="1" t="s">
        <v>2082</v>
      </c>
      <c r="K263" s="1" t="s">
        <v>2740</v>
      </c>
      <c r="L263" s="1">
        <v>2022</v>
      </c>
      <c r="M263" s="1" t="s">
        <v>1735</v>
      </c>
      <c r="N263" s="1" t="s">
        <v>1084</v>
      </c>
      <c r="O263" s="25" t="s">
        <v>4</v>
      </c>
      <c r="P263" s="25">
        <v>0.56999999999999995</v>
      </c>
      <c r="Q263" s="25" t="s">
        <v>787</v>
      </c>
      <c r="R263" s="25" t="s">
        <v>1</v>
      </c>
      <c r="S263" s="25" t="s">
        <v>1</v>
      </c>
      <c r="T263" s="25" t="s">
        <v>1</v>
      </c>
      <c r="U263" s="25" t="s">
        <v>1</v>
      </c>
      <c r="V263" s="25" t="s">
        <v>1</v>
      </c>
      <c r="W263" s="25" t="s">
        <v>1</v>
      </c>
      <c r="X263" s="25" t="s">
        <v>1</v>
      </c>
      <c r="Y263" s="25" t="s">
        <v>1</v>
      </c>
      <c r="Z263" s="25" t="s">
        <v>1</v>
      </c>
      <c r="AA263" s="95" t="s">
        <v>2739</v>
      </c>
    </row>
    <row r="264" spans="1:30" s="12" customFormat="1">
      <c r="A264" s="1">
        <f t="shared" si="3"/>
        <v>259</v>
      </c>
      <c r="B264" s="12" t="s">
        <v>2738</v>
      </c>
      <c r="C264" s="35" t="s">
        <v>1720</v>
      </c>
      <c r="D264" s="15">
        <v>50</v>
      </c>
      <c r="E264" s="12" t="s">
        <v>285</v>
      </c>
      <c r="F264" s="15">
        <v>0.5</v>
      </c>
      <c r="G264" s="14">
        <v>45021</v>
      </c>
      <c r="H264" s="12" t="s">
        <v>2737</v>
      </c>
      <c r="I264" s="12" t="s">
        <v>2736</v>
      </c>
      <c r="J264" s="12" t="s">
        <v>2082</v>
      </c>
      <c r="K264" s="12" t="s">
        <v>2568</v>
      </c>
      <c r="L264" s="36">
        <v>42609</v>
      </c>
      <c r="M264" s="12" t="s">
        <v>1938</v>
      </c>
      <c r="N264" s="12" t="s">
        <v>2735</v>
      </c>
      <c r="O264" s="24" t="s">
        <v>1</v>
      </c>
      <c r="P264" s="24" t="s">
        <v>1</v>
      </c>
      <c r="Q264" s="24" t="s">
        <v>1</v>
      </c>
      <c r="R264" s="24" t="s">
        <v>1</v>
      </c>
      <c r="S264" s="24" t="s">
        <v>1</v>
      </c>
      <c r="T264" s="24" t="s">
        <v>1</v>
      </c>
      <c r="U264" s="24" t="s">
        <v>1</v>
      </c>
      <c r="V264" s="24" t="s">
        <v>1</v>
      </c>
      <c r="W264" s="24" t="s">
        <v>1</v>
      </c>
      <c r="X264" s="24" t="s">
        <v>1</v>
      </c>
      <c r="Y264" s="24" t="s">
        <v>1</v>
      </c>
      <c r="Z264" s="24" t="s">
        <v>1</v>
      </c>
      <c r="AA264" s="12" t="s">
        <v>2405</v>
      </c>
      <c r="AC264" s="110"/>
      <c r="AD264" s="102"/>
    </row>
    <row r="265" spans="1:30">
      <c r="A265" s="1">
        <f t="shared" si="3"/>
        <v>260</v>
      </c>
      <c r="B265" s="1" t="s">
        <v>2734</v>
      </c>
      <c r="C265" s="26" t="s">
        <v>1720</v>
      </c>
      <c r="D265" s="3">
        <v>40</v>
      </c>
      <c r="E265" s="1" t="s">
        <v>7</v>
      </c>
      <c r="F265" s="3">
        <v>5</v>
      </c>
      <c r="G265" s="31">
        <v>44008</v>
      </c>
      <c r="H265" s="1" t="s">
        <v>2733</v>
      </c>
      <c r="I265" s="1" t="s">
        <v>2732</v>
      </c>
      <c r="J265" s="1" t="s">
        <v>2082</v>
      </c>
      <c r="K265" s="1" t="s">
        <v>2138</v>
      </c>
      <c r="L265" s="1">
        <v>2016</v>
      </c>
      <c r="M265" s="1" t="s">
        <v>2731</v>
      </c>
      <c r="N265" s="1" t="s">
        <v>2730</v>
      </c>
      <c r="O265" s="25" t="s">
        <v>7</v>
      </c>
      <c r="P265" s="25">
        <v>14</v>
      </c>
      <c r="Q265" s="25" t="s">
        <v>2729</v>
      </c>
      <c r="R265" s="25" t="s">
        <v>5</v>
      </c>
      <c r="S265" s="25">
        <v>4</v>
      </c>
      <c r="T265" s="25" t="s">
        <v>2728</v>
      </c>
      <c r="U265" s="25" t="s">
        <v>4</v>
      </c>
      <c r="V265" s="25">
        <v>0.6</v>
      </c>
      <c r="W265" s="25" t="s">
        <v>2727</v>
      </c>
      <c r="X265" s="25" t="s">
        <v>1</v>
      </c>
      <c r="Y265" s="25" t="s">
        <v>1</v>
      </c>
      <c r="Z265" s="25" t="s">
        <v>1</v>
      </c>
      <c r="AA265" s="95" t="s">
        <v>2726</v>
      </c>
    </row>
    <row r="266" spans="1:30">
      <c r="A266" s="1">
        <f t="shared" si="3"/>
        <v>261</v>
      </c>
      <c r="B266" s="1" t="s">
        <v>2725</v>
      </c>
      <c r="C266" s="26" t="s">
        <v>1720</v>
      </c>
      <c r="D266" s="3">
        <v>40</v>
      </c>
      <c r="E266" s="1" t="s">
        <v>4</v>
      </c>
      <c r="F266" s="3">
        <v>10</v>
      </c>
      <c r="G266" s="4">
        <v>45026</v>
      </c>
      <c r="H266" s="1" t="s">
        <v>2724</v>
      </c>
      <c r="J266" s="1" t="s">
        <v>2358</v>
      </c>
      <c r="K266" s="1" t="s">
        <v>2358</v>
      </c>
      <c r="L266" s="12">
        <v>2023</v>
      </c>
      <c r="N266" s="1" t="s">
        <v>1</v>
      </c>
      <c r="O266" s="1" t="s">
        <v>1</v>
      </c>
      <c r="P266" s="1" t="s">
        <v>1</v>
      </c>
      <c r="Q266" s="1" t="s">
        <v>1</v>
      </c>
      <c r="R266" s="1" t="s">
        <v>1</v>
      </c>
      <c r="S266" s="1" t="s">
        <v>1</v>
      </c>
      <c r="T266" s="1" t="s">
        <v>1</v>
      </c>
      <c r="U266" s="1" t="s">
        <v>1</v>
      </c>
      <c r="V266" s="1" t="s">
        <v>1</v>
      </c>
      <c r="W266" s="1" t="s">
        <v>1</v>
      </c>
      <c r="X266" s="1" t="s">
        <v>1</v>
      </c>
      <c r="Y266" s="1" t="s">
        <v>1</v>
      </c>
      <c r="Z266" s="1" t="s">
        <v>1</v>
      </c>
      <c r="AA266" s="95" t="s">
        <v>1</v>
      </c>
    </row>
    <row r="267" spans="1:30">
      <c r="A267" s="1">
        <f t="shared" si="3"/>
        <v>262</v>
      </c>
      <c r="B267" s="1" t="s">
        <v>635</v>
      </c>
      <c r="C267" s="26" t="s">
        <v>1720</v>
      </c>
      <c r="D267" s="3">
        <v>40</v>
      </c>
      <c r="E267" s="1" t="s">
        <v>5</v>
      </c>
      <c r="F267" s="3">
        <v>10</v>
      </c>
      <c r="G267" s="4">
        <v>44930</v>
      </c>
      <c r="H267" s="1" t="s">
        <v>2723</v>
      </c>
      <c r="I267" s="1" t="s">
        <v>2722</v>
      </c>
      <c r="J267" s="1" t="s">
        <v>2082</v>
      </c>
      <c r="K267" s="1" t="s">
        <v>2721</v>
      </c>
      <c r="L267" s="1">
        <v>2020</v>
      </c>
      <c r="N267" s="1" t="s">
        <v>2720</v>
      </c>
      <c r="O267" s="25" t="s">
        <v>4</v>
      </c>
      <c r="P267" s="25">
        <v>2</v>
      </c>
      <c r="Q267" s="25" t="s">
        <v>1</v>
      </c>
      <c r="R267" s="25" t="s">
        <v>1</v>
      </c>
      <c r="S267" s="25" t="s">
        <v>1</v>
      </c>
      <c r="T267" s="25" t="s">
        <v>1</v>
      </c>
      <c r="U267" s="25" t="s">
        <v>1</v>
      </c>
      <c r="V267" s="25" t="s">
        <v>1</v>
      </c>
      <c r="W267" s="25" t="s">
        <v>1</v>
      </c>
      <c r="X267" s="25" t="s">
        <v>1</v>
      </c>
      <c r="Y267" s="25" t="s">
        <v>1</v>
      </c>
      <c r="Z267" s="25" t="s">
        <v>1</v>
      </c>
      <c r="AA267" s="95" t="s">
        <v>2643</v>
      </c>
    </row>
    <row r="268" spans="1:30">
      <c r="A268" s="1">
        <f t="shared" si="3"/>
        <v>263</v>
      </c>
      <c r="B268" s="12" t="s">
        <v>2719</v>
      </c>
      <c r="C268" s="35" t="s">
        <v>1720</v>
      </c>
      <c r="D268" s="15">
        <v>40</v>
      </c>
      <c r="E268" s="12" t="s">
        <v>5</v>
      </c>
      <c r="F268" s="15">
        <v>10</v>
      </c>
      <c r="G268" s="14">
        <v>44825</v>
      </c>
      <c r="H268" s="12" t="s">
        <v>2718</v>
      </c>
      <c r="I268" s="12"/>
      <c r="J268" s="12" t="s">
        <v>2082</v>
      </c>
      <c r="K268" s="12" t="s">
        <v>2568</v>
      </c>
      <c r="L268" s="12">
        <v>2020</v>
      </c>
      <c r="N268" s="1" t="s">
        <v>2717</v>
      </c>
      <c r="O268" s="25" t="s">
        <v>4</v>
      </c>
      <c r="P268" s="25">
        <v>1.5</v>
      </c>
      <c r="Q268" s="25" t="s">
        <v>2716</v>
      </c>
      <c r="R268" s="25" t="s">
        <v>1</v>
      </c>
      <c r="S268" s="25" t="s">
        <v>1</v>
      </c>
      <c r="T268" s="25" t="s">
        <v>1</v>
      </c>
      <c r="U268" s="25" t="s">
        <v>1</v>
      </c>
      <c r="V268" s="25" t="s">
        <v>1</v>
      </c>
      <c r="W268" s="25" t="s">
        <v>1</v>
      </c>
      <c r="X268" s="25" t="s">
        <v>1</v>
      </c>
      <c r="Y268" s="25" t="s">
        <v>1</v>
      </c>
      <c r="Z268" s="25" t="s">
        <v>1</v>
      </c>
      <c r="AA268" s="95" t="s">
        <v>2715</v>
      </c>
    </row>
    <row r="269" spans="1:30">
      <c r="A269" s="1">
        <f t="shared" si="3"/>
        <v>264</v>
      </c>
      <c r="B269" s="1" t="s">
        <v>641</v>
      </c>
      <c r="C269" s="26" t="s">
        <v>1720</v>
      </c>
      <c r="D269" s="3">
        <v>40</v>
      </c>
      <c r="E269" s="1" t="s">
        <v>5</v>
      </c>
      <c r="F269" s="3">
        <v>10</v>
      </c>
      <c r="G269" s="31">
        <v>43887</v>
      </c>
      <c r="H269" s="1" t="s">
        <v>2714</v>
      </c>
      <c r="I269" s="1" t="s">
        <v>2713</v>
      </c>
      <c r="J269" s="1" t="s">
        <v>2082</v>
      </c>
      <c r="K269" s="1" t="s">
        <v>2682</v>
      </c>
      <c r="L269" s="1">
        <v>2019</v>
      </c>
      <c r="N269" s="1" t="s">
        <v>642</v>
      </c>
      <c r="O269" s="25" t="s">
        <v>5</v>
      </c>
      <c r="P269" s="25">
        <v>9</v>
      </c>
      <c r="Q269" s="25" t="s">
        <v>2712</v>
      </c>
      <c r="R269" s="25" t="s">
        <v>4</v>
      </c>
      <c r="S269" s="25">
        <v>2.4</v>
      </c>
      <c r="T269" s="25" t="s">
        <v>2711</v>
      </c>
      <c r="U269" s="25" t="s">
        <v>1</v>
      </c>
      <c r="V269" s="25" t="s">
        <v>1</v>
      </c>
      <c r="W269" s="25" t="s">
        <v>1</v>
      </c>
      <c r="X269" s="25" t="s">
        <v>1</v>
      </c>
      <c r="Y269" s="25" t="s">
        <v>1</v>
      </c>
      <c r="Z269" s="25" t="s">
        <v>1</v>
      </c>
      <c r="AA269" s="95" t="s">
        <v>2194</v>
      </c>
    </row>
    <row r="270" spans="1:30">
      <c r="A270" s="1">
        <f t="shared" si="3"/>
        <v>265</v>
      </c>
      <c r="B270" s="1" t="s">
        <v>2710</v>
      </c>
      <c r="C270" s="26" t="s">
        <v>1720</v>
      </c>
      <c r="D270" s="3">
        <v>30</v>
      </c>
      <c r="E270" s="1" t="s">
        <v>4</v>
      </c>
      <c r="F270" s="3">
        <v>6</v>
      </c>
      <c r="G270" s="4">
        <v>45070</v>
      </c>
      <c r="H270" s="1" t="s">
        <v>2709</v>
      </c>
      <c r="I270" s="1" t="s">
        <v>2708</v>
      </c>
      <c r="J270" s="1" t="s">
        <v>2351</v>
      </c>
      <c r="K270" s="1" t="s">
        <v>2568</v>
      </c>
      <c r="L270" s="1">
        <v>2021</v>
      </c>
      <c r="N270" s="1" t="s">
        <v>1</v>
      </c>
      <c r="O270" s="1" t="s">
        <v>1</v>
      </c>
      <c r="P270" s="1" t="s">
        <v>1</v>
      </c>
      <c r="Q270" s="1" t="s">
        <v>1</v>
      </c>
      <c r="R270" s="1" t="s">
        <v>1</v>
      </c>
      <c r="S270" s="1" t="s">
        <v>1</v>
      </c>
      <c r="T270" s="1" t="s">
        <v>1</v>
      </c>
      <c r="U270" s="1" t="s">
        <v>1</v>
      </c>
      <c r="V270" s="1" t="s">
        <v>1</v>
      </c>
      <c r="W270" s="1" t="s">
        <v>1</v>
      </c>
      <c r="X270" s="1" t="s">
        <v>1</v>
      </c>
      <c r="Y270" s="1" t="s">
        <v>1</v>
      </c>
      <c r="Z270" s="1" t="s">
        <v>1</v>
      </c>
      <c r="AA270" s="95" t="s">
        <v>2707</v>
      </c>
      <c r="AB270" s="28" t="s">
        <v>5243</v>
      </c>
      <c r="AC270" s="108">
        <v>2.4209999999999998</v>
      </c>
      <c r="AD270" s="115">
        <v>0.1173611111111111</v>
      </c>
    </row>
    <row r="271" spans="1:30">
      <c r="A271" s="1">
        <f t="shared" ref="A271:A317" si="4">A270+1</f>
        <v>266</v>
      </c>
      <c r="B271" s="1" t="s">
        <v>2706</v>
      </c>
      <c r="C271" s="26" t="s">
        <v>1720</v>
      </c>
      <c r="D271" s="3">
        <v>30</v>
      </c>
      <c r="E271" s="1" t="s">
        <v>285</v>
      </c>
      <c r="F271" s="3">
        <v>0.5</v>
      </c>
      <c r="G271" s="4">
        <v>45021</v>
      </c>
      <c r="H271" s="1" t="s">
        <v>2705</v>
      </c>
      <c r="I271" s="1" t="s">
        <v>2704</v>
      </c>
      <c r="J271" s="1" t="s">
        <v>2082</v>
      </c>
      <c r="K271" s="1" t="s">
        <v>2099</v>
      </c>
      <c r="L271" s="1">
        <v>2021</v>
      </c>
      <c r="M271" s="1" t="s">
        <v>1735</v>
      </c>
      <c r="N271" s="1" t="s">
        <v>1084</v>
      </c>
      <c r="O271" s="25" t="s">
        <v>1</v>
      </c>
      <c r="P271" s="25" t="s">
        <v>1</v>
      </c>
      <c r="Q271" s="25" t="s">
        <v>1</v>
      </c>
      <c r="R271" s="25" t="s">
        <v>1</v>
      </c>
      <c r="S271" s="25" t="s">
        <v>1</v>
      </c>
      <c r="T271" s="25" t="s">
        <v>1</v>
      </c>
      <c r="U271" s="25" t="s">
        <v>1</v>
      </c>
      <c r="V271" s="25" t="s">
        <v>1</v>
      </c>
      <c r="W271" s="25" t="s">
        <v>1</v>
      </c>
      <c r="X271" s="25" t="s">
        <v>1</v>
      </c>
      <c r="Y271" s="25" t="s">
        <v>1</v>
      </c>
      <c r="Z271" s="25" t="s">
        <v>1</v>
      </c>
      <c r="AA271" s="95" t="s">
        <v>2085</v>
      </c>
    </row>
    <row r="272" spans="1:30">
      <c r="A272" s="1">
        <f t="shared" si="4"/>
        <v>267</v>
      </c>
      <c r="B272" s="1" t="s">
        <v>819</v>
      </c>
      <c r="C272" s="26" t="s">
        <v>1720</v>
      </c>
      <c r="D272" s="3">
        <v>30</v>
      </c>
      <c r="E272" s="1" t="s">
        <v>4</v>
      </c>
      <c r="F272" s="3">
        <v>5</v>
      </c>
      <c r="G272" s="4">
        <v>45062</v>
      </c>
      <c r="H272" s="1" t="s">
        <v>2703</v>
      </c>
      <c r="J272" s="1" t="s">
        <v>2082</v>
      </c>
      <c r="K272" s="1" t="s">
        <v>2280</v>
      </c>
      <c r="L272" s="1">
        <v>2023</v>
      </c>
      <c r="N272" s="1" t="s">
        <v>2702</v>
      </c>
      <c r="O272" s="25" t="s">
        <v>1</v>
      </c>
      <c r="P272" s="25" t="s">
        <v>1</v>
      </c>
      <c r="Q272" s="25" t="s">
        <v>1</v>
      </c>
      <c r="R272" s="25" t="s">
        <v>1</v>
      </c>
      <c r="S272" s="25" t="s">
        <v>1</v>
      </c>
      <c r="T272" s="25" t="s">
        <v>1</v>
      </c>
      <c r="U272" s="25" t="s">
        <v>1</v>
      </c>
      <c r="V272" s="25" t="s">
        <v>1</v>
      </c>
      <c r="W272" s="25" t="s">
        <v>1</v>
      </c>
      <c r="X272" s="25" t="s">
        <v>1</v>
      </c>
      <c r="Y272" s="25" t="s">
        <v>1</v>
      </c>
      <c r="Z272" s="25" t="s">
        <v>1</v>
      </c>
      <c r="AA272" s="95" t="s">
        <v>2080</v>
      </c>
    </row>
    <row r="273" spans="1:30" s="12" customFormat="1">
      <c r="A273" s="1">
        <f t="shared" si="4"/>
        <v>268</v>
      </c>
      <c r="B273" s="12" t="s">
        <v>777</v>
      </c>
      <c r="C273" s="35" t="s">
        <v>1720</v>
      </c>
      <c r="D273" s="15">
        <v>30</v>
      </c>
      <c r="E273" s="12" t="s">
        <v>4</v>
      </c>
      <c r="F273" s="15">
        <v>4</v>
      </c>
      <c r="G273" s="14">
        <v>45026</v>
      </c>
      <c r="H273" s="12" t="s">
        <v>2099</v>
      </c>
      <c r="I273" s="12" t="s">
        <v>2701</v>
      </c>
      <c r="J273" s="12" t="s">
        <v>2082</v>
      </c>
      <c r="K273" s="12" t="s">
        <v>2099</v>
      </c>
      <c r="L273" s="12">
        <v>2021</v>
      </c>
      <c r="N273" s="12" t="s">
        <v>2700</v>
      </c>
      <c r="O273" s="24" t="s">
        <v>1</v>
      </c>
      <c r="P273" s="24" t="s">
        <v>1</v>
      </c>
      <c r="Q273" s="24" t="s">
        <v>1</v>
      </c>
      <c r="R273" s="24" t="s">
        <v>1</v>
      </c>
      <c r="S273" s="24" t="s">
        <v>1</v>
      </c>
      <c r="T273" s="24" t="s">
        <v>1</v>
      </c>
      <c r="U273" s="24" t="s">
        <v>1</v>
      </c>
      <c r="V273" s="24" t="s">
        <v>1</v>
      </c>
      <c r="W273" s="24" t="s">
        <v>1</v>
      </c>
      <c r="X273" s="24" t="s">
        <v>1</v>
      </c>
      <c r="Y273" s="24" t="s">
        <v>1</v>
      </c>
      <c r="Z273" s="24" t="s">
        <v>1</v>
      </c>
      <c r="AA273" s="12" t="s">
        <v>2699</v>
      </c>
      <c r="AC273" s="110"/>
      <c r="AD273" s="102"/>
    </row>
    <row r="274" spans="1:30">
      <c r="A274" s="1">
        <f t="shared" si="4"/>
        <v>269</v>
      </c>
      <c r="B274" s="1" t="s">
        <v>343</v>
      </c>
      <c r="C274" s="26" t="s">
        <v>1720</v>
      </c>
      <c r="D274" s="3">
        <v>30</v>
      </c>
      <c r="E274" s="1" t="s">
        <v>4</v>
      </c>
      <c r="F274" s="3">
        <v>3</v>
      </c>
      <c r="G274" s="4">
        <v>44327</v>
      </c>
      <c r="H274" s="1" t="s">
        <v>2698</v>
      </c>
      <c r="I274" s="1" t="s">
        <v>2697</v>
      </c>
      <c r="J274" s="1" t="s">
        <v>2082</v>
      </c>
      <c r="K274" s="1" t="s">
        <v>2696</v>
      </c>
      <c r="L274" s="1">
        <v>2021</v>
      </c>
      <c r="N274" s="1" t="s">
        <v>2695</v>
      </c>
      <c r="O274" s="25" t="s">
        <v>285</v>
      </c>
      <c r="P274" s="25">
        <v>1.2</v>
      </c>
      <c r="Q274" s="25" t="s">
        <v>2694</v>
      </c>
      <c r="R274" s="25" t="s">
        <v>1</v>
      </c>
      <c r="S274" s="25" t="s">
        <v>1</v>
      </c>
      <c r="T274" s="25" t="s">
        <v>1</v>
      </c>
      <c r="U274" s="25" t="s">
        <v>1</v>
      </c>
      <c r="V274" s="25" t="s">
        <v>1</v>
      </c>
      <c r="W274" s="25" t="s">
        <v>1</v>
      </c>
      <c r="X274" s="25" t="s">
        <v>1</v>
      </c>
      <c r="Y274" s="25" t="s">
        <v>1</v>
      </c>
      <c r="Z274" s="25" t="s">
        <v>1</v>
      </c>
      <c r="AA274" s="95" t="s">
        <v>2092</v>
      </c>
    </row>
    <row r="275" spans="1:30">
      <c r="A275" s="1">
        <f t="shared" si="4"/>
        <v>270</v>
      </c>
      <c r="B275" s="1" t="s">
        <v>2693</v>
      </c>
      <c r="C275" s="26" t="s">
        <v>1720</v>
      </c>
      <c r="D275" s="3">
        <v>30</v>
      </c>
      <c r="E275" s="1" t="s">
        <v>285</v>
      </c>
      <c r="F275" s="3">
        <v>3</v>
      </c>
      <c r="G275" s="4">
        <v>45044</v>
      </c>
      <c r="H275" s="1" t="s">
        <v>2692</v>
      </c>
      <c r="I275" s="1" t="s">
        <v>2691</v>
      </c>
      <c r="J275" s="1" t="s">
        <v>2082</v>
      </c>
      <c r="K275" s="1" t="s">
        <v>2690</v>
      </c>
      <c r="L275" s="34">
        <v>44986</v>
      </c>
      <c r="N275" s="1" t="s">
        <v>1</v>
      </c>
      <c r="O275" s="1" t="s">
        <v>1</v>
      </c>
      <c r="P275" s="1" t="s">
        <v>1</v>
      </c>
      <c r="Q275" s="1" t="s">
        <v>1</v>
      </c>
      <c r="R275" s="1" t="s">
        <v>1</v>
      </c>
      <c r="S275" s="1" t="s">
        <v>1</v>
      </c>
      <c r="T275" s="1" t="s">
        <v>1</v>
      </c>
      <c r="U275" s="1" t="s">
        <v>1</v>
      </c>
      <c r="V275" s="1" t="s">
        <v>1</v>
      </c>
      <c r="W275" s="1" t="s">
        <v>1</v>
      </c>
      <c r="X275" s="1" t="s">
        <v>1</v>
      </c>
      <c r="Y275" s="1" t="s">
        <v>1</v>
      </c>
      <c r="Z275" s="1" t="s">
        <v>1</v>
      </c>
      <c r="AA275" s="95" t="s">
        <v>2405</v>
      </c>
    </row>
    <row r="276" spans="1:30">
      <c r="A276" s="1">
        <f t="shared" si="4"/>
        <v>271</v>
      </c>
      <c r="B276" s="1" t="s">
        <v>757</v>
      </c>
      <c r="C276" s="26" t="s">
        <v>1720</v>
      </c>
      <c r="D276" s="3">
        <v>25</v>
      </c>
      <c r="E276" s="1" t="s">
        <v>4</v>
      </c>
      <c r="F276" s="3">
        <v>2.6</v>
      </c>
      <c r="G276" s="4">
        <v>44994</v>
      </c>
      <c r="H276" s="1" t="s">
        <v>2689</v>
      </c>
      <c r="I276" s="1" t="s">
        <v>2688</v>
      </c>
      <c r="J276" s="1" t="s">
        <v>2351</v>
      </c>
      <c r="K276" s="1" t="s">
        <v>2687</v>
      </c>
      <c r="L276" s="32">
        <v>44013</v>
      </c>
      <c r="N276" s="1" t="s">
        <v>2686</v>
      </c>
      <c r="O276" s="25" t="s">
        <v>4</v>
      </c>
      <c r="P276" s="25" t="s">
        <v>2685</v>
      </c>
      <c r="R276" s="25" t="s">
        <v>285</v>
      </c>
      <c r="S276" s="25" t="s">
        <v>1</v>
      </c>
      <c r="T276" s="25" t="s">
        <v>760</v>
      </c>
      <c r="U276" s="1" t="s">
        <v>1</v>
      </c>
      <c r="V276" s="1" t="s">
        <v>1</v>
      </c>
      <c r="W276" s="1" t="s">
        <v>1</v>
      </c>
      <c r="X276" s="1" t="s">
        <v>1</v>
      </c>
      <c r="Y276" s="1" t="s">
        <v>1</v>
      </c>
      <c r="Z276" s="1" t="s">
        <v>1</v>
      </c>
      <c r="AA276" s="95" t="s">
        <v>2092</v>
      </c>
    </row>
    <row r="277" spans="1:30">
      <c r="A277" s="1">
        <f t="shared" si="4"/>
        <v>272</v>
      </c>
      <c r="B277" s="1" t="s">
        <v>2684</v>
      </c>
      <c r="C277" s="26" t="s">
        <v>1720</v>
      </c>
      <c r="D277" s="3">
        <v>25</v>
      </c>
      <c r="E277" s="1" t="s">
        <v>1</v>
      </c>
      <c r="F277" s="3" t="s">
        <v>1</v>
      </c>
      <c r="G277" s="2" t="s">
        <v>1</v>
      </c>
      <c r="H277" s="1" t="s">
        <v>2683</v>
      </c>
      <c r="J277" s="1" t="s">
        <v>2082</v>
      </c>
      <c r="K277" s="1" t="s">
        <v>2682</v>
      </c>
      <c r="L277" s="1">
        <v>2020</v>
      </c>
      <c r="N277" s="1" t="s">
        <v>1</v>
      </c>
      <c r="O277" s="1" t="s">
        <v>1</v>
      </c>
      <c r="P277" s="1" t="s">
        <v>1</v>
      </c>
      <c r="Q277" s="1" t="s">
        <v>1</v>
      </c>
      <c r="R277" s="1" t="s">
        <v>1</v>
      </c>
      <c r="S277" s="1" t="s">
        <v>1</v>
      </c>
      <c r="T277" s="1" t="s">
        <v>1</v>
      </c>
      <c r="U277" s="1" t="s">
        <v>1</v>
      </c>
      <c r="V277" s="1" t="s">
        <v>1</v>
      </c>
      <c r="W277" s="1" t="s">
        <v>1</v>
      </c>
      <c r="X277" s="1" t="s">
        <v>1</v>
      </c>
      <c r="Y277" s="1" t="s">
        <v>1</v>
      </c>
      <c r="Z277" s="1" t="s">
        <v>1</v>
      </c>
      <c r="AA277" s="95" t="s">
        <v>2681</v>
      </c>
    </row>
    <row r="278" spans="1:30">
      <c r="A278" s="1">
        <f t="shared" si="4"/>
        <v>273</v>
      </c>
      <c r="B278" s="1" t="s">
        <v>348</v>
      </c>
      <c r="C278" s="26" t="s">
        <v>1720</v>
      </c>
      <c r="D278" s="3">
        <v>20</v>
      </c>
      <c r="E278" s="1" t="s">
        <v>4</v>
      </c>
      <c r="F278" s="3">
        <v>3.5</v>
      </c>
      <c r="G278" s="4">
        <v>44636</v>
      </c>
      <c r="H278" s="1" t="s">
        <v>2680</v>
      </c>
      <c r="I278" s="1" t="s">
        <v>2679</v>
      </c>
      <c r="J278" s="1" t="s">
        <v>2082</v>
      </c>
      <c r="K278" s="1" t="s">
        <v>2678</v>
      </c>
      <c r="L278" s="1">
        <v>2019</v>
      </c>
      <c r="N278" s="1" t="s">
        <v>2677</v>
      </c>
      <c r="O278" s="25" t="s">
        <v>285</v>
      </c>
      <c r="P278" s="25">
        <v>0.75</v>
      </c>
      <c r="Q278" s="25" t="s">
        <v>2676</v>
      </c>
      <c r="R278" s="25" t="s">
        <v>285</v>
      </c>
      <c r="S278" s="25">
        <v>0.12</v>
      </c>
      <c r="T278" s="25" t="s">
        <v>650</v>
      </c>
      <c r="U278" s="25" t="s">
        <v>1</v>
      </c>
      <c r="V278" s="25" t="s">
        <v>1</v>
      </c>
      <c r="W278" s="25" t="s">
        <v>1</v>
      </c>
      <c r="X278" s="25" t="s">
        <v>1</v>
      </c>
      <c r="Y278" s="25" t="s">
        <v>1</v>
      </c>
      <c r="Z278" s="25" t="s">
        <v>1</v>
      </c>
      <c r="AA278" s="95" t="s">
        <v>2162</v>
      </c>
    </row>
    <row r="279" spans="1:30">
      <c r="A279" s="1">
        <f t="shared" si="4"/>
        <v>274</v>
      </c>
      <c r="B279" s="1" t="s">
        <v>2675</v>
      </c>
      <c r="C279" s="26" t="s">
        <v>1720</v>
      </c>
      <c r="D279" s="3">
        <v>20</v>
      </c>
      <c r="E279" s="1" t="s">
        <v>4</v>
      </c>
      <c r="F279" s="3">
        <v>4</v>
      </c>
      <c r="G279" s="4">
        <v>44332</v>
      </c>
      <c r="I279" s="1" t="s">
        <v>2674</v>
      </c>
      <c r="J279" s="12" t="s">
        <v>2082</v>
      </c>
      <c r="K279" s="12" t="s">
        <v>2568</v>
      </c>
      <c r="L279" s="1">
        <v>2018</v>
      </c>
      <c r="N279" s="1" t="s">
        <v>496</v>
      </c>
      <c r="O279" s="25" t="s">
        <v>4</v>
      </c>
      <c r="P279" s="25">
        <v>2</v>
      </c>
      <c r="Q279" s="25" t="s">
        <v>2673</v>
      </c>
      <c r="R279" s="25" t="s">
        <v>285</v>
      </c>
      <c r="S279" s="25" t="s">
        <v>1</v>
      </c>
      <c r="T279" s="25" t="s">
        <v>2672</v>
      </c>
      <c r="U279" s="25" t="s">
        <v>1</v>
      </c>
      <c r="V279" s="25" t="s">
        <v>1</v>
      </c>
      <c r="W279" s="25" t="s">
        <v>1</v>
      </c>
      <c r="X279" s="25" t="s">
        <v>1</v>
      </c>
      <c r="Y279" s="25" t="s">
        <v>1</v>
      </c>
      <c r="Z279" s="25" t="s">
        <v>1</v>
      </c>
      <c r="AA279" s="95" t="s">
        <v>2671</v>
      </c>
    </row>
    <row r="280" spans="1:30">
      <c r="A280" s="1">
        <f t="shared" si="4"/>
        <v>275</v>
      </c>
      <c r="B280" s="1" t="s">
        <v>518</v>
      </c>
      <c r="C280" s="26" t="s">
        <v>1720</v>
      </c>
      <c r="D280" s="3">
        <v>20</v>
      </c>
      <c r="E280" s="1" t="s">
        <v>4</v>
      </c>
      <c r="F280" s="3">
        <v>3</v>
      </c>
      <c r="G280" s="4">
        <v>45037</v>
      </c>
      <c r="H280" s="1" t="s">
        <v>2670</v>
      </c>
      <c r="I280" s="1" t="s">
        <v>2669</v>
      </c>
      <c r="J280" s="1" t="s">
        <v>2082</v>
      </c>
      <c r="K280" s="1" t="s">
        <v>2668</v>
      </c>
      <c r="L280" s="1">
        <v>2021</v>
      </c>
      <c r="N280" s="1" t="s">
        <v>2667</v>
      </c>
      <c r="O280" s="25" t="s">
        <v>285</v>
      </c>
      <c r="P280" s="25">
        <v>1.2</v>
      </c>
      <c r="Q280" s="25" t="s">
        <v>2666</v>
      </c>
      <c r="R280" s="25" t="s">
        <v>1</v>
      </c>
      <c r="S280" s="25" t="s">
        <v>1</v>
      </c>
      <c r="T280" s="25" t="s">
        <v>1</v>
      </c>
      <c r="U280" s="25" t="s">
        <v>1</v>
      </c>
      <c r="V280" s="25" t="s">
        <v>1</v>
      </c>
      <c r="W280" s="25" t="s">
        <v>1</v>
      </c>
      <c r="X280" s="25" t="s">
        <v>1</v>
      </c>
      <c r="Y280" s="25" t="s">
        <v>1</v>
      </c>
      <c r="Z280" s="25" t="s">
        <v>1</v>
      </c>
      <c r="AA280" s="95" t="s">
        <v>2201</v>
      </c>
    </row>
    <row r="281" spans="1:30">
      <c r="A281" s="1">
        <f t="shared" si="4"/>
        <v>276</v>
      </c>
      <c r="B281" s="1" t="s">
        <v>290</v>
      </c>
      <c r="C281" s="26" t="s">
        <v>1720</v>
      </c>
      <c r="D281" s="3">
        <v>20</v>
      </c>
      <c r="E281" s="1" t="s">
        <v>4</v>
      </c>
      <c r="F281" s="3">
        <v>2.6</v>
      </c>
      <c r="G281" s="4">
        <v>45008</v>
      </c>
      <c r="I281" s="1" t="s">
        <v>2665</v>
      </c>
      <c r="J281" s="1" t="s">
        <v>2082</v>
      </c>
      <c r="K281" s="1" t="s">
        <v>2345</v>
      </c>
      <c r="L281" s="1">
        <v>2019</v>
      </c>
      <c r="N281" s="1" t="s">
        <v>2664</v>
      </c>
      <c r="O281" s="25" t="s">
        <v>1</v>
      </c>
      <c r="P281" s="25" t="s">
        <v>1</v>
      </c>
      <c r="Q281" s="25" t="s">
        <v>1</v>
      </c>
      <c r="R281" s="25" t="s">
        <v>1</v>
      </c>
      <c r="S281" s="25" t="s">
        <v>1</v>
      </c>
      <c r="T281" s="25" t="s">
        <v>1</v>
      </c>
      <c r="U281" s="25" t="s">
        <v>1</v>
      </c>
      <c r="V281" s="25" t="s">
        <v>1</v>
      </c>
      <c r="W281" s="25" t="s">
        <v>1</v>
      </c>
      <c r="X281" s="25" t="s">
        <v>1</v>
      </c>
      <c r="Y281" s="25" t="s">
        <v>1</v>
      </c>
      <c r="Z281" s="25" t="s">
        <v>1</v>
      </c>
      <c r="AA281" s="95" t="s">
        <v>2663</v>
      </c>
    </row>
    <row r="282" spans="1:30">
      <c r="A282" s="1">
        <f t="shared" si="4"/>
        <v>277</v>
      </c>
      <c r="B282" s="1" t="s">
        <v>284</v>
      </c>
      <c r="C282" s="26" t="s">
        <v>1720</v>
      </c>
      <c r="D282" s="3">
        <v>20</v>
      </c>
      <c r="E282" s="1" t="s">
        <v>4</v>
      </c>
      <c r="F282" s="3">
        <v>0.125</v>
      </c>
      <c r="G282" s="4">
        <v>44265</v>
      </c>
      <c r="H282" s="1" t="s">
        <v>2662</v>
      </c>
      <c r="I282" s="1" t="s">
        <v>2661</v>
      </c>
      <c r="J282" s="1" t="s">
        <v>2082</v>
      </c>
      <c r="K282" s="1" t="s">
        <v>2108</v>
      </c>
      <c r="L282" s="1">
        <v>2020</v>
      </c>
      <c r="N282" s="1" t="s">
        <v>2660</v>
      </c>
      <c r="O282" s="25" t="s">
        <v>285</v>
      </c>
      <c r="P282" s="25">
        <v>0.2</v>
      </c>
      <c r="Q282" s="25" t="s">
        <v>2659</v>
      </c>
      <c r="R282" s="25" t="s">
        <v>1</v>
      </c>
      <c r="S282" s="25" t="s">
        <v>1</v>
      </c>
      <c r="T282" s="25" t="s">
        <v>1</v>
      </c>
      <c r="U282" s="25" t="s">
        <v>1</v>
      </c>
      <c r="V282" s="25" t="s">
        <v>1</v>
      </c>
      <c r="W282" s="25" t="s">
        <v>1</v>
      </c>
      <c r="X282" s="25" t="s">
        <v>1</v>
      </c>
      <c r="Y282" s="25" t="s">
        <v>1</v>
      </c>
      <c r="Z282" s="25" t="s">
        <v>1</v>
      </c>
      <c r="AA282" s="95" t="s">
        <v>2658</v>
      </c>
      <c r="AB282" s="28" t="s">
        <v>2657</v>
      </c>
      <c r="AC282" s="109"/>
      <c r="AD282" s="101"/>
    </row>
    <row r="283" spans="1:30">
      <c r="A283" s="1">
        <f t="shared" si="4"/>
        <v>278</v>
      </c>
      <c r="B283" s="1" t="s">
        <v>2656</v>
      </c>
      <c r="C283" s="26" t="s">
        <v>1720</v>
      </c>
      <c r="D283" s="3">
        <v>20</v>
      </c>
      <c r="E283" s="3" t="s">
        <v>1</v>
      </c>
      <c r="F283" s="3" t="s">
        <v>1</v>
      </c>
      <c r="G283" s="3" t="s">
        <v>1</v>
      </c>
      <c r="H283" s="1" t="s">
        <v>2655</v>
      </c>
      <c r="I283" s="1" t="s">
        <v>2654</v>
      </c>
      <c r="J283" s="1" t="s">
        <v>2082</v>
      </c>
      <c r="K283" s="1" t="s">
        <v>2392</v>
      </c>
      <c r="L283" s="1">
        <v>2021</v>
      </c>
      <c r="M283" s="1" t="s">
        <v>2653</v>
      </c>
      <c r="N283" s="1" t="s">
        <v>1</v>
      </c>
      <c r="O283" s="1" t="s">
        <v>1</v>
      </c>
      <c r="P283" s="1" t="s">
        <v>1</v>
      </c>
      <c r="Q283" s="1" t="s">
        <v>1</v>
      </c>
      <c r="R283" s="1" t="s">
        <v>1</v>
      </c>
      <c r="S283" s="1" t="s">
        <v>1</v>
      </c>
      <c r="T283" s="1" t="s">
        <v>1</v>
      </c>
      <c r="U283" s="1" t="s">
        <v>1</v>
      </c>
      <c r="V283" s="1" t="s">
        <v>1</v>
      </c>
      <c r="W283" s="1" t="s">
        <v>1</v>
      </c>
      <c r="X283" s="1" t="s">
        <v>1</v>
      </c>
      <c r="Y283" s="1" t="s">
        <v>1</v>
      </c>
      <c r="Z283" s="1" t="s">
        <v>1</v>
      </c>
      <c r="AA283" s="95" t="s">
        <v>2080</v>
      </c>
      <c r="AB283" s="28" t="s">
        <v>2652</v>
      </c>
      <c r="AC283" s="109"/>
      <c r="AD283" s="101"/>
    </row>
    <row r="284" spans="1:30">
      <c r="A284" s="1">
        <f t="shared" si="4"/>
        <v>279</v>
      </c>
      <c r="B284" s="1" t="s">
        <v>2651</v>
      </c>
      <c r="C284" s="26" t="s">
        <v>1720</v>
      </c>
      <c r="D284" s="3">
        <v>20</v>
      </c>
      <c r="E284" s="3" t="s">
        <v>1</v>
      </c>
      <c r="F284" s="3" t="s">
        <v>1</v>
      </c>
      <c r="G284" s="3" t="s">
        <v>1</v>
      </c>
      <c r="H284" s="1" t="s">
        <v>2650</v>
      </c>
      <c r="J284" s="1" t="s">
        <v>2082</v>
      </c>
      <c r="K284" s="1" t="s">
        <v>2649</v>
      </c>
      <c r="L284" s="2" t="s">
        <v>1</v>
      </c>
      <c r="N284" s="1" t="s">
        <v>1</v>
      </c>
      <c r="O284" s="1" t="s">
        <v>1</v>
      </c>
      <c r="P284" s="1" t="s">
        <v>1</v>
      </c>
      <c r="Q284" s="1" t="s">
        <v>1</v>
      </c>
      <c r="R284" s="1" t="s">
        <v>1</v>
      </c>
      <c r="S284" s="1" t="s">
        <v>1</v>
      </c>
      <c r="T284" s="1" t="s">
        <v>1</v>
      </c>
      <c r="U284" s="1" t="s">
        <v>1</v>
      </c>
      <c r="V284" s="1" t="s">
        <v>1</v>
      </c>
      <c r="W284" s="1" t="s">
        <v>1</v>
      </c>
      <c r="X284" s="1" t="s">
        <v>1</v>
      </c>
      <c r="Y284" s="1" t="s">
        <v>1</v>
      </c>
      <c r="Z284" s="1" t="s">
        <v>1</v>
      </c>
      <c r="AA284" s="95" t="s">
        <v>2648</v>
      </c>
      <c r="AB284" s="28" t="s">
        <v>2647</v>
      </c>
      <c r="AC284" s="109"/>
      <c r="AD284" s="101"/>
    </row>
    <row r="285" spans="1:30">
      <c r="A285" s="1">
        <f t="shared" si="4"/>
        <v>280</v>
      </c>
      <c r="B285" s="1" t="s">
        <v>4399</v>
      </c>
      <c r="C285" s="26" t="s">
        <v>1720</v>
      </c>
      <c r="D285" s="3">
        <v>20</v>
      </c>
      <c r="E285" s="30" t="s">
        <v>285</v>
      </c>
      <c r="F285" s="3">
        <v>1</v>
      </c>
      <c r="G285" s="4">
        <v>44752</v>
      </c>
      <c r="H285" s="1" t="s">
        <v>4401</v>
      </c>
      <c r="I285" s="1" t="s">
        <v>4400</v>
      </c>
      <c r="J285" s="1" t="s">
        <v>1</v>
      </c>
      <c r="K285" s="1" t="s">
        <v>1</v>
      </c>
      <c r="L285" s="1">
        <v>2022</v>
      </c>
      <c r="N285" s="1" t="s">
        <v>1</v>
      </c>
      <c r="O285" s="1" t="s">
        <v>1</v>
      </c>
      <c r="P285" s="1" t="s">
        <v>1</v>
      </c>
      <c r="Q285" s="1" t="s">
        <v>1</v>
      </c>
      <c r="R285" s="1" t="s">
        <v>1</v>
      </c>
      <c r="S285" s="1" t="s">
        <v>1</v>
      </c>
      <c r="T285" s="1" t="s">
        <v>1</v>
      </c>
      <c r="U285" s="1" t="s">
        <v>1</v>
      </c>
      <c r="V285" s="1" t="s">
        <v>1</v>
      </c>
      <c r="W285" s="1" t="s">
        <v>1</v>
      </c>
      <c r="X285" s="1" t="s">
        <v>1</v>
      </c>
      <c r="Y285" s="1" t="s">
        <v>1</v>
      </c>
      <c r="Z285" s="1" t="s">
        <v>1</v>
      </c>
      <c r="AA285" s="95" t="s">
        <v>2092</v>
      </c>
      <c r="AB285" s="28" t="s">
        <v>5233</v>
      </c>
      <c r="AC285" s="109"/>
      <c r="AD285" s="101"/>
    </row>
    <row r="286" spans="1:30">
      <c r="A286" s="1">
        <f t="shared" si="4"/>
        <v>281</v>
      </c>
      <c r="B286" s="1" t="s">
        <v>2646</v>
      </c>
      <c r="C286" s="26" t="s">
        <v>1720</v>
      </c>
      <c r="D286" s="3">
        <v>20</v>
      </c>
      <c r="E286" s="1" t="s">
        <v>285</v>
      </c>
      <c r="F286" s="3">
        <v>1.7</v>
      </c>
      <c r="G286" s="4">
        <v>44852</v>
      </c>
      <c r="H286" s="1" t="s">
        <v>2645</v>
      </c>
      <c r="J286" s="1" t="s">
        <v>2082</v>
      </c>
      <c r="K286" s="1" t="s">
        <v>2616</v>
      </c>
      <c r="L286" s="1">
        <v>2021</v>
      </c>
      <c r="N286" s="1" t="s">
        <v>2644</v>
      </c>
      <c r="O286" s="25" t="s">
        <v>1</v>
      </c>
      <c r="P286" s="25" t="s">
        <v>1</v>
      </c>
      <c r="Q286" s="25" t="s">
        <v>1</v>
      </c>
      <c r="R286" s="25" t="s">
        <v>1</v>
      </c>
      <c r="S286" s="25" t="s">
        <v>1</v>
      </c>
      <c r="T286" s="25" t="s">
        <v>1</v>
      </c>
      <c r="U286" s="25" t="s">
        <v>1</v>
      </c>
      <c r="V286" s="25" t="s">
        <v>1</v>
      </c>
      <c r="W286" s="25" t="s">
        <v>1</v>
      </c>
      <c r="X286" s="25" t="s">
        <v>1</v>
      </c>
      <c r="Y286" s="25" t="s">
        <v>1</v>
      </c>
      <c r="Z286" s="25" t="s">
        <v>1</v>
      </c>
      <c r="AA286" s="95" t="s">
        <v>2643</v>
      </c>
    </row>
    <row r="287" spans="1:30">
      <c r="A287" s="1">
        <f t="shared" si="4"/>
        <v>282</v>
      </c>
      <c r="B287" s="1" t="s">
        <v>2577</v>
      </c>
      <c r="C287" s="26" t="s">
        <v>1720</v>
      </c>
      <c r="D287" s="3">
        <v>20</v>
      </c>
      <c r="E287" s="3" t="s">
        <v>1</v>
      </c>
      <c r="F287" s="3" t="s">
        <v>1</v>
      </c>
      <c r="G287" s="3" t="s">
        <v>1</v>
      </c>
      <c r="H287" s="1" t="s">
        <v>2510</v>
      </c>
      <c r="J287" s="1" t="s">
        <v>2351</v>
      </c>
      <c r="K287" s="1" t="s">
        <v>2576</v>
      </c>
      <c r="L287" s="3" t="s">
        <v>1</v>
      </c>
      <c r="M287" s="1" t="s">
        <v>4653</v>
      </c>
      <c r="N287" s="30" t="s">
        <v>1</v>
      </c>
      <c r="O287" s="30" t="s">
        <v>1</v>
      </c>
      <c r="P287" s="30" t="s">
        <v>1</v>
      </c>
      <c r="Q287" s="30" t="s">
        <v>1</v>
      </c>
      <c r="R287" s="30" t="s">
        <v>1</v>
      </c>
      <c r="S287" s="30" t="s">
        <v>1</v>
      </c>
      <c r="T287" s="30" t="s">
        <v>1</v>
      </c>
      <c r="U287" s="30" t="s">
        <v>1</v>
      </c>
      <c r="V287" s="30" t="s">
        <v>1</v>
      </c>
      <c r="W287" s="30" t="s">
        <v>1</v>
      </c>
      <c r="X287" s="30" t="s">
        <v>1</v>
      </c>
      <c r="Y287" s="30" t="s">
        <v>1</v>
      </c>
      <c r="Z287" s="30" t="s">
        <v>1</v>
      </c>
      <c r="AA287" s="116" t="s">
        <v>2085</v>
      </c>
      <c r="AB287" s="28" t="s">
        <v>4654</v>
      </c>
      <c r="AC287" s="109">
        <v>19.43</v>
      </c>
      <c r="AD287" s="117" t="s">
        <v>5241</v>
      </c>
    </row>
    <row r="288" spans="1:30">
      <c r="A288" s="1">
        <f t="shared" si="4"/>
        <v>283</v>
      </c>
      <c r="B288" s="1" t="s">
        <v>127</v>
      </c>
      <c r="C288" s="26" t="s">
        <v>1720</v>
      </c>
      <c r="D288" s="3">
        <v>10</v>
      </c>
      <c r="E288" s="1" t="s">
        <v>4</v>
      </c>
      <c r="F288" s="3">
        <v>2</v>
      </c>
      <c r="G288" s="4">
        <v>44658</v>
      </c>
      <c r="H288" s="1" t="s">
        <v>2642</v>
      </c>
      <c r="I288" s="1" t="s">
        <v>2641</v>
      </c>
      <c r="J288" s="1" t="s">
        <v>2082</v>
      </c>
      <c r="K288" s="1" t="s">
        <v>2568</v>
      </c>
      <c r="L288" s="1">
        <v>2019</v>
      </c>
      <c r="N288" s="1" t="s">
        <v>2640</v>
      </c>
      <c r="O288" s="25" t="s">
        <v>4</v>
      </c>
      <c r="P288" s="25">
        <v>4.5</v>
      </c>
      <c r="Q288" s="25" t="s">
        <v>2639</v>
      </c>
      <c r="R288" s="25" t="s">
        <v>4</v>
      </c>
      <c r="S288" s="25">
        <v>0.35</v>
      </c>
      <c r="T288" s="25" t="s">
        <v>128</v>
      </c>
      <c r="U288" s="25" t="s">
        <v>1</v>
      </c>
      <c r="V288" s="25" t="s">
        <v>1</v>
      </c>
      <c r="W288" s="25" t="s">
        <v>1</v>
      </c>
      <c r="X288" s="25" t="s">
        <v>1</v>
      </c>
      <c r="Y288" s="25" t="s">
        <v>1</v>
      </c>
      <c r="Z288" s="25" t="s">
        <v>1</v>
      </c>
      <c r="AA288" s="95" t="s">
        <v>2123</v>
      </c>
      <c r="AB288" s="28" t="s">
        <v>4655</v>
      </c>
      <c r="AC288" s="109"/>
      <c r="AD288" s="101"/>
    </row>
    <row r="289" spans="1:30">
      <c r="A289" s="1">
        <f t="shared" si="4"/>
        <v>284</v>
      </c>
      <c r="B289" s="1" t="s">
        <v>2638</v>
      </c>
      <c r="C289" s="26" t="s">
        <v>1720</v>
      </c>
      <c r="D289" s="3">
        <v>10</v>
      </c>
      <c r="E289" s="1" t="s">
        <v>4</v>
      </c>
      <c r="F289" s="3">
        <v>3</v>
      </c>
      <c r="G289" s="31">
        <v>44348</v>
      </c>
      <c r="H289" s="1" t="s">
        <v>2637</v>
      </c>
      <c r="J289" s="1" t="s">
        <v>2351</v>
      </c>
      <c r="K289" s="1" t="s">
        <v>2099</v>
      </c>
      <c r="L289" s="34">
        <v>44166</v>
      </c>
      <c r="N289" s="1" t="s">
        <v>2636</v>
      </c>
      <c r="O289" s="25" t="s">
        <v>285</v>
      </c>
      <c r="P289" s="25">
        <v>0.5</v>
      </c>
      <c r="Q289" s="25" t="s">
        <v>1</v>
      </c>
      <c r="R289" s="25" t="s">
        <v>1</v>
      </c>
      <c r="S289" s="25" t="s">
        <v>1</v>
      </c>
      <c r="T289" s="25" t="s">
        <v>1</v>
      </c>
      <c r="U289" s="25" t="s">
        <v>1</v>
      </c>
      <c r="V289" s="25" t="s">
        <v>1</v>
      </c>
      <c r="W289" s="25" t="s">
        <v>1</v>
      </c>
      <c r="X289" s="25" t="s">
        <v>1</v>
      </c>
      <c r="Y289" s="25" t="s">
        <v>1</v>
      </c>
      <c r="Z289" s="25" t="s">
        <v>1</v>
      </c>
      <c r="AA289" s="95" t="s">
        <v>2635</v>
      </c>
    </row>
    <row r="290" spans="1:30">
      <c r="A290" s="1">
        <f t="shared" si="4"/>
        <v>285</v>
      </c>
      <c r="B290" s="1" t="s">
        <v>2634</v>
      </c>
      <c r="C290" s="26" t="s">
        <v>1720</v>
      </c>
      <c r="D290" s="3">
        <v>4</v>
      </c>
      <c r="E290" s="1" t="s">
        <v>4</v>
      </c>
      <c r="F290" s="3">
        <v>0.21</v>
      </c>
      <c r="G290" s="4">
        <v>44682</v>
      </c>
      <c r="H290" s="1" t="s">
        <v>2633</v>
      </c>
      <c r="I290" s="1" t="s">
        <v>2632</v>
      </c>
      <c r="J290" s="1" t="s">
        <v>2351</v>
      </c>
      <c r="K290" s="1" t="s">
        <v>2626</v>
      </c>
      <c r="L290" s="1">
        <v>2021</v>
      </c>
      <c r="N290" s="1" t="s">
        <v>2631</v>
      </c>
      <c r="O290" s="25" t="s">
        <v>1</v>
      </c>
      <c r="P290" s="25" t="s">
        <v>1</v>
      </c>
      <c r="Q290" s="25" t="s">
        <v>1</v>
      </c>
      <c r="R290" s="25" t="s">
        <v>1</v>
      </c>
      <c r="S290" s="25" t="s">
        <v>1</v>
      </c>
      <c r="T290" s="25" t="s">
        <v>1</v>
      </c>
      <c r="U290" s="25" t="s">
        <v>1</v>
      </c>
      <c r="V290" s="25" t="s">
        <v>1</v>
      </c>
      <c r="W290" s="25" t="s">
        <v>1</v>
      </c>
      <c r="X290" s="25" t="s">
        <v>1</v>
      </c>
      <c r="Y290" s="25" t="s">
        <v>1</v>
      </c>
      <c r="Z290" s="25" t="s">
        <v>1</v>
      </c>
      <c r="AA290" s="95" t="s">
        <v>2178</v>
      </c>
    </row>
    <row r="291" spans="1:30">
      <c r="A291" s="1">
        <f t="shared" si="4"/>
        <v>286</v>
      </c>
      <c r="B291" s="1" t="s">
        <v>2630</v>
      </c>
      <c r="C291" s="26" t="s">
        <v>1720</v>
      </c>
      <c r="D291" s="3">
        <v>0.5</v>
      </c>
      <c r="E291" s="1" t="s">
        <v>285</v>
      </c>
      <c r="F291" s="3">
        <v>0.5</v>
      </c>
      <c r="G291" s="4">
        <v>43173</v>
      </c>
      <c r="H291" s="1" t="s">
        <v>2188</v>
      </c>
      <c r="I291" s="1" t="s">
        <v>1</v>
      </c>
      <c r="J291" s="1" t="s">
        <v>1</v>
      </c>
      <c r="K291" s="1" t="s">
        <v>1</v>
      </c>
      <c r="L291" s="2" t="s">
        <v>1</v>
      </c>
      <c r="N291" s="1" t="s">
        <v>2629</v>
      </c>
      <c r="O291" s="25" t="s">
        <v>1</v>
      </c>
      <c r="P291" s="25" t="s">
        <v>1</v>
      </c>
      <c r="Q291" s="25" t="s">
        <v>1</v>
      </c>
      <c r="R291" s="25" t="s">
        <v>1</v>
      </c>
      <c r="S291" s="25" t="s">
        <v>1</v>
      </c>
      <c r="T291" s="25" t="s">
        <v>1</v>
      </c>
      <c r="U291" s="25" t="s">
        <v>1</v>
      </c>
      <c r="V291" s="25" t="s">
        <v>1</v>
      </c>
      <c r="W291" s="25" t="s">
        <v>1</v>
      </c>
      <c r="X291" s="25" t="s">
        <v>1</v>
      </c>
      <c r="Y291" s="25" t="s">
        <v>1</v>
      </c>
      <c r="Z291" s="25" t="s">
        <v>1</v>
      </c>
      <c r="AA291" s="95" t="s">
        <v>2628</v>
      </c>
    </row>
    <row r="292" spans="1:30">
      <c r="A292" s="1">
        <f t="shared" si="4"/>
        <v>287</v>
      </c>
      <c r="B292" s="1" t="s">
        <v>2627</v>
      </c>
      <c r="C292" s="26" t="s">
        <v>1720</v>
      </c>
      <c r="D292" s="3" t="s">
        <v>1</v>
      </c>
      <c r="E292" s="3" t="s">
        <v>1</v>
      </c>
      <c r="F292" s="3" t="s">
        <v>1</v>
      </c>
      <c r="G292" s="3" t="s">
        <v>1</v>
      </c>
      <c r="H292" s="30" t="s">
        <v>2626</v>
      </c>
      <c r="I292" s="30" t="s">
        <v>2625</v>
      </c>
      <c r="J292" s="30" t="s">
        <v>2351</v>
      </c>
      <c r="K292" s="30" t="s">
        <v>2614</v>
      </c>
      <c r="L292" s="1">
        <v>2023</v>
      </c>
      <c r="M292" s="1" t="s">
        <v>2624</v>
      </c>
      <c r="N292" s="1" t="s">
        <v>1</v>
      </c>
      <c r="O292" s="1" t="s">
        <v>1</v>
      </c>
      <c r="P292" s="1" t="s">
        <v>1</v>
      </c>
      <c r="Q292" s="1" t="s">
        <v>1</v>
      </c>
      <c r="R292" s="1" t="s">
        <v>1</v>
      </c>
      <c r="S292" s="1" t="s">
        <v>1</v>
      </c>
      <c r="T292" s="1" t="s">
        <v>1</v>
      </c>
      <c r="U292" s="1" t="s">
        <v>1</v>
      </c>
      <c r="V292" s="1" t="s">
        <v>1</v>
      </c>
      <c r="W292" s="1" t="s">
        <v>1</v>
      </c>
      <c r="X292" s="1" t="s">
        <v>1</v>
      </c>
      <c r="Y292" s="1" t="s">
        <v>1</v>
      </c>
      <c r="Z292" s="1" t="s">
        <v>1</v>
      </c>
      <c r="AA292" s="95" t="s">
        <v>1</v>
      </c>
      <c r="AB292" s="28" t="s">
        <v>5238</v>
      </c>
      <c r="AC292" s="108">
        <v>4.9059999999999997</v>
      </c>
      <c r="AD292" s="115">
        <v>0.6</v>
      </c>
    </row>
    <row r="293" spans="1:30">
      <c r="A293" s="1">
        <f t="shared" si="4"/>
        <v>288</v>
      </c>
      <c r="B293" s="1" t="s">
        <v>2623</v>
      </c>
      <c r="C293" s="26" t="s">
        <v>1720</v>
      </c>
      <c r="D293" s="3" t="s">
        <v>1</v>
      </c>
      <c r="E293" s="3" t="s">
        <v>1</v>
      </c>
      <c r="F293" s="3" t="s">
        <v>1</v>
      </c>
      <c r="G293" s="3" t="s">
        <v>1</v>
      </c>
      <c r="H293" s="1" t="s">
        <v>2622</v>
      </c>
      <c r="J293" s="1" t="s">
        <v>2351</v>
      </c>
      <c r="K293" s="1" t="s">
        <v>2608</v>
      </c>
      <c r="L293" s="1">
        <v>2023</v>
      </c>
      <c r="N293" s="1" t="s">
        <v>1</v>
      </c>
      <c r="O293" s="1" t="s">
        <v>1</v>
      </c>
      <c r="P293" s="1" t="s">
        <v>1</v>
      </c>
      <c r="Q293" s="1" t="s">
        <v>1</v>
      </c>
      <c r="R293" s="1" t="s">
        <v>1</v>
      </c>
      <c r="S293" s="1" t="s">
        <v>1</v>
      </c>
      <c r="T293" s="1" t="s">
        <v>1</v>
      </c>
      <c r="U293" s="1" t="s">
        <v>1</v>
      </c>
      <c r="V293" s="1" t="s">
        <v>1</v>
      </c>
      <c r="W293" s="1" t="s">
        <v>1</v>
      </c>
      <c r="X293" s="1" t="s">
        <v>1</v>
      </c>
      <c r="Y293" s="1" t="s">
        <v>1</v>
      </c>
      <c r="Z293" s="1" t="s">
        <v>1</v>
      </c>
      <c r="AA293" s="95" t="s">
        <v>1</v>
      </c>
      <c r="AB293" s="28" t="s">
        <v>5240</v>
      </c>
      <c r="AC293" s="108">
        <v>0.46637099999999998</v>
      </c>
      <c r="AD293" s="115">
        <v>0.54583333333333328</v>
      </c>
    </row>
    <row r="294" spans="1:30">
      <c r="A294" s="1">
        <f t="shared" si="4"/>
        <v>289</v>
      </c>
      <c r="B294" s="1" t="s">
        <v>2621</v>
      </c>
      <c r="C294" s="26" t="s">
        <v>1720</v>
      </c>
      <c r="D294" s="3" t="s">
        <v>1</v>
      </c>
      <c r="E294" s="3" t="s">
        <v>1</v>
      </c>
      <c r="F294" s="3" t="s">
        <v>1</v>
      </c>
      <c r="G294" s="3" t="s">
        <v>1</v>
      </c>
      <c r="J294" s="1" t="s">
        <v>2351</v>
      </c>
      <c r="K294" s="1" t="s">
        <v>2608</v>
      </c>
      <c r="L294" s="1">
        <v>2023</v>
      </c>
      <c r="N294" s="1" t="s">
        <v>1</v>
      </c>
      <c r="O294" s="1" t="s">
        <v>1</v>
      </c>
      <c r="P294" s="1" t="s">
        <v>1</v>
      </c>
      <c r="Q294" s="1" t="s">
        <v>1</v>
      </c>
      <c r="R294" s="1" t="s">
        <v>1</v>
      </c>
      <c r="S294" s="1" t="s">
        <v>1</v>
      </c>
      <c r="T294" s="1" t="s">
        <v>1</v>
      </c>
      <c r="U294" s="1" t="s">
        <v>1</v>
      </c>
      <c r="V294" s="1" t="s">
        <v>1</v>
      </c>
      <c r="W294" s="1" t="s">
        <v>1</v>
      </c>
      <c r="X294" s="1" t="s">
        <v>1</v>
      </c>
      <c r="Y294" s="1" t="s">
        <v>1</v>
      </c>
      <c r="Z294" s="1" t="s">
        <v>1</v>
      </c>
    </row>
    <row r="295" spans="1:30">
      <c r="A295" s="1">
        <f t="shared" si="4"/>
        <v>290</v>
      </c>
      <c r="B295" s="1" t="s">
        <v>2620</v>
      </c>
      <c r="C295" s="26" t="s">
        <v>1720</v>
      </c>
      <c r="D295" s="3" t="s">
        <v>1</v>
      </c>
      <c r="E295" s="3" t="s">
        <v>1</v>
      </c>
      <c r="F295" s="3" t="s">
        <v>1</v>
      </c>
      <c r="G295" s="3" t="s">
        <v>1</v>
      </c>
      <c r="H295" s="1" t="s">
        <v>2603</v>
      </c>
      <c r="J295" s="1" t="s">
        <v>2351</v>
      </c>
      <c r="K295" s="1" t="s">
        <v>2603</v>
      </c>
      <c r="L295" s="1">
        <v>2021</v>
      </c>
      <c r="M295" s="1" t="s">
        <v>2619</v>
      </c>
      <c r="N295" s="1" t="s">
        <v>1</v>
      </c>
      <c r="O295" s="1" t="s">
        <v>1</v>
      </c>
      <c r="P295" s="1" t="s">
        <v>1</v>
      </c>
      <c r="Q295" s="1" t="s">
        <v>1</v>
      </c>
      <c r="R295" s="1" t="s">
        <v>1</v>
      </c>
      <c r="S295" s="1" t="s">
        <v>1</v>
      </c>
      <c r="T295" s="1" t="s">
        <v>1</v>
      </c>
      <c r="U295" s="1" t="s">
        <v>1</v>
      </c>
      <c r="V295" s="1" t="s">
        <v>1</v>
      </c>
      <c r="W295" s="1" t="s">
        <v>1</v>
      </c>
      <c r="X295" s="1" t="s">
        <v>1</v>
      </c>
      <c r="Y295" s="1" t="s">
        <v>1</v>
      </c>
      <c r="Z295" s="1" t="s">
        <v>1</v>
      </c>
      <c r="AA295" s="95" t="s">
        <v>1</v>
      </c>
      <c r="AB295" s="28" t="s">
        <v>5242</v>
      </c>
      <c r="AC295" s="108">
        <v>0.15621099999999999</v>
      </c>
      <c r="AD295" s="115">
        <v>0.1076388888888889</v>
      </c>
    </row>
    <row r="296" spans="1:30">
      <c r="A296" s="1">
        <f t="shared" si="4"/>
        <v>291</v>
      </c>
      <c r="B296" s="1" t="s">
        <v>2618</v>
      </c>
      <c r="C296" s="26" t="s">
        <v>1720</v>
      </c>
      <c r="D296" s="3" t="s">
        <v>1</v>
      </c>
      <c r="E296" s="3" t="s">
        <v>1</v>
      </c>
      <c r="F296" s="3" t="s">
        <v>1</v>
      </c>
      <c r="G296" s="3" t="s">
        <v>1</v>
      </c>
      <c r="H296" s="1" t="s">
        <v>2617</v>
      </c>
      <c r="J296" s="1" t="s">
        <v>2351</v>
      </c>
      <c r="K296" s="1" t="s">
        <v>2616</v>
      </c>
      <c r="L296" s="1">
        <v>2023</v>
      </c>
      <c r="N296" s="1" t="s">
        <v>1</v>
      </c>
      <c r="O296" s="1" t="s">
        <v>1</v>
      </c>
      <c r="P296" s="1" t="s">
        <v>1</v>
      </c>
      <c r="Q296" s="1" t="s">
        <v>1</v>
      </c>
      <c r="R296" s="1" t="s">
        <v>1</v>
      </c>
      <c r="S296" s="1" t="s">
        <v>1</v>
      </c>
      <c r="T296" s="1" t="s">
        <v>1</v>
      </c>
      <c r="U296" s="1" t="s">
        <v>1</v>
      </c>
      <c r="V296" s="1" t="s">
        <v>1</v>
      </c>
      <c r="W296" s="1" t="s">
        <v>1</v>
      </c>
      <c r="X296" s="1" t="s">
        <v>1</v>
      </c>
      <c r="Y296" s="1" t="s">
        <v>1</v>
      </c>
      <c r="Z296" s="1" t="s">
        <v>1</v>
      </c>
      <c r="AA296" s="95" t="s">
        <v>1</v>
      </c>
    </row>
    <row r="297" spans="1:30">
      <c r="A297" s="1">
        <f t="shared" si="4"/>
        <v>292</v>
      </c>
      <c r="B297" s="1" t="s">
        <v>2615</v>
      </c>
      <c r="C297" s="26" t="s">
        <v>1720</v>
      </c>
      <c r="D297" s="3" t="s">
        <v>1</v>
      </c>
      <c r="E297" s="3" t="s">
        <v>1</v>
      </c>
      <c r="F297" s="3" t="s">
        <v>1</v>
      </c>
      <c r="G297" s="3" t="s">
        <v>1</v>
      </c>
      <c r="J297" s="1" t="s">
        <v>2351</v>
      </c>
      <c r="K297" s="1" t="s">
        <v>2614</v>
      </c>
      <c r="L297" s="1">
        <v>2023</v>
      </c>
      <c r="M297" s="1" t="s">
        <v>2613</v>
      </c>
      <c r="N297" s="30" t="s">
        <v>1</v>
      </c>
      <c r="O297" s="30" t="s">
        <v>1</v>
      </c>
      <c r="P297" s="30" t="s">
        <v>1</v>
      </c>
      <c r="Q297" s="30" t="s">
        <v>1</v>
      </c>
      <c r="R297" s="30" t="s">
        <v>1</v>
      </c>
      <c r="S297" s="30" t="s">
        <v>1</v>
      </c>
      <c r="T297" s="30" t="s">
        <v>1</v>
      </c>
      <c r="U297" s="30" t="s">
        <v>1</v>
      </c>
      <c r="V297" s="30" t="s">
        <v>1</v>
      </c>
      <c r="W297" s="30" t="s">
        <v>1</v>
      </c>
      <c r="X297" s="30" t="s">
        <v>1</v>
      </c>
      <c r="Y297" s="30" t="s">
        <v>1</v>
      </c>
      <c r="Z297" s="30" t="s">
        <v>1</v>
      </c>
      <c r="AA297" s="116" t="s">
        <v>1</v>
      </c>
      <c r="AB297" s="28" t="s">
        <v>5239</v>
      </c>
      <c r="AC297" s="108">
        <v>2.6379999999999999</v>
      </c>
      <c r="AD297" s="115">
        <v>0.53194444444444444</v>
      </c>
    </row>
    <row r="298" spans="1:30">
      <c r="A298" s="1">
        <f t="shared" si="4"/>
        <v>293</v>
      </c>
      <c r="B298" s="1" t="s">
        <v>2612</v>
      </c>
      <c r="C298" s="26" t="s">
        <v>1720</v>
      </c>
      <c r="D298" s="3" t="s">
        <v>1</v>
      </c>
      <c r="E298" s="3" t="s">
        <v>1</v>
      </c>
      <c r="F298" s="3" t="s">
        <v>1</v>
      </c>
      <c r="G298" s="3" t="s">
        <v>1</v>
      </c>
      <c r="H298" s="1" t="s">
        <v>2611</v>
      </c>
      <c r="J298" s="1" t="s">
        <v>2082</v>
      </c>
      <c r="K298" s="1" t="s">
        <v>2593</v>
      </c>
      <c r="L298" s="2" t="s">
        <v>1</v>
      </c>
      <c r="N298" s="25" t="s">
        <v>1</v>
      </c>
      <c r="O298" s="25" t="s">
        <v>1</v>
      </c>
      <c r="P298" s="25" t="s">
        <v>1</v>
      </c>
      <c r="Q298" s="25" t="s">
        <v>1</v>
      </c>
      <c r="R298" s="25" t="s">
        <v>1</v>
      </c>
      <c r="S298" s="25" t="s">
        <v>1</v>
      </c>
      <c r="T298" s="25" t="s">
        <v>1</v>
      </c>
      <c r="U298" s="25" t="s">
        <v>1</v>
      </c>
      <c r="V298" s="25" t="s">
        <v>1</v>
      </c>
      <c r="W298" s="25" t="s">
        <v>1</v>
      </c>
      <c r="X298" s="25" t="s">
        <v>1</v>
      </c>
      <c r="Y298" s="25" t="s">
        <v>1</v>
      </c>
      <c r="Z298" s="25" t="s">
        <v>1</v>
      </c>
      <c r="AA298" s="97" t="s">
        <v>1</v>
      </c>
    </row>
    <row r="299" spans="1:30">
      <c r="A299" s="1">
        <f t="shared" si="4"/>
        <v>294</v>
      </c>
      <c r="B299" s="1" t="s">
        <v>2610</v>
      </c>
      <c r="C299" s="26" t="s">
        <v>1720</v>
      </c>
      <c r="D299" s="3" t="s">
        <v>1</v>
      </c>
      <c r="E299" s="3" t="s">
        <v>1</v>
      </c>
      <c r="F299" s="3" t="s">
        <v>1</v>
      </c>
      <c r="G299" s="3" t="s">
        <v>1</v>
      </c>
      <c r="H299" s="1" t="s">
        <v>2609</v>
      </c>
      <c r="J299" s="1" t="s">
        <v>2351</v>
      </c>
      <c r="K299" s="1" t="s">
        <v>2608</v>
      </c>
      <c r="L299" s="1">
        <v>2020</v>
      </c>
      <c r="N299" s="1" t="s">
        <v>1</v>
      </c>
      <c r="O299" s="1" t="s">
        <v>1</v>
      </c>
      <c r="P299" s="1" t="s">
        <v>1</v>
      </c>
      <c r="Q299" s="1" t="s">
        <v>1</v>
      </c>
      <c r="R299" s="1" t="s">
        <v>1</v>
      </c>
      <c r="S299" s="1" t="s">
        <v>1</v>
      </c>
      <c r="T299" s="1" t="s">
        <v>1</v>
      </c>
      <c r="U299" s="1" t="s">
        <v>1</v>
      </c>
      <c r="V299" s="1" t="s">
        <v>1</v>
      </c>
      <c r="W299" s="1" t="s">
        <v>1</v>
      </c>
      <c r="X299" s="1" t="s">
        <v>1</v>
      </c>
      <c r="Y299" s="1" t="s">
        <v>1</v>
      </c>
      <c r="Z299" s="1" t="s">
        <v>1</v>
      </c>
      <c r="AA299" s="95" t="s">
        <v>2206</v>
      </c>
      <c r="AB299" s="28" t="s">
        <v>5234</v>
      </c>
      <c r="AC299" s="108">
        <v>0.76458899999999996</v>
      </c>
      <c r="AD299" s="115">
        <v>0.1451388888888889</v>
      </c>
    </row>
    <row r="300" spans="1:30">
      <c r="A300" s="1">
        <f t="shared" si="4"/>
        <v>295</v>
      </c>
      <c r="B300" s="1" t="s">
        <v>2607</v>
      </c>
      <c r="C300" s="26" t="s">
        <v>1720</v>
      </c>
      <c r="D300" s="3" t="s">
        <v>1</v>
      </c>
      <c r="E300" s="3" t="s">
        <v>1</v>
      </c>
      <c r="F300" s="3" t="s">
        <v>1</v>
      </c>
      <c r="G300" s="3" t="s">
        <v>1</v>
      </c>
      <c r="J300" s="1" t="s">
        <v>2606</v>
      </c>
      <c r="K300" s="1" t="s">
        <v>2606</v>
      </c>
      <c r="L300" s="3" t="s">
        <v>1</v>
      </c>
      <c r="N300" s="30" t="s">
        <v>1</v>
      </c>
      <c r="O300" s="30" t="s">
        <v>1</v>
      </c>
      <c r="P300" s="30" t="s">
        <v>1</v>
      </c>
      <c r="Q300" s="30" t="s">
        <v>1</v>
      </c>
      <c r="R300" s="30" t="s">
        <v>1</v>
      </c>
      <c r="S300" s="30" t="s">
        <v>1</v>
      </c>
      <c r="T300" s="30" t="s">
        <v>1</v>
      </c>
      <c r="U300" s="30" t="s">
        <v>1</v>
      </c>
      <c r="V300" s="30" t="s">
        <v>1</v>
      </c>
      <c r="W300" s="30" t="s">
        <v>1</v>
      </c>
      <c r="X300" s="30" t="s">
        <v>1</v>
      </c>
      <c r="Y300" s="30" t="s">
        <v>1</v>
      </c>
      <c r="Z300" s="30" t="s">
        <v>1</v>
      </c>
      <c r="AA300" s="116" t="s">
        <v>1</v>
      </c>
      <c r="AB300" s="99"/>
      <c r="AC300" s="112"/>
      <c r="AD300" s="104"/>
    </row>
    <row r="301" spans="1:30">
      <c r="A301" s="1">
        <f t="shared" si="4"/>
        <v>296</v>
      </c>
      <c r="B301" s="1" t="s">
        <v>2605</v>
      </c>
      <c r="C301" s="26" t="s">
        <v>1720</v>
      </c>
      <c r="D301" s="3" t="s">
        <v>1</v>
      </c>
      <c r="E301" s="3" t="s">
        <v>1</v>
      </c>
      <c r="F301" s="3" t="s">
        <v>1</v>
      </c>
      <c r="G301" s="3" t="s">
        <v>1</v>
      </c>
      <c r="H301" s="1" t="s">
        <v>2604</v>
      </c>
      <c r="J301" s="1" t="s">
        <v>2351</v>
      </c>
      <c r="K301" s="1" t="s">
        <v>2603</v>
      </c>
      <c r="L301" s="2" t="s">
        <v>1</v>
      </c>
      <c r="N301" s="30" t="s">
        <v>1</v>
      </c>
      <c r="O301" s="30" t="s">
        <v>1</v>
      </c>
      <c r="P301" s="30" t="s">
        <v>1</v>
      </c>
      <c r="Q301" s="30" t="s">
        <v>1</v>
      </c>
      <c r="R301" s="30" t="s">
        <v>1</v>
      </c>
      <c r="S301" s="30" t="s">
        <v>1</v>
      </c>
      <c r="T301" s="30" t="s">
        <v>1</v>
      </c>
      <c r="U301" s="30" t="s">
        <v>1</v>
      </c>
      <c r="V301" s="30" t="s">
        <v>1</v>
      </c>
      <c r="W301" s="30" t="s">
        <v>1</v>
      </c>
      <c r="X301" s="30" t="s">
        <v>1</v>
      </c>
      <c r="Y301" s="30" t="s">
        <v>1</v>
      </c>
      <c r="Z301" s="30" t="s">
        <v>1</v>
      </c>
      <c r="AA301" s="116" t="s">
        <v>1</v>
      </c>
    </row>
    <row r="302" spans="1:30">
      <c r="A302" s="1">
        <f t="shared" si="4"/>
        <v>297</v>
      </c>
      <c r="B302" s="1" t="s">
        <v>2602</v>
      </c>
      <c r="C302" s="26" t="s">
        <v>1720</v>
      </c>
      <c r="D302" s="3" t="s">
        <v>1</v>
      </c>
      <c r="E302" s="3" t="s">
        <v>1</v>
      </c>
      <c r="F302" s="3" t="s">
        <v>1</v>
      </c>
      <c r="G302" s="3" t="s">
        <v>1</v>
      </c>
      <c r="H302" s="1" t="s">
        <v>2601</v>
      </c>
      <c r="J302" s="1" t="s">
        <v>2351</v>
      </c>
      <c r="K302" s="1" t="s">
        <v>2510</v>
      </c>
      <c r="L302" s="2" t="s">
        <v>1</v>
      </c>
      <c r="N302" s="1" t="s">
        <v>1</v>
      </c>
      <c r="O302" s="1" t="s">
        <v>1</v>
      </c>
      <c r="P302" s="1" t="s">
        <v>1</v>
      </c>
      <c r="Q302" s="1" t="s">
        <v>1</v>
      </c>
      <c r="R302" s="1" t="s">
        <v>1</v>
      </c>
      <c r="S302" s="1" t="s">
        <v>1</v>
      </c>
      <c r="T302" s="1" t="s">
        <v>1</v>
      </c>
      <c r="U302" s="1" t="s">
        <v>1</v>
      </c>
      <c r="V302" s="1" t="s">
        <v>1</v>
      </c>
      <c r="W302" s="1" t="s">
        <v>1</v>
      </c>
      <c r="X302" s="1" t="s">
        <v>1</v>
      </c>
      <c r="Y302" s="1" t="s">
        <v>1</v>
      </c>
      <c r="Z302" s="1" t="s">
        <v>1</v>
      </c>
      <c r="AA302" s="95" t="s">
        <v>1</v>
      </c>
      <c r="AB302" s="28" t="s">
        <v>5235</v>
      </c>
      <c r="AC302" s="108">
        <v>0.78598699999999999</v>
      </c>
      <c r="AD302" s="115">
        <v>0.35833333333333334</v>
      </c>
    </row>
    <row r="303" spans="1:30">
      <c r="A303" s="1">
        <f t="shared" si="4"/>
        <v>298</v>
      </c>
      <c r="B303" s="1" t="s">
        <v>2600</v>
      </c>
      <c r="C303" s="26" t="s">
        <v>1720</v>
      </c>
      <c r="D303" s="3" t="s">
        <v>1</v>
      </c>
      <c r="E303" s="3" t="s">
        <v>1</v>
      </c>
      <c r="F303" s="3" t="s">
        <v>1</v>
      </c>
      <c r="G303" s="3" t="s">
        <v>1</v>
      </c>
      <c r="H303" s="1" t="s">
        <v>2510</v>
      </c>
      <c r="J303" s="1" t="s">
        <v>2351</v>
      </c>
      <c r="K303" s="1" t="s">
        <v>2510</v>
      </c>
      <c r="L303" s="1">
        <v>2021</v>
      </c>
      <c r="N303" s="1" t="s">
        <v>1</v>
      </c>
      <c r="O303" s="1" t="s">
        <v>1</v>
      </c>
      <c r="P303" s="1" t="s">
        <v>1</v>
      </c>
      <c r="Q303" s="1" t="s">
        <v>1</v>
      </c>
      <c r="R303" s="1" t="s">
        <v>1</v>
      </c>
      <c r="S303" s="1" t="s">
        <v>1</v>
      </c>
      <c r="T303" s="1" t="s">
        <v>1</v>
      </c>
      <c r="U303" s="1" t="s">
        <v>1</v>
      </c>
      <c r="V303" s="1" t="s">
        <v>1</v>
      </c>
      <c r="W303" s="1" t="s">
        <v>1</v>
      </c>
      <c r="X303" s="1" t="s">
        <v>1</v>
      </c>
      <c r="Y303" s="1" t="s">
        <v>1</v>
      </c>
      <c r="Z303" s="1" t="s">
        <v>1</v>
      </c>
      <c r="AA303" s="95" t="s">
        <v>2194</v>
      </c>
    </row>
    <row r="304" spans="1:30">
      <c r="A304" s="1">
        <f t="shared" si="4"/>
        <v>299</v>
      </c>
      <c r="B304" s="1" t="s">
        <v>2599</v>
      </c>
      <c r="C304" s="26" t="s">
        <v>1720</v>
      </c>
      <c r="D304" s="3" t="s">
        <v>1</v>
      </c>
      <c r="E304" s="3" t="s">
        <v>1</v>
      </c>
      <c r="F304" s="3" t="s">
        <v>1</v>
      </c>
      <c r="G304" s="3" t="s">
        <v>1</v>
      </c>
      <c r="H304" s="1" t="s">
        <v>2598</v>
      </c>
      <c r="J304" s="1" t="s">
        <v>2351</v>
      </c>
      <c r="K304" s="1" t="s">
        <v>2510</v>
      </c>
      <c r="L304" s="1">
        <v>2022</v>
      </c>
      <c r="N304" s="30" t="s">
        <v>1</v>
      </c>
      <c r="O304" s="30" t="s">
        <v>1</v>
      </c>
      <c r="P304" s="30" t="s">
        <v>1</v>
      </c>
      <c r="Q304" s="30" t="s">
        <v>1</v>
      </c>
      <c r="R304" s="30" t="s">
        <v>1</v>
      </c>
      <c r="S304" s="30" t="s">
        <v>1</v>
      </c>
      <c r="T304" s="30" t="s">
        <v>1</v>
      </c>
      <c r="U304" s="30" t="s">
        <v>1</v>
      </c>
      <c r="V304" s="30" t="s">
        <v>1</v>
      </c>
      <c r="W304" s="30" t="s">
        <v>1</v>
      </c>
      <c r="X304" s="30" t="s">
        <v>1</v>
      </c>
      <c r="Y304" s="30" t="s">
        <v>1</v>
      </c>
      <c r="Z304" s="30" t="s">
        <v>1</v>
      </c>
      <c r="AA304" s="116" t="s">
        <v>1</v>
      </c>
    </row>
    <row r="305" spans="1:30">
      <c r="A305" s="1">
        <f t="shared" si="4"/>
        <v>300</v>
      </c>
      <c r="B305" s="1" t="s">
        <v>2597</v>
      </c>
      <c r="C305" s="26" t="s">
        <v>1720</v>
      </c>
      <c r="D305" s="3" t="s">
        <v>1</v>
      </c>
      <c r="E305" s="3" t="s">
        <v>1</v>
      </c>
      <c r="F305" s="3" t="s">
        <v>1</v>
      </c>
      <c r="G305" s="3" t="s">
        <v>1</v>
      </c>
      <c r="H305" s="1" t="s">
        <v>2596</v>
      </c>
      <c r="J305" s="1" t="s">
        <v>2351</v>
      </c>
      <c r="K305" s="1" t="s">
        <v>2510</v>
      </c>
      <c r="L305" s="2" t="s">
        <v>1</v>
      </c>
      <c r="N305" s="1" t="s">
        <v>1</v>
      </c>
      <c r="O305" s="1" t="s">
        <v>1</v>
      </c>
      <c r="P305" s="1" t="s">
        <v>1</v>
      </c>
      <c r="Q305" s="1" t="s">
        <v>1</v>
      </c>
      <c r="R305" s="1" t="s">
        <v>1</v>
      </c>
      <c r="S305" s="1" t="s">
        <v>1</v>
      </c>
      <c r="T305" s="1" t="s">
        <v>1</v>
      </c>
      <c r="U305" s="1" t="s">
        <v>1</v>
      </c>
      <c r="V305" s="1" t="s">
        <v>1</v>
      </c>
      <c r="W305" s="1" t="s">
        <v>1</v>
      </c>
      <c r="X305" s="1" t="s">
        <v>1</v>
      </c>
      <c r="Y305" s="1" t="s">
        <v>1</v>
      </c>
      <c r="Z305" s="1" t="s">
        <v>1</v>
      </c>
      <c r="AA305" s="95" t="s">
        <v>1</v>
      </c>
    </row>
    <row r="306" spans="1:30">
      <c r="A306" s="1">
        <f t="shared" si="4"/>
        <v>301</v>
      </c>
      <c r="B306" s="1" t="s">
        <v>2595</v>
      </c>
      <c r="C306" s="26" t="s">
        <v>1720</v>
      </c>
      <c r="D306" s="3" t="s">
        <v>1</v>
      </c>
      <c r="E306" s="3" t="s">
        <v>1</v>
      </c>
      <c r="F306" s="3" t="s">
        <v>1</v>
      </c>
      <c r="G306" s="3" t="s">
        <v>1</v>
      </c>
      <c r="H306" s="1" t="s">
        <v>2594</v>
      </c>
      <c r="J306" s="1" t="s">
        <v>2351</v>
      </c>
      <c r="K306" s="1" t="s">
        <v>2593</v>
      </c>
      <c r="L306" s="2" t="s">
        <v>1</v>
      </c>
      <c r="N306" s="1" t="s">
        <v>1</v>
      </c>
      <c r="O306" s="1" t="s">
        <v>1</v>
      </c>
      <c r="P306" s="1" t="s">
        <v>1</v>
      </c>
      <c r="Q306" s="1" t="s">
        <v>1</v>
      </c>
      <c r="R306" s="1" t="s">
        <v>1</v>
      </c>
      <c r="S306" s="1" t="s">
        <v>1</v>
      </c>
      <c r="T306" s="1" t="s">
        <v>1</v>
      </c>
      <c r="U306" s="1" t="s">
        <v>1</v>
      </c>
      <c r="V306" s="1" t="s">
        <v>1</v>
      </c>
      <c r="W306" s="1" t="s">
        <v>1</v>
      </c>
      <c r="X306" s="1" t="s">
        <v>1</v>
      </c>
      <c r="Y306" s="1" t="s">
        <v>1</v>
      </c>
      <c r="Z306" s="1" t="s">
        <v>1</v>
      </c>
      <c r="AA306" s="95" t="s">
        <v>1</v>
      </c>
    </row>
    <row r="307" spans="1:30">
      <c r="A307" s="1">
        <f t="shared" si="4"/>
        <v>302</v>
      </c>
      <c r="B307" s="1" t="s">
        <v>2592</v>
      </c>
      <c r="C307" s="26" t="s">
        <v>1720</v>
      </c>
      <c r="D307" s="3" t="s">
        <v>1</v>
      </c>
      <c r="E307" s="3" t="s">
        <v>1</v>
      </c>
      <c r="F307" s="3" t="s">
        <v>1</v>
      </c>
      <c r="G307" s="3" t="s">
        <v>1</v>
      </c>
      <c r="H307" s="1" t="s">
        <v>2591</v>
      </c>
      <c r="J307" s="1" t="s">
        <v>2351</v>
      </c>
      <c r="K307" s="1" t="s">
        <v>2590</v>
      </c>
      <c r="L307" s="1">
        <v>2021</v>
      </c>
      <c r="N307" s="1" t="s">
        <v>1</v>
      </c>
      <c r="O307" s="1" t="s">
        <v>1</v>
      </c>
      <c r="P307" s="1" t="s">
        <v>1</v>
      </c>
      <c r="Q307" s="1" t="s">
        <v>1</v>
      </c>
      <c r="R307" s="1" t="s">
        <v>1</v>
      </c>
      <c r="S307" s="1" t="s">
        <v>1</v>
      </c>
      <c r="T307" s="1" t="s">
        <v>1</v>
      </c>
      <c r="U307" s="1" t="s">
        <v>1</v>
      </c>
      <c r="V307" s="1" t="s">
        <v>1</v>
      </c>
      <c r="W307" s="1" t="s">
        <v>1</v>
      </c>
      <c r="X307" s="1" t="s">
        <v>1</v>
      </c>
      <c r="Y307" s="1" t="s">
        <v>1</v>
      </c>
      <c r="Z307" s="1" t="s">
        <v>1</v>
      </c>
      <c r="AA307" s="95" t="s">
        <v>2589</v>
      </c>
      <c r="AB307" s="28" t="s">
        <v>5237</v>
      </c>
      <c r="AC307" s="108">
        <v>4.7149999999999999</v>
      </c>
      <c r="AD307" s="115">
        <v>0.63541666666666663</v>
      </c>
    </row>
    <row r="308" spans="1:30">
      <c r="A308" s="1">
        <f t="shared" si="4"/>
        <v>303</v>
      </c>
      <c r="B308" s="1" t="s">
        <v>2588</v>
      </c>
      <c r="C308" s="26" t="s">
        <v>1720</v>
      </c>
      <c r="D308" s="3" t="s">
        <v>1</v>
      </c>
      <c r="E308" s="3" t="s">
        <v>1</v>
      </c>
      <c r="F308" s="3" t="s">
        <v>1</v>
      </c>
      <c r="G308" s="3" t="s">
        <v>1</v>
      </c>
      <c r="H308" s="1" t="s">
        <v>2587</v>
      </c>
      <c r="J308" s="1" t="s">
        <v>2351</v>
      </c>
      <c r="K308" s="1" t="s">
        <v>2586</v>
      </c>
      <c r="L308" s="1">
        <v>2023</v>
      </c>
      <c r="N308" s="1" t="s">
        <v>1</v>
      </c>
      <c r="O308" s="1" t="s">
        <v>1</v>
      </c>
      <c r="P308" s="1" t="s">
        <v>1</v>
      </c>
      <c r="Q308" s="1" t="s">
        <v>1</v>
      </c>
      <c r="R308" s="1" t="s">
        <v>1</v>
      </c>
      <c r="S308" s="1" t="s">
        <v>1</v>
      </c>
      <c r="T308" s="1" t="s">
        <v>1</v>
      </c>
      <c r="U308" s="1" t="s">
        <v>1</v>
      </c>
      <c r="V308" s="1" t="s">
        <v>1</v>
      </c>
      <c r="W308" s="1" t="s">
        <v>1</v>
      </c>
      <c r="X308" s="1" t="s">
        <v>1</v>
      </c>
      <c r="Y308" s="1" t="s">
        <v>1</v>
      </c>
      <c r="Z308" s="1" t="s">
        <v>1</v>
      </c>
      <c r="AA308" s="95" t="s">
        <v>1</v>
      </c>
      <c r="AB308" s="28" t="s">
        <v>5236</v>
      </c>
      <c r="AC308" s="108">
        <v>11.65</v>
      </c>
      <c r="AD308" s="115">
        <v>0.79861111111111116</v>
      </c>
    </row>
    <row r="309" spans="1:30">
      <c r="A309" s="1">
        <f t="shared" si="4"/>
        <v>304</v>
      </c>
      <c r="B309" s="1" t="s">
        <v>2585</v>
      </c>
      <c r="C309" s="26" t="s">
        <v>1720</v>
      </c>
      <c r="D309" s="3" t="s">
        <v>1</v>
      </c>
      <c r="E309" s="3" t="s">
        <v>1</v>
      </c>
      <c r="F309" s="3" t="s">
        <v>1</v>
      </c>
      <c r="G309" s="3" t="s">
        <v>1</v>
      </c>
      <c r="H309" s="1" t="s">
        <v>2584</v>
      </c>
      <c r="I309" s="1" t="s">
        <v>2583</v>
      </c>
      <c r="J309" s="1" t="s">
        <v>2082</v>
      </c>
      <c r="K309" s="1" t="s">
        <v>2582</v>
      </c>
      <c r="L309" s="1">
        <v>2018</v>
      </c>
      <c r="N309" s="1" t="s">
        <v>1</v>
      </c>
      <c r="O309" s="1" t="s">
        <v>1</v>
      </c>
      <c r="P309" s="1" t="s">
        <v>1</v>
      </c>
      <c r="Q309" s="1" t="s">
        <v>1</v>
      </c>
      <c r="R309" s="1" t="s">
        <v>1</v>
      </c>
      <c r="S309" s="1" t="s">
        <v>1</v>
      </c>
      <c r="T309" s="1" t="s">
        <v>1</v>
      </c>
      <c r="U309" s="1" t="s">
        <v>1</v>
      </c>
      <c r="V309" s="1" t="s">
        <v>1</v>
      </c>
      <c r="W309" s="1" t="s">
        <v>1</v>
      </c>
      <c r="X309" s="1" t="s">
        <v>1</v>
      </c>
      <c r="Y309" s="1" t="s">
        <v>1</v>
      </c>
      <c r="Z309" s="1" t="s">
        <v>1</v>
      </c>
      <c r="AA309" s="95" t="s">
        <v>2581</v>
      </c>
      <c r="AB309" s="28" t="s">
        <v>2580</v>
      </c>
      <c r="AC309" s="109"/>
      <c r="AD309" s="101"/>
    </row>
    <row r="310" spans="1:30">
      <c r="A310" s="1">
        <f t="shared" si="4"/>
        <v>305</v>
      </c>
      <c r="B310" s="1" t="s">
        <v>2579</v>
      </c>
      <c r="C310" s="26" t="s">
        <v>1720</v>
      </c>
      <c r="D310" s="3" t="s">
        <v>1</v>
      </c>
      <c r="E310" s="3" t="s">
        <v>1</v>
      </c>
      <c r="F310" s="3" t="s">
        <v>1</v>
      </c>
      <c r="G310" s="3" t="s">
        <v>1</v>
      </c>
      <c r="H310" s="1" t="s">
        <v>2578</v>
      </c>
      <c r="J310" s="1" t="s">
        <v>2351</v>
      </c>
      <c r="K310" s="1" t="s">
        <v>2432</v>
      </c>
      <c r="L310" s="1">
        <v>2023</v>
      </c>
      <c r="N310" s="1" t="s">
        <v>1</v>
      </c>
      <c r="O310" s="1" t="s">
        <v>1</v>
      </c>
      <c r="P310" s="1" t="s">
        <v>1</v>
      </c>
      <c r="Q310" s="1" t="s">
        <v>1</v>
      </c>
      <c r="R310" s="1" t="s">
        <v>1</v>
      </c>
      <c r="S310" s="1" t="s">
        <v>1</v>
      </c>
      <c r="T310" s="1" t="s">
        <v>1</v>
      </c>
      <c r="U310" s="1" t="s">
        <v>1</v>
      </c>
      <c r="V310" s="1" t="s">
        <v>1</v>
      </c>
      <c r="W310" s="1" t="s">
        <v>1</v>
      </c>
      <c r="X310" s="1" t="s">
        <v>1</v>
      </c>
      <c r="Y310" s="1" t="s">
        <v>1</v>
      </c>
      <c r="Z310" s="1" t="s">
        <v>1</v>
      </c>
      <c r="AA310" s="95" t="s">
        <v>1</v>
      </c>
    </row>
    <row r="311" spans="1:30">
      <c r="A311" s="1">
        <f>A287+1</f>
        <v>283</v>
      </c>
      <c r="B311" s="1" t="s">
        <v>2575</v>
      </c>
      <c r="C311" s="26" t="s">
        <v>1720</v>
      </c>
      <c r="D311" s="3" t="s">
        <v>1</v>
      </c>
      <c r="E311" s="3" t="s">
        <v>1</v>
      </c>
      <c r="F311" s="3" t="s">
        <v>1</v>
      </c>
      <c r="G311" s="3" t="s">
        <v>1</v>
      </c>
      <c r="H311" s="1" t="s">
        <v>2574</v>
      </c>
      <c r="I311" s="1" t="s">
        <v>2573</v>
      </c>
      <c r="J311" s="1" t="s">
        <v>2082</v>
      </c>
      <c r="K311" s="1" t="s">
        <v>2572</v>
      </c>
      <c r="L311" s="1">
        <v>2022</v>
      </c>
      <c r="N311" s="1" t="s">
        <v>1</v>
      </c>
      <c r="O311" s="1" t="s">
        <v>1</v>
      </c>
      <c r="P311" s="1" t="s">
        <v>1</v>
      </c>
      <c r="Q311" s="1" t="s">
        <v>1</v>
      </c>
      <c r="R311" s="1" t="s">
        <v>1</v>
      </c>
      <c r="S311" s="1" t="s">
        <v>1</v>
      </c>
      <c r="T311" s="1" t="s">
        <v>1</v>
      </c>
      <c r="U311" s="1" t="s">
        <v>1</v>
      </c>
      <c r="V311" s="1" t="s">
        <v>1</v>
      </c>
      <c r="W311" s="1" t="s">
        <v>1</v>
      </c>
      <c r="X311" s="1" t="s">
        <v>1</v>
      </c>
      <c r="Y311" s="1" t="s">
        <v>1</v>
      </c>
      <c r="Z311" s="1" t="s">
        <v>1</v>
      </c>
      <c r="AA311" s="95" t="s">
        <v>2571</v>
      </c>
    </row>
    <row r="312" spans="1:30">
      <c r="A312" s="1">
        <f t="shared" si="4"/>
        <v>284</v>
      </c>
      <c r="B312" s="1" t="s">
        <v>2570</v>
      </c>
      <c r="C312" s="26" t="s">
        <v>1720</v>
      </c>
      <c r="D312" s="3" t="s">
        <v>1</v>
      </c>
      <c r="E312" s="3" t="s">
        <v>1</v>
      </c>
      <c r="F312" s="3" t="s">
        <v>1</v>
      </c>
      <c r="G312" s="3" t="s">
        <v>1</v>
      </c>
      <c r="H312" s="1" t="s">
        <v>2569</v>
      </c>
      <c r="J312" s="1" t="s">
        <v>2351</v>
      </c>
      <c r="K312" s="1" t="s">
        <v>2568</v>
      </c>
      <c r="L312" s="1">
        <v>2021</v>
      </c>
      <c r="N312" s="1" t="s">
        <v>1</v>
      </c>
      <c r="O312" s="1" t="s">
        <v>1</v>
      </c>
      <c r="P312" s="1" t="s">
        <v>1</v>
      </c>
      <c r="Q312" s="1" t="s">
        <v>1</v>
      </c>
      <c r="R312" s="1" t="s">
        <v>1</v>
      </c>
      <c r="S312" s="1" t="s">
        <v>1</v>
      </c>
      <c r="T312" s="1" t="s">
        <v>1</v>
      </c>
      <c r="U312" s="1" t="s">
        <v>1</v>
      </c>
      <c r="V312" s="1" t="s">
        <v>1</v>
      </c>
      <c r="W312" s="1" t="s">
        <v>1</v>
      </c>
      <c r="X312" s="1" t="s">
        <v>1</v>
      </c>
      <c r="Y312" s="1" t="s">
        <v>1</v>
      </c>
      <c r="Z312" s="1" t="s">
        <v>1</v>
      </c>
      <c r="AA312" s="95" t="s">
        <v>2567</v>
      </c>
      <c r="AB312" s="28" t="s">
        <v>2566</v>
      </c>
      <c r="AC312" s="109"/>
      <c r="AD312" s="101"/>
    </row>
    <row r="313" spans="1:30">
      <c r="A313" s="1">
        <f t="shared" si="4"/>
        <v>285</v>
      </c>
      <c r="B313" s="1" t="s">
        <v>2565</v>
      </c>
      <c r="C313" s="26" t="s">
        <v>1720</v>
      </c>
      <c r="D313" s="3" t="s">
        <v>1</v>
      </c>
      <c r="E313" s="3" t="s">
        <v>1</v>
      </c>
      <c r="F313" s="3" t="s">
        <v>1</v>
      </c>
      <c r="G313" s="3" t="s">
        <v>1</v>
      </c>
      <c r="H313" s="1" t="s">
        <v>2564</v>
      </c>
      <c r="I313" s="1" t="s">
        <v>1</v>
      </c>
      <c r="J313" s="1" t="s">
        <v>2082</v>
      </c>
      <c r="K313" s="1" t="s">
        <v>2564</v>
      </c>
      <c r="L313" s="2" t="s">
        <v>1</v>
      </c>
      <c r="N313" s="1" t="s">
        <v>1</v>
      </c>
      <c r="O313" s="1" t="s">
        <v>1</v>
      </c>
      <c r="P313" s="1" t="s">
        <v>1</v>
      </c>
      <c r="Q313" s="1" t="s">
        <v>1</v>
      </c>
      <c r="R313" s="1" t="s">
        <v>1</v>
      </c>
      <c r="S313" s="1" t="s">
        <v>1</v>
      </c>
      <c r="T313" s="1" t="s">
        <v>1</v>
      </c>
      <c r="U313" s="1" t="s">
        <v>1</v>
      </c>
      <c r="V313" s="1" t="s">
        <v>1</v>
      </c>
      <c r="W313" s="1" t="s">
        <v>1</v>
      </c>
      <c r="X313" s="1" t="s">
        <v>1</v>
      </c>
      <c r="Y313" s="1" t="s">
        <v>1</v>
      </c>
      <c r="Z313" s="1" t="s">
        <v>1</v>
      </c>
      <c r="AA313" s="95" t="s">
        <v>1</v>
      </c>
      <c r="AB313" s="28" t="s">
        <v>2563</v>
      </c>
      <c r="AC313" s="109"/>
      <c r="AD313" s="101"/>
    </row>
    <row r="314" spans="1:30">
      <c r="A314" s="1">
        <f t="shared" si="4"/>
        <v>286</v>
      </c>
      <c r="B314" s="1" t="s">
        <v>2562</v>
      </c>
      <c r="C314" s="26" t="s">
        <v>1720</v>
      </c>
      <c r="D314" s="3" t="s">
        <v>1</v>
      </c>
      <c r="E314" s="3" t="s">
        <v>1</v>
      </c>
      <c r="F314" s="3" t="s">
        <v>1</v>
      </c>
      <c r="G314" s="3" t="s">
        <v>1</v>
      </c>
      <c r="H314" s="1" t="s">
        <v>2346</v>
      </c>
      <c r="J314" s="1" t="s">
        <v>2082</v>
      </c>
      <c r="K314" s="1" t="s">
        <v>2346</v>
      </c>
      <c r="L314" s="1">
        <v>2020</v>
      </c>
      <c r="M314" s="1" t="s">
        <v>2561</v>
      </c>
      <c r="N314" s="1" t="s">
        <v>1</v>
      </c>
      <c r="O314" s="1" t="s">
        <v>1</v>
      </c>
      <c r="P314" s="1" t="s">
        <v>1</v>
      </c>
      <c r="Q314" s="1" t="s">
        <v>1</v>
      </c>
      <c r="R314" s="1" t="s">
        <v>1</v>
      </c>
      <c r="S314" s="1" t="s">
        <v>1</v>
      </c>
      <c r="T314" s="1" t="s">
        <v>1</v>
      </c>
      <c r="U314" s="1" t="s">
        <v>1</v>
      </c>
      <c r="V314" s="1" t="s">
        <v>1</v>
      </c>
      <c r="W314" s="1" t="s">
        <v>1</v>
      </c>
      <c r="X314" s="1" t="s">
        <v>1</v>
      </c>
      <c r="Y314" s="1" t="s">
        <v>1</v>
      </c>
      <c r="Z314" s="1" t="s">
        <v>1</v>
      </c>
      <c r="AA314" s="95" t="s">
        <v>2560</v>
      </c>
    </row>
    <row r="315" spans="1:30">
      <c r="A315" s="1">
        <f t="shared" si="4"/>
        <v>287</v>
      </c>
      <c r="B315" s="1" t="s">
        <v>2310</v>
      </c>
      <c r="C315" s="26" t="s">
        <v>1720</v>
      </c>
      <c r="D315" s="3" t="s">
        <v>1</v>
      </c>
      <c r="E315" s="30" t="s">
        <v>4</v>
      </c>
      <c r="F315" s="3" t="s">
        <v>1</v>
      </c>
      <c r="G315" s="4">
        <v>44454</v>
      </c>
      <c r="I315" s="1" t="s">
        <v>2309</v>
      </c>
      <c r="J315" s="1" t="s">
        <v>2082</v>
      </c>
      <c r="K315" s="1" t="s">
        <v>2308</v>
      </c>
      <c r="L315" s="2" t="s">
        <v>1</v>
      </c>
      <c r="N315" s="1" t="s">
        <v>632</v>
      </c>
      <c r="O315" s="25" t="s">
        <v>1</v>
      </c>
      <c r="P315" s="25" t="s">
        <v>1</v>
      </c>
      <c r="Q315" s="25" t="s">
        <v>1</v>
      </c>
      <c r="R315" s="25" t="s">
        <v>1</v>
      </c>
      <c r="S315" s="25" t="s">
        <v>1</v>
      </c>
      <c r="T315" s="25" t="s">
        <v>1</v>
      </c>
      <c r="U315" s="25" t="s">
        <v>1</v>
      </c>
      <c r="V315" s="25" t="s">
        <v>1</v>
      </c>
      <c r="W315" s="25" t="s">
        <v>1</v>
      </c>
      <c r="X315" s="25" t="s">
        <v>1</v>
      </c>
      <c r="Y315" s="25" t="s">
        <v>1</v>
      </c>
      <c r="Z315" s="25" t="s">
        <v>1</v>
      </c>
      <c r="AA315" s="95" t="s">
        <v>2085</v>
      </c>
    </row>
    <row r="316" spans="1:30">
      <c r="A316" s="1">
        <f t="shared" si="4"/>
        <v>288</v>
      </c>
      <c r="B316" s="1" t="s">
        <v>2283</v>
      </c>
      <c r="C316" s="26" t="s">
        <v>1720</v>
      </c>
      <c r="D316" s="3" t="s">
        <v>1</v>
      </c>
      <c r="E316" s="30" t="s">
        <v>1</v>
      </c>
      <c r="F316" s="3" t="s">
        <v>1</v>
      </c>
      <c r="G316" s="3" t="s">
        <v>1</v>
      </c>
      <c r="H316" s="1" t="s">
        <v>2282</v>
      </c>
      <c r="I316" s="1" t="s">
        <v>2281</v>
      </c>
      <c r="J316" s="1" t="s">
        <v>2082</v>
      </c>
      <c r="K316" s="1" t="s">
        <v>2280</v>
      </c>
      <c r="L316" s="1">
        <v>2022</v>
      </c>
      <c r="N316" s="1" t="s">
        <v>1</v>
      </c>
      <c r="O316" s="1" t="s">
        <v>1</v>
      </c>
      <c r="P316" s="1" t="s">
        <v>1</v>
      </c>
      <c r="Q316" s="1" t="s">
        <v>1</v>
      </c>
      <c r="R316" s="1" t="s">
        <v>1</v>
      </c>
      <c r="S316" s="1" t="s">
        <v>1</v>
      </c>
      <c r="T316" s="1" t="s">
        <v>1</v>
      </c>
      <c r="U316" s="1" t="s">
        <v>1</v>
      </c>
      <c r="V316" s="1" t="s">
        <v>1</v>
      </c>
      <c r="W316" s="1" t="s">
        <v>1</v>
      </c>
      <c r="X316" s="1" t="s">
        <v>1</v>
      </c>
      <c r="Y316" s="1" t="s">
        <v>1</v>
      </c>
      <c r="Z316" s="1" t="s">
        <v>1</v>
      </c>
      <c r="AA316" s="95" t="s">
        <v>2092</v>
      </c>
    </row>
    <row r="317" spans="1:30">
      <c r="A317" s="1">
        <f t="shared" si="4"/>
        <v>289</v>
      </c>
      <c r="B317" s="1" t="s">
        <v>2160</v>
      </c>
      <c r="C317" s="26" t="s">
        <v>1720</v>
      </c>
      <c r="D317" s="85" t="s">
        <v>1</v>
      </c>
      <c r="E317" s="85" t="s">
        <v>1</v>
      </c>
      <c r="F317" s="85" t="s">
        <v>1</v>
      </c>
      <c r="G317" s="85" t="s">
        <v>1</v>
      </c>
      <c r="H317" s="84" t="s">
        <v>5033</v>
      </c>
      <c r="I317" s="84" t="s">
        <v>1</v>
      </c>
      <c r="J317" s="1" t="s">
        <v>2082</v>
      </c>
      <c r="K317" s="1" t="s">
        <v>2093</v>
      </c>
      <c r="L317" s="1">
        <v>2020</v>
      </c>
      <c r="N317" s="84" t="s">
        <v>1</v>
      </c>
      <c r="O317" s="84" t="s">
        <v>1</v>
      </c>
      <c r="P317" s="84" t="s">
        <v>1</v>
      </c>
      <c r="Q317" s="84" t="s">
        <v>1</v>
      </c>
      <c r="R317" s="84" t="s">
        <v>1</v>
      </c>
      <c r="S317" s="84" t="s">
        <v>1</v>
      </c>
      <c r="T317" s="84" t="s">
        <v>1</v>
      </c>
      <c r="U317" s="84" t="s">
        <v>1</v>
      </c>
      <c r="V317" s="84" t="s">
        <v>1</v>
      </c>
      <c r="W317" s="84" t="s">
        <v>1</v>
      </c>
      <c r="X317" s="84" t="s">
        <v>1</v>
      </c>
      <c r="Y317" s="84" t="s">
        <v>1</v>
      </c>
      <c r="Z317" s="84" t="s">
        <v>1</v>
      </c>
      <c r="AA317" s="95" t="s">
        <v>2699</v>
      </c>
      <c r="AB317" s="28" t="s">
        <v>2158</v>
      </c>
      <c r="AC317" s="109"/>
      <c r="AD317" s="101"/>
    </row>
    <row r="318" spans="1:30">
      <c r="E318" s="30"/>
      <c r="G318" s="3"/>
      <c r="O318" s="1"/>
      <c r="P318" s="1"/>
      <c r="Q318" s="1"/>
      <c r="R318" s="1"/>
      <c r="S318" s="1"/>
      <c r="T318" s="1"/>
      <c r="U318" s="1"/>
      <c r="V318" s="1"/>
      <c r="W318" s="1"/>
      <c r="X318" s="1"/>
      <c r="Y318" s="1"/>
      <c r="Z318" s="1"/>
    </row>
    <row r="319" spans="1:30">
      <c r="B319" s="29" t="s">
        <v>2559</v>
      </c>
      <c r="E319" s="30"/>
      <c r="G319" s="3"/>
      <c r="O319" s="1"/>
      <c r="P319" s="1"/>
      <c r="Q319" s="1"/>
      <c r="R319" s="1"/>
      <c r="S319" s="1"/>
      <c r="T319" s="1"/>
      <c r="U319" s="1"/>
      <c r="V319" s="1"/>
      <c r="W319" s="1"/>
      <c r="X319" s="1"/>
      <c r="Y319" s="1"/>
      <c r="Z319" s="1"/>
    </row>
    <row r="320" spans="1:30">
      <c r="B320" s="1" t="s">
        <v>1109</v>
      </c>
      <c r="E320" s="30"/>
      <c r="G320" s="3"/>
      <c r="O320" s="1"/>
      <c r="P320" s="1"/>
      <c r="Q320" s="1"/>
      <c r="R320" s="1"/>
      <c r="S320" s="1"/>
      <c r="T320" s="1"/>
      <c r="U320" s="1"/>
      <c r="V320" s="1"/>
      <c r="W320" s="1"/>
      <c r="X320" s="1"/>
      <c r="Y320" s="1"/>
      <c r="Z320" s="1"/>
    </row>
    <row r="321" spans="2:30">
      <c r="B321" s="1" t="s">
        <v>2558</v>
      </c>
    </row>
    <row r="322" spans="2:30">
      <c r="B322" s="1" t="s">
        <v>2557</v>
      </c>
      <c r="C322" s="26" t="s">
        <v>1720</v>
      </c>
      <c r="E322" s="1" t="s">
        <v>18</v>
      </c>
      <c r="J322" s="1" t="s">
        <v>2099</v>
      </c>
      <c r="M322" s="1" t="s">
        <v>2097</v>
      </c>
      <c r="AA322" s="95" t="s">
        <v>2556</v>
      </c>
      <c r="AB322" s="28" t="s">
        <v>2555</v>
      </c>
      <c r="AC322" s="109"/>
      <c r="AD322" s="101"/>
    </row>
    <row r="323" spans="2:30">
      <c r="B323" s="1" t="s">
        <v>2554</v>
      </c>
      <c r="C323" s="26" t="s">
        <v>1720</v>
      </c>
      <c r="J323" s="1" t="s">
        <v>2351</v>
      </c>
      <c r="K323" s="1" t="s">
        <v>2553</v>
      </c>
      <c r="M323" s="1" t="s">
        <v>2097</v>
      </c>
    </row>
    <row r="324" spans="2:30">
      <c r="B324" s="1" t="s">
        <v>2552</v>
      </c>
      <c r="C324" s="26" t="s">
        <v>2180</v>
      </c>
      <c r="M324" s="1" t="s">
        <v>2551</v>
      </c>
    </row>
    <row r="325" spans="2:30">
      <c r="B325" s="1" t="s">
        <v>2550</v>
      </c>
      <c r="C325" s="26" t="s">
        <v>2180</v>
      </c>
      <c r="M325" s="1" t="s">
        <v>2549</v>
      </c>
    </row>
    <row r="326" spans="2:30">
      <c r="B326" s="1" t="s">
        <v>2548</v>
      </c>
      <c r="C326" s="26" t="s">
        <v>2180</v>
      </c>
      <c r="M326" s="1" t="s">
        <v>2547</v>
      </c>
    </row>
    <row r="327" spans="2:30">
      <c r="B327" s="1" t="s">
        <v>2546</v>
      </c>
      <c r="C327" s="26" t="s">
        <v>2180</v>
      </c>
      <c r="M327" s="1" t="s">
        <v>1109</v>
      </c>
    </row>
    <row r="328" spans="2:30">
      <c r="B328" s="1" t="s">
        <v>2545</v>
      </c>
      <c r="C328" s="26" t="s">
        <v>1720</v>
      </c>
      <c r="D328" s="3">
        <v>7900</v>
      </c>
      <c r="E328" s="1" t="s">
        <v>513</v>
      </c>
      <c r="F328" s="3">
        <v>200</v>
      </c>
      <c r="G328" s="4">
        <v>44175</v>
      </c>
      <c r="H328" s="1" t="s">
        <v>2544</v>
      </c>
      <c r="I328" s="1" t="s">
        <v>2543</v>
      </c>
      <c r="J328" s="1" t="s">
        <v>2542</v>
      </c>
      <c r="K328" s="1" t="s">
        <v>2099</v>
      </c>
      <c r="L328" s="1">
        <v>2015</v>
      </c>
      <c r="M328" s="1" t="s">
        <v>2312</v>
      </c>
      <c r="N328" s="1" t="s">
        <v>2541</v>
      </c>
      <c r="O328" s="25" t="s">
        <v>55</v>
      </c>
      <c r="P328" s="25">
        <v>200</v>
      </c>
      <c r="Q328" s="25" t="s">
        <v>2540</v>
      </c>
      <c r="R328" s="25" t="s">
        <v>9</v>
      </c>
      <c r="S328" s="25">
        <v>110</v>
      </c>
      <c r="T328" s="25" t="s">
        <v>2539</v>
      </c>
      <c r="U328" s="25" t="s">
        <v>8</v>
      </c>
      <c r="V328" s="25">
        <v>80</v>
      </c>
      <c r="W328" s="25" t="s">
        <v>2538</v>
      </c>
      <c r="X328" s="25" t="s">
        <v>18</v>
      </c>
      <c r="Y328" s="25">
        <v>70</v>
      </c>
      <c r="Z328" s="25" t="s">
        <v>2537</v>
      </c>
      <c r="AA328" s="95" t="s">
        <v>2536</v>
      </c>
    </row>
    <row r="329" spans="2:30">
      <c r="B329" s="1" t="s">
        <v>2535</v>
      </c>
      <c r="C329" s="26" t="s">
        <v>1720</v>
      </c>
      <c r="D329" s="3">
        <v>5200</v>
      </c>
      <c r="E329" s="1" t="s">
        <v>55</v>
      </c>
      <c r="F329" s="3">
        <v>400</v>
      </c>
      <c r="G329" s="4">
        <v>28327</v>
      </c>
      <c r="H329" s="1" t="s">
        <v>2534</v>
      </c>
      <c r="I329" s="1" t="s">
        <v>2533</v>
      </c>
      <c r="J329" s="1" t="s">
        <v>2082</v>
      </c>
      <c r="K329" s="1" t="s">
        <v>2108</v>
      </c>
      <c r="L329" s="1">
        <v>2012</v>
      </c>
      <c r="N329" s="1" t="s">
        <v>2532</v>
      </c>
      <c r="O329" s="25" t="s">
        <v>1</v>
      </c>
      <c r="P329" s="25" t="s">
        <v>1</v>
      </c>
      <c r="Q329" s="25" t="s">
        <v>1</v>
      </c>
      <c r="R329" s="25" t="s">
        <v>1</v>
      </c>
      <c r="S329" s="25" t="s">
        <v>1</v>
      </c>
      <c r="T329" s="25" t="s">
        <v>1</v>
      </c>
      <c r="U329" s="25" t="s">
        <v>1</v>
      </c>
      <c r="V329" s="25" t="s">
        <v>1</v>
      </c>
      <c r="W329" s="25" t="s">
        <v>1</v>
      </c>
      <c r="X329" s="25" t="s">
        <v>1</v>
      </c>
      <c r="Y329" s="25" t="s">
        <v>1</v>
      </c>
      <c r="Z329" s="25" t="s">
        <v>1</v>
      </c>
      <c r="AA329" s="95" t="s">
        <v>2531</v>
      </c>
    </row>
    <row r="330" spans="2:30">
      <c r="B330" s="1" t="s">
        <v>2164</v>
      </c>
      <c r="C330" s="26" t="s">
        <v>1720</v>
      </c>
      <c r="D330" s="3">
        <v>4200</v>
      </c>
      <c r="E330" s="1" t="s">
        <v>513</v>
      </c>
      <c r="F330" s="3">
        <v>200</v>
      </c>
      <c r="G330" s="4">
        <v>44349</v>
      </c>
      <c r="H330" s="1" t="s">
        <v>4648</v>
      </c>
      <c r="I330" s="1" t="s">
        <v>4647</v>
      </c>
      <c r="J330" s="1" t="s">
        <v>2082</v>
      </c>
      <c r="K330" s="1" t="s">
        <v>2163</v>
      </c>
      <c r="L330" s="1">
        <v>2014</v>
      </c>
      <c r="AA330" s="95" t="s">
        <v>2162</v>
      </c>
      <c r="AB330" s="28" t="s">
        <v>2161</v>
      </c>
      <c r="AC330" s="109"/>
      <c r="AD330" s="101"/>
    </row>
    <row r="331" spans="2:30">
      <c r="B331" s="1" t="s">
        <v>2530</v>
      </c>
      <c r="C331" s="26" t="s">
        <v>1720</v>
      </c>
      <c r="D331" s="3">
        <v>4000</v>
      </c>
      <c r="E331" s="1" t="s">
        <v>2529</v>
      </c>
      <c r="F331" s="3">
        <v>400</v>
      </c>
      <c r="G331" s="4">
        <v>44378</v>
      </c>
      <c r="H331" s="1" t="s">
        <v>2528</v>
      </c>
      <c r="I331" s="1" t="s">
        <v>2527</v>
      </c>
      <c r="J331" s="1" t="s">
        <v>2082</v>
      </c>
      <c r="K331" s="1" t="s">
        <v>2099</v>
      </c>
      <c r="L331" s="1">
        <v>2012</v>
      </c>
      <c r="N331" s="1" t="s">
        <v>2526</v>
      </c>
      <c r="O331" s="25" t="s">
        <v>513</v>
      </c>
      <c r="P331" s="25" t="s">
        <v>2525</v>
      </c>
      <c r="Q331" s="25" t="s">
        <v>2524</v>
      </c>
      <c r="R331" s="25" t="s">
        <v>55</v>
      </c>
      <c r="S331" s="25">
        <v>106</v>
      </c>
      <c r="T331" s="25" t="s">
        <v>2523</v>
      </c>
      <c r="U331" s="25" t="s">
        <v>9</v>
      </c>
      <c r="V331" s="25">
        <v>52</v>
      </c>
      <c r="W331" s="25" t="s">
        <v>2522</v>
      </c>
      <c r="X331" s="25" t="s">
        <v>8</v>
      </c>
      <c r="Y331" s="25">
        <v>32.799999999999997</v>
      </c>
      <c r="Z331" s="25" t="s">
        <v>2521</v>
      </c>
      <c r="AA331" s="95" t="s">
        <v>2136</v>
      </c>
    </row>
    <row r="332" spans="2:30">
      <c r="B332" s="1" t="s">
        <v>2520</v>
      </c>
      <c r="C332" s="26" t="s">
        <v>1720</v>
      </c>
      <c r="D332" s="3">
        <v>3100</v>
      </c>
      <c r="E332" s="1" t="s">
        <v>9</v>
      </c>
      <c r="F332" s="3">
        <v>150</v>
      </c>
      <c r="G332" s="4">
        <v>44545</v>
      </c>
      <c r="H332" s="1" t="s">
        <v>2519</v>
      </c>
      <c r="I332" s="1" t="s">
        <v>1</v>
      </c>
      <c r="J332" s="1" t="s">
        <v>2082</v>
      </c>
      <c r="K332" s="1" t="s">
        <v>2099</v>
      </c>
      <c r="L332" s="1">
        <v>2014</v>
      </c>
      <c r="N332" s="1" t="s">
        <v>2518</v>
      </c>
      <c r="O332" s="25" t="s">
        <v>1</v>
      </c>
      <c r="P332" s="25" t="s">
        <v>1</v>
      </c>
      <c r="Q332" s="25" t="s">
        <v>1</v>
      </c>
      <c r="R332" s="25" t="s">
        <v>1</v>
      </c>
      <c r="S332" s="25" t="s">
        <v>1</v>
      </c>
      <c r="T332" s="25" t="s">
        <v>1</v>
      </c>
      <c r="U332" s="25" t="s">
        <v>1</v>
      </c>
      <c r="V332" s="25" t="s">
        <v>1</v>
      </c>
      <c r="W332" s="25" t="s">
        <v>1</v>
      </c>
      <c r="X332" s="25" t="s">
        <v>1</v>
      </c>
      <c r="Y332" s="25" t="s">
        <v>1</v>
      </c>
      <c r="Z332" s="25" t="s">
        <v>1</v>
      </c>
      <c r="AA332" s="95" t="s">
        <v>2405</v>
      </c>
    </row>
    <row r="333" spans="2:30">
      <c r="B333" s="1" t="s">
        <v>2517</v>
      </c>
      <c r="C333" s="26" t="s">
        <v>1720</v>
      </c>
      <c r="D333" s="3">
        <v>2800</v>
      </c>
      <c r="E333" s="1" t="s">
        <v>18</v>
      </c>
      <c r="H333" s="1" t="s">
        <v>2516</v>
      </c>
      <c r="J333" s="1" t="s">
        <v>2082</v>
      </c>
      <c r="K333" s="1" t="s">
        <v>2494</v>
      </c>
      <c r="L333" s="1">
        <v>2006</v>
      </c>
      <c r="M333" s="1" t="s">
        <v>2515</v>
      </c>
      <c r="AA333" s="95" t="s">
        <v>2348</v>
      </c>
      <c r="AB333" s="28" t="s">
        <v>2514</v>
      </c>
      <c r="AC333" s="109"/>
      <c r="AD333" s="101"/>
    </row>
    <row r="334" spans="2:30">
      <c r="B334" s="1" t="s">
        <v>2513</v>
      </c>
      <c r="C334" s="26" t="s">
        <v>1720</v>
      </c>
      <c r="D334" s="3">
        <v>2500</v>
      </c>
      <c r="E334" s="1" t="s">
        <v>1</v>
      </c>
      <c r="F334" s="1" t="s">
        <v>1</v>
      </c>
      <c r="G334" s="1" t="s">
        <v>1</v>
      </c>
      <c r="H334" s="1" t="s">
        <v>2512</v>
      </c>
      <c r="I334" s="1" t="s">
        <v>2511</v>
      </c>
      <c r="J334" s="1" t="s">
        <v>2082</v>
      </c>
      <c r="K334" s="1" t="s">
        <v>2510</v>
      </c>
      <c r="L334" s="1" t="s">
        <v>2509</v>
      </c>
      <c r="N334" s="1" t="s">
        <v>1</v>
      </c>
      <c r="O334" s="1" t="s">
        <v>1</v>
      </c>
      <c r="P334" s="1" t="s">
        <v>1</v>
      </c>
      <c r="Q334" s="1" t="s">
        <v>1</v>
      </c>
      <c r="R334" s="1" t="s">
        <v>1</v>
      </c>
      <c r="S334" s="1" t="s">
        <v>1</v>
      </c>
      <c r="T334" s="1" t="s">
        <v>1</v>
      </c>
      <c r="U334" s="1" t="s">
        <v>1</v>
      </c>
      <c r="V334" s="1" t="s">
        <v>1</v>
      </c>
      <c r="W334" s="1" t="s">
        <v>1</v>
      </c>
      <c r="X334" s="1" t="s">
        <v>1</v>
      </c>
      <c r="Y334" s="1" t="s">
        <v>1</v>
      </c>
      <c r="Z334" s="1" t="s">
        <v>1</v>
      </c>
      <c r="AA334" s="95" t="s">
        <v>2508</v>
      </c>
    </row>
    <row r="335" spans="2:30">
      <c r="B335" s="1" t="s">
        <v>2507</v>
      </c>
      <c r="C335" s="26" t="s">
        <v>1720</v>
      </c>
      <c r="D335" s="3">
        <v>1900</v>
      </c>
      <c r="E335" s="1" t="s">
        <v>18</v>
      </c>
      <c r="F335" s="3">
        <v>150</v>
      </c>
      <c r="G335" s="4">
        <v>44649</v>
      </c>
      <c r="H335" s="1" t="s">
        <v>2506</v>
      </c>
      <c r="I335" s="1" t="s">
        <v>1</v>
      </c>
      <c r="J335" s="1" t="s">
        <v>2082</v>
      </c>
      <c r="K335" s="1" t="s">
        <v>2099</v>
      </c>
      <c r="L335" s="1">
        <v>2018</v>
      </c>
      <c r="M335" s="1" t="s">
        <v>2505</v>
      </c>
      <c r="N335" s="1" t="s">
        <v>2504</v>
      </c>
      <c r="O335" s="25" t="s">
        <v>7</v>
      </c>
      <c r="P335" s="25" t="s">
        <v>2503</v>
      </c>
      <c r="Q335" s="25" t="s">
        <v>1</v>
      </c>
      <c r="R335" s="25" t="s">
        <v>1</v>
      </c>
      <c r="S335" s="25" t="s">
        <v>1</v>
      </c>
      <c r="T335" s="25" t="s">
        <v>1</v>
      </c>
      <c r="U335" s="25" t="s">
        <v>1</v>
      </c>
      <c r="V335" s="25" t="s">
        <v>1</v>
      </c>
      <c r="W335" s="25" t="s">
        <v>1</v>
      </c>
      <c r="X335" s="25" t="s">
        <v>1</v>
      </c>
      <c r="Y335" s="25" t="s">
        <v>1</v>
      </c>
      <c r="Z335" s="25" t="s">
        <v>1</v>
      </c>
      <c r="AA335" s="95" t="s">
        <v>2502</v>
      </c>
    </row>
    <row r="336" spans="2:30">
      <c r="B336" s="1" t="s">
        <v>2501</v>
      </c>
      <c r="C336" s="26" t="s">
        <v>1720</v>
      </c>
      <c r="D336" s="3">
        <v>1900</v>
      </c>
      <c r="E336" s="1" t="s">
        <v>9</v>
      </c>
      <c r="F336" s="3">
        <v>150</v>
      </c>
      <c r="G336" s="4">
        <v>44523</v>
      </c>
      <c r="H336" s="1" t="s">
        <v>2500</v>
      </c>
      <c r="I336" s="1" t="s">
        <v>1</v>
      </c>
      <c r="J336" s="1" t="s">
        <v>2082</v>
      </c>
      <c r="K336" s="1" t="s">
        <v>2499</v>
      </c>
      <c r="L336" s="1">
        <v>2017</v>
      </c>
      <c r="N336" s="1" t="s">
        <v>2498</v>
      </c>
      <c r="O336" s="25" t="s">
        <v>1</v>
      </c>
      <c r="P336" s="25" t="s">
        <v>1</v>
      </c>
      <c r="Q336" s="25" t="s">
        <v>1</v>
      </c>
      <c r="R336" s="25" t="s">
        <v>1</v>
      </c>
      <c r="S336" s="25" t="s">
        <v>1</v>
      </c>
      <c r="T336" s="25" t="s">
        <v>1</v>
      </c>
      <c r="U336" s="25" t="s">
        <v>1</v>
      </c>
      <c r="V336" s="25" t="s">
        <v>1</v>
      </c>
      <c r="W336" s="25" t="s">
        <v>1</v>
      </c>
      <c r="X336" s="25" t="s">
        <v>1</v>
      </c>
      <c r="Y336" s="25" t="s">
        <v>1</v>
      </c>
      <c r="Z336" s="25" t="s">
        <v>1</v>
      </c>
      <c r="AA336" s="95" t="s">
        <v>2092</v>
      </c>
    </row>
    <row r="337" spans="2:30">
      <c r="B337" s="1" t="s">
        <v>2497</v>
      </c>
      <c r="C337" s="26" t="s">
        <v>1720</v>
      </c>
      <c r="D337" s="3">
        <v>1700</v>
      </c>
      <c r="E337" s="1" t="s">
        <v>8</v>
      </c>
      <c r="F337" s="3">
        <v>100</v>
      </c>
      <c r="G337" s="4">
        <v>45027</v>
      </c>
      <c r="H337" s="1" t="s">
        <v>2496</v>
      </c>
      <c r="I337" s="1" t="s">
        <v>2495</v>
      </c>
      <c r="J337" s="1" t="s">
        <v>2082</v>
      </c>
      <c r="K337" s="1" t="s">
        <v>2494</v>
      </c>
      <c r="L337" s="1">
        <v>2008</v>
      </c>
      <c r="M337" s="1" t="s">
        <v>2493</v>
      </c>
      <c r="N337" s="1" t="s">
        <v>2492</v>
      </c>
      <c r="O337" s="25" t="s">
        <v>1</v>
      </c>
      <c r="P337" s="25" t="s">
        <v>1</v>
      </c>
      <c r="Q337" s="25" t="s">
        <v>1</v>
      </c>
      <c r="R337" s="25" t="s">
        <v>1</v>
      </c>
      <c r="S337" s="25" t="s">
        <v>1</v>
      </c>
      <c r="T337" s="25" t="s">
        <v>1</v>
      </c>
      <c r="U337" s="25" t="s">
        <v>1</v>
      </c>
      <c r="V337" s="25" t="s">
        <v>1</v>
      </c>
      <c r="W337" s="25" t="s">
        <v>1</v>
      </c>
      <c r="X337" s="25" t="s">
        <v>1</v>
      </c>
      <c r="Y337" s="25" t="s">
        <v>1</v>
      </c>
      <c r="Z337" s="25" t="s">
        <v>1</v>
      </c>
      <c r="AA337" s="95" t="s">
        <v>2092</v>
      </c>
      <c r="AB337" s="28" t="s">
        <v>2491</v>
      </c>
      <c r="AC337" s="109"/>
      <c r="AD337" s="101"/>
    </row>
    <row r="338" spans="2:30">
      <c r="B338" s="1" t="s">
        <v>2490</v>
      </c>
      <c r="C338" s="26" t="s">
        <v>1720</v>
      </c>
      <c r="D338" s="3">
        <v>1700</v>
      </c>
      <c r="E338" s="1" t="s">
        <v>8</v>
      </c>
      <c r="F338" s="3">
        <v>85</v>
      </c>
      <c r="G338" s="4">
        <v>42846</v>
      </c>
      <c r="I338" s="1" t="s">
        <v>2489</v>
      </c>
      <c r="J338" s="1" t="s">
        <v>2351</v>
      </c>
      <c r="K338" s="1" t="s">
        <v>2488</v>
      </c>
      <c r="L338" s="1">
        <v>2009</v>
      </c>
      <c r="N338" s="1" t="s">
        <v>1</v>
      </c>
      <c r="O338" s="1" t="s">
        <v>1</v>
      </c>
      <c r="P338" s="1" t="s">
        <v>1</v>
      </c>
      <c r="Q338" s="1" t="s">
        <v>1</v>
      </c>
      <c r="R338" s="1" t="s">
        <v>1</v>
      </c>
      <c r="S338" s="1" t="s">
        <v>1</v>
      </c>
      <c r="T338" s="1" t="s">
        <v>1</v>
      </c>
      <c r="U338" s="1" t="s">
        <v>1</v>
      </c>
      <c r="V338" s="1" t="s">
        <v>1</v>
      </c>
      <c r="W338" s="1" t="s">
        <v>1</v>
      </c>
      <c r="X338" s="1" t="s">
        <v>1</v>
      </c>
      <c r="Y338" s="1" t="s">
        <v>1</v>
      </c>
      <c r="Z338" s="1" t="s">
        <v>1</v>
      </c>
      <c r="AA338" s="95" t="s">
        <v>2080</v>
      </c>
    </row>
    <row r="339" spans="2:30">
      <c r="B339" s="1" t="s">
        <v>153</v>
      </c>
      <c r="C339" s="26" t="s">
        <v>1720</v>
      </c>
      <c r="D339" s="3">
        <v>1500</v>
      </c>
      <c r="E339" s="1" t="s">
        <v>9</v>
      </c>
      <c r="F339" s="3">
        <v>300</v>
      </c>
      <c r="G339" s="4">
        <v>44271</v>
      </c>
      <c r="I339" s="1" t="s">
        <v>2487</v>
      </c>
      <c r="J339" s="1" t="s">
        <v>2082</v>
      </c>
      <c r="K339" s="1" t="s">
        <v>2486</v>
      </c>
      <c r="L339" s="1">
        <v>2007</v>
      </c>
      <c r="M339" s="1" t="s">
        <v>2485</v>
      </c>
      <c r="N339" s="1" t="s">
        <v>2484</v>
      </c>
      <c r="O339" s="25" t="s">
        <v>8</v>
      </c>
      <c r="P339" s="25">
        <v>38</v>
      </c>
      <c r="Q339" s="25" t="s">
        <v>2483</v>
      </c>
      <c r="R339" s="25" t="s">
        <v>18</v>
      </c>
      <c r="S339" s="25" t="s">
        <v>1</v>
      </c>
      <c r="T339" s="25" t="s">
        <v>2482</v>
      </c>
      <c r="U339" s="25" t="s">
        <v>7</v>
      </c>
      <c r="V339" s="25">
        <v>10</v>
      </c>
      <c r="W339" s="25" t="s">
        <v>2481</v>
      </c>
      <c r="X339" s="25" t="s">
        <v>5</v>
      </c>
      <c r="Y339" s="25" t="s">
        <v>2480</v>
      </c>
      <c r="Z339" s="25" t="s">
        <v>2479</v>
      </c>
      <c r="AA339" s="95" t="s">
        <v>2478</v>
      </c>
      <c r="AB339" s="28" t="s">
        <v>2477</v>
      </c>
      <c r="AC339" s="109"/>
      <c r="AD339" s="101"/>
    </row>
    <row r="340" spans="2:30">
      <c r="B340" s="1" t="s">
        <v>2476</v>
      </c>
      <c r="C340" s="26" t="s">
        <v>1720</v>
      </c>
      <c r="D340" s="3">
        <v>1400</v>
      </c>
      <c r="E340" s="1" t="s">
        <v>8</v>
      </c>
      <c r="F340" s="3">
        <v>70</v>
      </c>
      <c r="G340" s="4">
        <v>44907</v>
      </c>
      <c r="H340" s="1" t="s">
        <v>2475</v>
      </c>
      <c r="I340" s="1" t="s">
        <v>2474</v>
      </c>
      <c r="J340" s="1" t="s">
        <v>2082</v>
      </c>
      <c r="K340" s="1" t="s">
        <v>2473</v>
      </c>
      <c r="L340" s="1">
        <v>2015</v>
      </c>
      <c r="M340" s="1" t="s">
        <v>2472</v>
      </c>
      <c r="N340" s="1" t="s">
        <v>1</v>
      </c>
      <c r="O340" s="1" t="s">
        <v>1</v>
      </c>
      <c r="P340" s="1" t="s">
        <v>1</v>
      </c>
      <c r="Q340" s="1" t="s">
        <v>1</v>
      </c>
      <c r="R340" s="1" t="s">
        <v>1</v>
      </c>
      <c r="S340" s="1" t="s">
        <v>1</v>
      </c>
      <c r="T340" s="1" t="s">
        <v>1</v>
      </c>
      <c r="U340" s="1" t="s">
        <v>1</v>
      </c>
      <c r="V340" s="1" t="s">
        <v>1</v>
      </c>
      <c r="W340" s="1" t="s">
        <v>1</v>
      </c>
      <c r="X340" s="1" t="s">
        <v>1</v>
      </c>
      <c r="Y340" s="1" t="s">
        <v>1</v>
      </c>
      <c r="Z340" s="1" t="s">
        <v>1</v>
      </c>
      <c r="AA340" s="95" t="s">
        <v>2471</v>
      </c>
      <c r="AB340" s="28" t="s">
        <v>2470</v>
      </c>
      <c r="AC340" s="109"/>
      <c r="AD340" s="101"/>
    </row>
    <row r="341" spans="2:30">
      <c r="B341" s="1" t="s">
        <v>2469</v>
      </c>
      <c r="C341" s="26" t="s">
        <v>1720</v>
      </c>
      <c r="D341" s="3">
        <v>1300</v>
      </c>
      <c r="E341" s="1" t="s">
        <v>8</v>
      </c>
      <c r="F341" s="3">
        <v>150</v>
      </c>
      <c r="G341" s="4">
        <v>44656</v>
      </c>
      <c r="I341" s="1" t="s">
        <v>2468</v>
      </c>
      <c r="J341" s="1" t="s">
        <v>2082</v>
      </c>
      <c r="K341" s="1" t="s">
        <v>2099</v>
      </c>
      <c r="L341" s="32">
        <v>42323</v>
      </c>
      <c r="N341" s="1" t="s">
        <v>2467</v>
      </c>
      <c r="O341" s="25" t="s">
        <v>1</v>
      </c>
      <c r="P341" s="25" t="s">
        <v>1</v>
      </c>
      <c r="Q341" s="25" t="s">
        <v>1</v>
      </c>
      <c r="R341" s="25" t="s">
        <v>1</v>
      </c>
      <c r="S341" s="25" t="s">
        <v>1</v>
      </c>
      <c r="T341" s="25" t="s">
        <v>1</v>
      </c>
      <c r="U341" s="25" t="s">
        <v>1</v>
      </c>
      <c r="V341" s="25" t="s">
        <v>1</v>
      </c>
      <c r="W341" s="25" t="s">
        <v>1</v>
      </c>
      <c r="X341" s="25" t="s">
        <v>1</v>
      </c>
      <c r="Y341" s="25" t="s">
        <v>1</v>
      </c>
      <c r="Z341" s="25" t="s">
        <v>1</v>
      </c>
      <c r="AA341" s="95" t="s">
        <v>2405</v>
      </c>
    </row>
    <row r="342" spans="2:30">
      <c r="B342" s="1" t="s">
        <v>2466</v>
      </c>
      <c r="C342" s="26" t="s">
        <v>1720</v>
      </c>
      <c r="D342" s="3">
        <v>1300</v>
      </c>
      <c r="E342" s="1" t="s">
        <v>8</v>
      </c>
      <c r="F342" s="3">
        <v>140</v>
      </c>
      <c r="G342" s="4">
        <v>44602</v>
      </c>
      <c r="J342" s="1" t="s">
        <v>2082</v>
      </c>
      <c r="K342" s="1" t="s">
        <v>2120</v>
      </c>
      <c r="L342" s="1">
        <v>2018</v>
      </c>
      <c r="M342" s="1" t="s">
        <v>2465</v>
      </c>
      <c r="AA342" s="95" t="s">
        <v>2194</v>
      </c>
      <c r="AB342" s="28" t="s">
        <v>2464</v>
      </c>
      <c r="AC342" s="109"/>
      <c r="AD342" s="101"/>
    </row>
    <row r="343" spans="2:30">
      <c r="B343" s="1" t="s">
        <v>920</v>
      </c>
      <c r="C343" s="26" t="s">
        <v>1720</v>
      </c>
      <c r="D343" s="3">
        <v>1100</v>
      </c>
      <c r="E343" s="1" t="s">
        <v>7</v>
      </c>
      <c r="F343" s="3">
        <v>97.4</v>
      </c>
      <c r="G343" s="4">
        <v>45041</v>
      </c>
      <c r="H343" s="1" t="s">
        <v>2463</v>
      </c>
      <c r="I343" s="1" t="s">
        <v>2462</v>
      </c>
      <c r="J343" s="1" t="s">
        <v>2082</v>
      </c>
      <c r="K343" s="1" t="s">
        <v>2280</v>
      </c>
      <c r="L343" s="1">
        <v>2016</v>
      </c>
      <c r="N343" s="1" t="s">
        <v>2461</v>
      </c>
      <c r="O343" s="25" t="s">
        <v>2460</v>
      </c>
      <c r="P343" s="25">
        <v>80</v>
      </c>
      <c r="Q343" s="25" t="s">
        <v>2459</v>
      </c>
      <c r="R343" s="25" t="s">
        <v>5</v>
      </c>
      <c r="S343" s="25">
        <v>20</v>
      </c>
      <c r="T343" s="25" t="s">
        <v>2458</v>
      </c>
      <c r="U343" s="25" t="s">
        <v>4</v>
      </c>
      <c r="V343" s="25">
        <v>4.5</v>
      </c>
      <c r="W343" s="25" t="s">
        <v>2457</v>
      </c>
      <c r="X343" s="25" t="s">
        <v>285</v>
      </c>
      <c r="Y343" s="25">
        <v>0.12</v>
      </c>
      <c r="Z343" s="25" t="s">
        <v>2456</v>
      </c>
      <c r="AA343" s="95" t="s">
        <v>2405</v>
      </c>
    </row>
    <row r="344" spans="2:30">
      <c r="B344" s="1" t="s">
        <v>2455</v>
      </c>
      <c r="C344" s="26" t="s">
        <v>1720</v>
      </c>
      <c r="D344" s="3">
        <v>1000</v>
      </c>
      <c r="E344" s="1" t="s">
        <v>7</v>
      </c>
      <c r="F344" s="3">
        <v>500</v>
      </c>
      <c r="G344" s="4">
        <v>44971</v>
      </c>
      <c r="H344" s="1" t="s">
        <v>2454</v>
      </c>
      <c r="I344" s="1" t="s">
        <v>1</v>
      </c>
      <c r="J344" s="1" t="s">
        <v>2082</v>
      </c>
      <c r="K344" s="1" t="s">
        <v>2120</v>
      </c>
      <c r="L344" s="1">
        <v>2016</v>
      </c>
      <c r="M344" s="1" t="s">
        <v>2453</v>
      </c>
      <c r="N344" s="1" t="s">
        <v>2452</v>
      </c>
      <c r="AA344" s="95" t="s">
        <v>2194</v>
      </c>
    </row>
    <row r="345" spans="2:30">
      <c r="B345" s="1" t="s">
        <v>2451</v>
      </c>
      <c r="C345" s="26" t="s">
        <v>1720</v>
      </c>
      <c r="D345" s="3">
        <v>1000</v>
      </c>
      <c r="E345" s="1" t="s">
        <v>9</v>
      </c>
      <c r="F345" s="3">
        <v>300</v>
      </c>
      <c r="G345" s="4">
        <v>43917</v>
      </c>
      <c r="H345" s="1" t="s">
        <v>2450</v>
      </c>
      <c r="I345" s="1" t="s">
        <v>2449</v>
      </c>
      <c r="J345" s="1" t="s">
        <v>2082</v>
      </c>
      <c r="K345" s="1" t="s">
        <v>2163</v>
      </c>
      <c r="L345" s="1">
        <v>2014</v>
      </c>
      <c r="M345" s="1" t="s">
        <v>2448</v>
      </c>
      <c r="AA345" s="95" t="s">
        <v>2413</v>
      </c>
      <c r="AB345" s="28" t="s">
        <v>2447</v>
      </c>
      <c r="AC345" s="109"/>
      <c r="AD345" s="101"/>
    </row>
    <row r="346" spans="2:30">
      <c r="B346" s="1" t="s">
        <v>2446</v>
      </c>
      <c r="C346" s="26" t="s">
        <v>1720</v>
      </c>
      <c r="D346" s="3">
        <v>1000</v>
      </c>
      <c r="E346" s="1" t="s">
        <v>7</v>
      </c>
      <c r="F346" s="3">
        <v>283</v>
      </c>
      <c r="G346" s="4">
        <v>43689</v>
      </c>
      <c r="H346" s="1" t="s">
        <v>2445</v>
      </c>
      <c r="I346" s="1" t="s">
        <v>2444</v>
      </c>
      <c r="J346" s="1" t="s">
        <v>2082</v>
      </c>
      <c r="K346" s="1" t="s">
        <v>2443</v>
      </c>
      <c r="L346" s="1">
        <v>2015</v>
      </c>
      <c r="M346" s="1" t="s">
        <v>2442</v>
      </c>
      <c r="N346" s="1" t="s">
        <v>2441</v>
      </c>
      <c r="O346" s="25" t="s">
        <v>1</v>
      </c>
      <c r="P346" s="25" t="s">
        <v>1</v>
      </c>
      <c r="Q346" s="25" t="s">
        <v>1</v>
      </c>
      <c r="R346" s="25" t="s">
        <v>1</v>
      </c>
      <c r="S346" s="25" t="s">
        <v>1</v>
      </c>
      <c r="T346" s="25" t="s">
        <v>1</v>
      </c>
      <c r="U346" s="25" t="s">
        <v>1</v>
      </c>
      <c r="V346" s="25" t="s">
        <v>1</v>
      </c>
      <c r="W346" s="25" t="s">
        <v>1</v>
      </c>
      <c r="X346" s="25" t="s">
        <v>1</v>
      </c>
      <c r="Y346" s="25" t="s">
        <v>1</v>
      </c>
      <c r="Z346" s="25" t="s">
        <v>1</v>
      </c>
      <c r="AA346" s="95" t="s">
        <v>2413</v>
      </c>
      <c r="AB346" s="28" t="s">
        <v>2440</v>
      </c>
      <c r="AC346" s="109"/>
      <c r="AD346" s="101"/>
    </row>
    <row r="347" spans="2:30">
      <c r="B347" s="1" t="s">
        <v>2439</v>
      </c>
      <c r="C347" s="26" t="s">
        <v>1720</v>
      </c>
      <c r="D347" s="3">
        <v>1000</v>
      </c>
      <c r="E347" s="1" t="s">
        <v>7</v>
      </c>
      <c r="F347" s="3">
        <v>140</v>
      </c>
      <c r="G347" s="31">
        <v>43322</v>
      </c>
      <c r="H347" s="1" t="s">
        <v>2438</v>
      </c>
      <c r="I347" s="1" t="s">
        <v>2437</v>
      </c>
      <c r="J347" s="1" t="s">
        <v>2082</v>
      </c>
      <c r="K347" s="1" t="s">
        <v>2436</v>
      </c>
      <c r="L347" s="1">
        <v>2014</v>
      </c>
      <c r="M347" s="1" t="s">
        <v>2435</v>
      </c>
      <c r="N347" s="1" t="s">
        <v>2434</v>
      </c>
      <c r="O347" s="25" t="s">
        <v>1</v>
      </c>
      <c r="P347" s="25" t="s">
        <v>1</v>
      </c>
      <c r="Q347" s="25" t="s">
        <v>1</v>
      </c>
      <c r="R347" s="25" t="s">
        <v>1</v>
      </c>
      <c r="S347" s="25" t="s">
        <v>1</v>
      </c>
      <c r="T347" s="25" t="s">
        <v>1</v>
      </c>
      <c r="U347" s="25" t="s">
        <v>1</v>
      </c>
      <c r="V347" s="25" t="s">
        <v>1</v>
      </c>
      <c r="W347" s="25" t="s">
        <v>1</v>
      </c>
      <c r="X347" s="25" t="s">
        <v>1</v>
      </c>
      <c r="Y347" s="25" t="s">
        <v>1</v>
      </c>
      <c r="Z347" s="25" t="s">
        <v>1</v>
      </c>
      <c r="AA347" s="95" t="s">
        <v>2413</v>
      </c>
    </row>
    <row r="348" spans="2:30">
      <c r="B348" s="1" t="s">
        <v>31</v>
      </c>
      <c r="C348" s="26" t="s">
        <v>2180</v>
      </c>
      <c r="D348" s="3">
        <v>1000</v>
      </c>
      <c r="E348" s="1" t="s">
        <v>5</v>
      </c>
      <c r="F348" s="3">
        <v>228.57142857142858</v>
      </c>
      <c r="G348" s="4">
        <v>45078</v>
      </c>
      <c r="H348" s="1" t="s">
        <v>2433</v>
      </c>
      <c r="I348" s="1" t="s">
        <v>2429</v>
      </c>
      <c r="J348" s="1" t="s">
        <v>2082</v>
      </c>
      <c r="K348" s="1" t="s">
        <v>2432</v>
      </c>
      <c r="L348" s="1">
        <v>2023</v>
      </c>
      <c r="M348" s="1" t="s">
        <v>2431</v>
      </c>
      <c r="N348" s="1" t="s">
        <v>2430</v>
      </c>
      <c r="O348" s="25" t="s">
        <v>5</v>
      </c>
      <c r="P348" s="25">
        <v>50</v>
      </c>
      <c r="Q348" s="25" t="s">
        <v>2429</v>
      </c>
      <c r="R348" s="25" t="s">
        <v>1</v>
      </c>
      <c r="S348" s="25" t="s">
        <v>1</v>
      </c>
      <c r="T348" s="25" t="s">
        <v>1</v>
      </c>
      <c r="U348" s="25" t="s">
        <v>1</v>
      </c>
      <c r="V348" s="25" t="s">
        <v>1</v>
      </c>
      <c r="W348" s="25" t="s">
        <v>1</v>
      </c>
      <c r="X348" s="25" t="s">
        <v>1</v>
      </c>
      <c r="Y348" s="25" t="s">
        <v>1</v>
      </c>
      <c r="Z348" s="25" t="s">
        <v>1</v>
      </c>
      <c r="AA348" s="95" t="s">
        <v>2413</v>
      </c>
    </row>
    <row r="349" spans="2:30">
      <c r="B349" s="1" t="s">
        <v>2428</v>
      </c>
      <c r="C349" s="26" t="s">
        <v>2180</v>
      </c>
      <c r="D349" s="3">
        <v>1000</v>
      </c>
      <c r="M349" s="1" t="s">
        <v>2427</v>
      </c>
      <c r="AA349" s="95" t="s">
        <v>2085</v>
      </c>
      <c r="AB349" s="28" t="s">
        <v>2426</v>
      </c>
      <c r="AC349" s="109"/>
      <c r="AD349" s="101"/>
    </row>
    <row r="350" spans="2:30">
      <c r="B350" s="1" t="s">
        <v>2425</v>
      </c>
      <c r="C350" s="26" t="s">
        <v>1720</v>
      </c>
      <c r="D350" s="3">
        <v>785</v>
      </c>
      <c r="E350" s="1" t="s">
        <v>7</v>
      </c>
      <c r="F350" s="3">
        <v>215</v>
      </c>
      <c r="G350" s="4">
        <v>44496</v>
      </c>
      <c r="H350" s="1" t="s">
        <v>2424</v>
      </c>
      <c r="I350" s="1" t="s">
        <v>2423</v>
      </c>
      <c r="J350" s="1" t="s">
        <v>2099</v>
      </c>
      <c r="K350" s="1" t="s">
        <v>2422</v>
      </c>
      <c r="L350" s="1">
        <v>2018</v>
      </c>
      <c r="M350" s="1" t="s">
        <v>2421</v>
      </c>
      <c r="N350" s="1" t="s">
        <v>2420</v>
      </c>
      <c r="AA350" s="95" t="s">
        <v>2092</v>
      </c>
      <c r="AB350" s="28" t="s">
        <v>2419</v>
      </c>
      <c r="AC350" s="109"/>
      <c r="AD350" s="101"/>
    </row>
    <row r="351" spans="2:30">
      <c r="B351" s="1" t="s">
        <v>2418</v>
      </c>
      <c r="C351" s="26" t="s">
        <v>1720</v>
      </c>
      <c r="D351" s="3">
        <v>700</v>
      </c>
      <c r="E351" s="1" t="s">
        <v>18</v>
      </c>
      <c r="J351" s="1" t="s">
        <v>2082</v>
      </c>
      <c r="K351" s="1" t="s">
        <v>2392</v>
      </c>
      <c r="M351" s="1" t="s">
        <v>2417</v>
      </c>
      <c r="AB351" s="28"/>
      <c r="AC351" s="109"/>
      <c r="AD351" s="101"/>
    </row>
    <row r="352" spans="2:30">
      <c r="B352" s="1" t="s">
        <v>2416</v>
      </c>
      <c r="C352" s="26" t="s">
        <v>1720</v>
      </c>
      <c r="D352" s="3">
        <v>700</v>
      </c>
      <c r="E352" s="1" t="s">
        <v>7</v>
      </c>
      <c r="F352" s="3">
        <f>1500/7</f>
        <v>214.28571428571428</v>
      </c>
      <c r="G352" s="4">
        <v>44922</v>
      </c>
      <c r="H352" s="1" t="s">
        <v>2415</v>
      </c>
      <c r="I352" s="1" t="s">
        <v>2414</v>
      </c>
      <c r="J352" s="1" t="s">
        <v>2082</v>
      </c>
      <c r="K352" s="1" t="s">
        <v>2116</v>
      </c>
      <c r="L352" s="1">
        <v>2020</v>
      </c>
      <c r="N352" s="1" t="s">
        <v>1</v>
      </c>
      <c r="O352" s="1" t="s">
        <v>1</v>
      </c>
      <c r="P352" s="1" t="s">
        <v>1</v>
      </c>
      <c r="Q352" s="1" t="s">
        <v>1</v>
      </c>
      <c r="R352" s="1" t="s">
        <v>1</v>
      </c>
      <c r="S352" s="1" t="s">
        <v>1</v>
      </c>
      <c r="T352" s="1" t="s">
        <v>1</v>
      </c>
      <c r="U352" s="1" t="s">
        <v>1</v>
      </c>
      <c r="V352" s="1" t="s">
        <v>1</v>
      </c>
      <c r="W352" s="1" t="s">
        <v>1</v>
      </c>
      <c r="X352" s="1" t="s">
        <v>1</v>
      </c>
      <c r="Y352" s="1" t="s">
        <v>1</v>
      </c>
      <c r="Z352" s="1" t="s">
        <v>1</v>
      </c>
      <c r="AA352" s="95" t="s">
        <v>2413</v>
      </c>
      <c r="AB352" s="28" t="s">
        <v>2412</v>
      </c>
      <c r="AC352" s="109"/>
      <c r="AD352" s="101"/>
    </row>
    <row r="353" spans="2:27">
      <c r="B353" s="1" t="s">
        <v>2411</v>
      </c>
      <c r="C353" s="26" t="s">
        <v>1720</v>
      </c>
      <c r="D353" s="3">
        <v>400</v>
      </c>
      <c r="E353" s="1" t="s">
        <v>7</v>
      </c>
      <c r="F353" s="3">
        <v>44</v>
      </c>
      <c r="G353" s="4">
        <v>45006</v>
      </c>
      <c r="H353" s="1" t="s">
        <v>2410</v>
      </c>
      <c r="I353" s="1" t="s">
        <v>2409</v>
      </c>
      <c r="J353" s="1" t="s">
        <v>2082</v>
      </c>
      <c r="K353" s="1" t="s">
        <v>2138</v>
      </c>
      <c r="L353" s="1">
        <v>2012</v>
      </c>
      <c r="N353" s="1" t="s">
        <v>2408</v>
      </c>
      <c r="O353" s="25" t="s">
        <v>1</v>
      </c>
      <c r="P353" s="25">
        <v>39.700000000000003</v>
      </c>
      <c r="Q353" s="25" t="s">
        <v>1</v>
      </c>
      <c r="R353" s="25" t="s">
        <v>5</v>
      </c>
      <c r="S353" s="25">
        <v>15</v>
      </c>
      <c r="T353" s="25" t="s">
        <v>2407</v>
      </c>
      <c r="U353" s="25" t="s">
        <v>4</v>
      </c>
      <c r="V353" s="25">
        <v>4</v>
      </c>
      <c r="W353" s="25" t="s">
        <v>2406</v>
      </c>
      <c r="X353" s="25" t="s">
        <v>285</v>
      </c>
      <c r="Y353" s="25" t="s">
        <v>1</v>
      </c>
      <c r="Z353" s="25" t="s">
        <v>1</v>
      </c>
      <c r="AA353" s="95" t="s">
        <v>2405</v>
      </c>
    </row>
    <row r="354" spans="2:27">
      <c r="B354" s="1" t="s">
        <v>2404</v>
      </c>
      <c r="C354" s="26" t="s">
        <v>1720</v>
      </c>
      <c r="D354" s="3">
        <v>500</v>
      </c>
      <c r="E354" s="1" t="s">
        <v>7</v>
      </c>
      <c r="F354" s="3">
        <v>159</v>
      </c>
      <c r="G354" s="4">
        <v>45092</v>
      </c>
      <c r="H354" s="1" t="s">
        <v>2403</v>
      </c>
      <c r="I354" s="1" t="s">
        <v>1</v>
      </c>
      <c r="J354" s="1" t="s">
        <v>2246</v>
      </c>
      <c r="K354" s="1" t="s">
        <v>2246</v>
      </c>
      <c r="L354" s="1">
        <v>2015</v>
      </c>
      <c r="N354" s="1" t="s">
        <v>2402</v>
      </c>
      <c r="O354" s="25" t="s">
        <v>7</v>
      </c>
      <c r="P354" s="25">
        <v>159</v>
      </c>
      <c r="Q354" s="25" t="s">
        <v>2401</v>
      </c>
      <c r="R354" s="25" t="s">
        <v>5</v>
      </c>
      <c r="S354" s="25">
        <v>12</v>
      </c>
      <c r="T354" s="25" t="s">
        <v>2400</v>
      </c>
      <c r="U354" s="25" t="s">
        <v>1</v>
      </c>
      <c r="V354" s="25" t="s">
        <v>1</v>
      </c>
      <c r="W354" s="25" t="s">
        <v>1</v>
      </c>
      <c r="X354" s="25" t="s">
        <v>1</v>
      </c>
      <c r="Y354" s="25" t="s">
        <v>1</v>
      </c>
      <c r="Z354" s="25" t="s">
        <v>1</v>
      </c>
      <c r="AA354" s="95" t="s">
        <v>2194</v>
      </c>
    </row>
    <row r="355" spans="2:27">
      <c r="B355" s="1" t="s">
        <v>633</v>
      </c>
      <c r="C355" s="26" t="s">
        <v>1720</v>
      </c>
      <c r="D355" s="3">
        <v>500</v>
      </c>
      <c r="E355" s="1" t="s">
        <v>18</v>
      </c>
      <c r="F355" s="3">
        <v>169</v>
      </c>
      <c r="G355" s="4">
        <v>44727</v>
      </c>
      <c r="H355" s="1" t="s">
        <v>2398</v>
      </c>
      <c r="I355" s="1" t="s">
        <v>2399</v>
      </c>
      <c r="J355" s="1" t="s">
        <v>2398</v>
      </c>
      <c r="K355" s="1" t="s">
        <v>2398</v>
      </c>
      <c r="L355" s="1">
        <v>2010</v>
      </c>
      <c r="N355" s="1" t="s">
        <v>634</v>
      </c>
      <c r="O355" s="25" t="s">
        <v>7</v>
      </c>
      <c r="P355" s="25">
        <v>14</v>
      </c>
      <c r="Q355" s="25" t="s">
        <v>2397</v>
      </c>
      <c r="R355" s="25" t="s">
        <v>5</v>
      </c>
      <c r="S355" s="25">
        <v>6</v>
      </c>
      <c r="T355" s="25" t="s">
        <v>2396</v>
      </c>
      <c r="U355" s="25" t="s">
        <v>1</v>
      </c>
      <c r="V355" s="25" t="s">
        <v>1</v>
      </c>
      <c r="W355" s="25" t="s">
        <v>1</v>
      </c>
      <c r="X355" s="25" t="s">
        <v>1</v>
      </c>
      <c r="Y355" s="25" t="s">
        <v>1</v>
      </c>
      <c r="Z355" s="25" t="s">
        <v>1</v>
      </c>
      <c r="AA355" s="95" t="s">
        <v>2395</v>
      </c>
    </row>
    <row r="356" spans="2:27">
      <c r="B356" s="1" t="s">
        <v>914</v>
      </c>
      <c r="C356" s="26" t="s">
        <v>1720</v>
      </c>
      <c r="D356" s="3">
        <v>400</v>
      </c>
      <c r="E356" s="1" t="s">
        <v>5</v>
      </c>
      <c r="F356" s="3">
        <v>70</v>
      </c>
      <c r="G356" s="4">
        <v>45035</v>
      </c>
      <c r="H356" s="1" t="s">
        <v>2394</v>
      </c>
      <c r="I356" s="1" t="s">
        <v>2393</v>
      </c>
      <c r="J356" s="1" t="s">
        <v>2082</v>
      </c>
      <c r="K356" s="1" t="s">
        <v>2392</v>
      </c>
      <c r="L356" s="1">
        <v>2022</v>
      </c>
      <c r="N356" s="1" t="s">
        <v>2391</v>
      </c>
      <c r="O356" s="25" t="s">
        <v>1</v>
      </c>
      <c r="P356" s="25" t="s">
        <v>1</v>
      </c>
      <c r="Q356" s="25" t="s">
        <v>1</v>
      </c>
      <c r="R356" s="25" t="s">
        <v>1</v>
      </c>
      <c r="S356" s="25" t="s">
        <v>1</v>
      </c>
      <c r="T356" s="25" t="s">
        <v>1</v>
      </c>
      <c r="U356" s="25" t="s">
        <v>1</v>
      </c>
      <c r="V356" s="25" t="s">
        <v>1</v>
      </c>
      <c r="W356" s="25" t="s">
        <v>1</v>
      </c>
      <c r="X356" s="25" t="s">
        <v>1</v>
      </c>
      <c r="Y356" s="25" t="s">
        <v>1</v>
      </c>
      <c r="Z356" s="25" t="s">
        <v>1</v>
      </c>
      <c r="AA356" s="95" t="s">
        <v>2234</v>
      </c>
    </row>
    <row r="357" spans="2:27">
      <c r="B357" s="1" t="s">
        <v>2390</v>
      </c>
      <c r="C357" s="26" t="s">
        <v>1720</v>
      </c>
      <c r="D357" s="3">
        <v>300</v>
      </c>
      <c r="E357" s="1" t="s">
        <v>18</v>
      </c>
      <c r="F357" s="3">
        <v>40</v>
      </c>
      <c r="G357" s="4">
        <v>44909</v>
      </c>
      <c r="H357" s="1" t="s">
        <v>2389</v>
      </c>
      <c r="I357" s="1" t="s">
        <v>2388</v>
      </c>
      <c r="J357" s="1" t="s">
        <v>2082</v>
      </c>
      <c r="K357" s="1" t="s">
        <v>2387</v>
      </c>
      <c r="L357" s="1">
        <v>2013</v>
      </c>
      <c r="M357" s="1" t="s">
        <v>2386</v>
      </c>
      <c r="N357" s="1" t="s">
        <v>2385</v>
      </c>
      <c r="O357" s="25" t="s">
        <v>18</v>
      </c>
      <c r="P357" s="25">
        <v>40</v>
      </c>
      <c r="Q357" s="25" t="s">
        <v>2384</v>
      </c>
      <c r="R357" s="25" t="s">
        <v>7</v>
      </c>
      <c r="S357" s="25" t="s">
        <v>1</v>
      </c>
      <c r="T357" s="25" t="s">
        <v>2383</v>
      </c>
      <c r="U357" s="25" t="s">
        <v>5</v>
      </c>
      <c r="V357" s="25">
        <v>15</v>
      </c>
      <c r="W357" s="25" t="s">
        <v>2382</v>
      </c>
      <c r="X357" s="25" t="s">
        <v>1</v>
      </c>
      <c r="Y357" s="25" t="s">
        <v>1</v>
      </c>
      <c r="Z357" s="25" t="s">
        <v>1</v>
      </c>
      <c r="AA357" s="95" t="s">
        <v>2080</v>
      </c>
    </row>
    <row r="358" spans="2:27">
      <c r="B358" s="1" t="s">
        <v>2381</v>
      </c>
      <c r="C358" s="26" t="s">
        <v>1720</v>
      </c>
      <c r="D358" s="3" t="s">
        <v>1</v>
      </c>
      <c r="E358" s="1" t="s">
        <v>4</v>
      </c>
      <c r="F358" s="3" t="s">
        <v>1</v>
      </c>
      <c r="G358" s="4">
        <v>44750</v>
      </c>
      <c r="H358" s="1" t="s">
        <v>2380</v>
      </c>
      <c r="I358" s="1" t="s">
        <v>2379</v>
      </c>
      <c r="J358" s="1" t="s">
        <v>983</v>
      </c>
      <c r="K358" s="1" t="s">
        <v>2378</v>
      </c>
      <c r="L358" s="1">
        <v>2020</v>
      </c>
      <c r="N358" s="1" t="s">
        <v>130</v>
      </c>
      <c r="O358" s="25" t="s">
        <v>285</v>
      </c>
      <c r="P358" s="25">
        <v>2</v>
      </c>
      <c r="Q358" s="25" t="s">
        <v>2377</v>
      </c>
      <c r="R358" s="25" t="s">
        <v>1</v>
      </c>
      <c r="S358" s="25" t="s">
        <v>1</v>
      </c>
      <c r="T358" s="25" t="s">
        <v>1</v>
      </c>
      <c r="U358" s="25" t="s">
        <v>1</v>
      </c>
      <c r="V358" s="25" t="s">
        <v>1</v>
      </c>
      <c r="W358" s="25" t="s">
        <v>1</v>
      </c>
      <c r="X358" s="25" t="s">
        <v>1</v>
      </c>
      <c r="Y358" s="25" t="s">
        <v>1</v>
      </c>
      <c r="Z358" s="25" t="s">
        <v>1</v>
      </c>
      <c r="AA358" s="95" t="s">
        <v>2206</v>
      </c>
    </row>
    <row r="359" spans="2:27">
      <c r="B359" s="1" t="s">
        <v>2376</v>
      </c>
      <c r="C359" s="26" t="s">
        <v>2180</v>
      </c>
      <c r="D359" s="3">
        <v>230</v>
      </c>
      <c r="E359" s="1" t="s">
        <v>5</v>
      </c>
      <c r="F359" s="3">
        <v>150</v>
      </c>
      <c r="G359" s="4">
        <v>44165</v>
      </c>
      <c r="I359" s="1" t="s">
        <v>1</v>
      </c>
      <c r="J359" s="1" t="s">
        <v>2082</v>
      </c>
      <c r="K359" s="1" t="s">
        <v>2375</v>
      </c>
      <c r="L359" s="1">
        <v>2016</v>
      </c>
      <c r="N359" s="1" t="s">
        <v>2374</v>
      </c>
      <c r="O359" s="25" t="s">
        <v>1</v>
      </c>
      <c r="P359" s="25" t="s">
        <v>1</v>
      </c>
      <c r="Q359" s="25" t="s">
        <v>1</v>
      </c>
      <c r="R359" s="25" t="s">
        <v>1</v>
      </c>
      <c r="S359" s="25" t="s">
        <v>1</v>
      </c>
      <c r="T359" s="25" t="s">
        <v>1</v>
      </c>
      <c r="U359" s="25" t="s">
        <v>1</v>
      </c>
      <c r="V359" s="25" t="s">
        <v>1</v>
      </c>
      <c r="W359" s="25" t="s">
        <v>1</v>
      </c>
      <c r="X359" s="25" t="s">
        <v>1</v>
      </c>
      <c r="Y359" s="25" t="s">
        <v>1</v>
      </c>
      <c r="Z359" s="25" t="s">
        <v>1</v>
      </c>
      <c r="AA359" s="95" t="s">
        <v>2373</v>
      </c>
    </row>
    <row r="360" spans="2:27">
      <c r="B360" s="1" t="s">
        <v>2372</v>
      </c>
      <c r="C360" s="26" t="s">
        <v>2180</v>
      </c>
      <c r="D360" s="3">
        <v>200</v>
      </c>
      <c r="E360" s="1" t="s">
        <v>8</v>
      </c>
      <c r="F360" s="3">
        <v>30</v>
      </c>
      <c r="G360" s="4">
        <v>43178</v>
      </c>
      <c r="H360" s="1" t="s">
        <v>2371</v>
      </c>
      <c r="I360" s="1" t="s">
        <v>2370</v>
      </c>
      <c r="J360" s="1" t="s">
        <v>2082</v>
      </c>
      <c r="K360" s="1" t="s">
        <v>2120</v>
      </c>
      <c r="L360" s="1">
        <v>2000</v>
      </c>
      <c r="M360" s="1" t="s">
        <v>2369</v>
      </c>
      <c r="N360" s="1" t="s">
        <v>2368</v>
      </c>
      <c r="O360" s="25" t="s">
        <v>8</v>
      </c>
      <c r="P360" s="25">
        <v>40</v>
      </c>
      <c r="Q360" s="25" t="s">
        <v>2367</v>
      </c>
      <c r="R360" s="25" t="s">
        <v>1</v>
      </c>
      <c r="S360" s="25" t="s">
        <v>1</v>
      </c>
      <c r="T360" s="25" t="s">
        <v>1</v>
      </c>
      <c r="U360" s="25" t="s">
        <v>1</v>
      </c>
      <c r="V360" s="25" t="s">
        <v>1</v>
      </c>
      <c r="W360" s="25" t="s">
        <v>1</v>
      </c>
      <c r="X360" s="25" t="s">
        <v>1</v>
      </c>
      <c r="Y360" s="25" t="s">
        <v>1</v>
      </c>
      <c r="Z360" s="25" t="s">
        <v>1</v>
      </c>
      <c r="AA360" s="95" t="s">
        <v>2366</v>
      </c>
    </row>
    <row r="361" spans="2:27">
      <c r="B361" s="1" t="s">
        <v>2365</v>
      </c>
      <c r="C361" s="26" t="s">
        <v>1720</v>
      </c>
      <c r="D361" s="3">
        <v>150</v>
      </c>
      <c r="E361" s="1" t="s">
        <v>18</v>
      </c>
      <c r="F361" s="3">
        <v>30</v>
      </c>
      <c r="G361" s="4">
        <v>44251</v>
      </c>
      <c r="H361" s="1" t="s">
        <v>2364</v>
      </c>
      <c r="I361" s="1" t="s">
        <v>2363</v>
      </c>
      <c r="J361" s="1" t="s">
        <v>2082</v>
      </c>
      <c r="K361" s="1" t="s">
        <v>2362</v>
      </c>
      <c r="L361" s="1">
        <v>2014</v>
      </c>
      <c r="N361" s="1" t="s">
        <v>2361</v>
      </c>
      <c r="O361" s="25" t="s">
        <v>1</v>
      </c>
      <c r="P361" s="25" t="s">
        <v>1</v>
      </c>
      <c r="Q361" s="25" t="s">
        <v>1</v>
      </c>
      <c r="R361" s="25" t="s">
        <v>1</v>
      </c>
      <c r="S361" s="25" t="s">
        <v>1</v>
      </c>
      <c r="T361" s="25" t="s">
        <v>1</v>
      </c>
      <c r="U361" s="25" t="s">
        <v>1</v>
      </c>
      <c r="V361" s="25" t="s">
        <v>1</v>
      </c>
      <c r="W361" s="25" t="s">
        <v>1</v>
      </c>
      <c r="X361" s="25" t="s">
        <v>1</v>
      </c>
      <c r="Y361" s="25" t="s">
        <v>1</v>
      </c>
      <c r="Z361" s="25" t="s">
        <v>1</v>
      </c>
      <c r="AA361" s="95" t="s">
        <v>2085</v>
      </c>
    </row>
    <row r="362" spans="2:27">
      <c r="B362" s="1" t="s">
        <v>2360</v>
      </c>
      <c r="C362" s="26" t="s">
        <v>1720</v>
      </c>
      <c r="D362" s="3" t="s">
        <v>1</v>
      </c>
      <c r="E362" s="1" t="s">
        <v>285</v>
      </c>
      <c r="F362" s="3" t="s">
        <v>1</v>
      </c>
      <c r="G362" s="3" t="s">
        <v>1</v>
      </c>
      <c r="I362" s="1" t="s">
        <v>2359</v>
      </c>
      <c r="J362" s="1" t="s">
        <v>2358</v>
      </c>
      <c r="K362" s="1" t="s">
        <v>2099</v>
      </c>
      <c r="L362" s="1">
        <v>2022</v>
      </c>
      <c r="N362" s="30" t="s">
        <v>1</v>
      </c>
      <c r="O362" s="30" t="s">
        <v>1</v>
      </c>
      <c r="P362" s="30" t="s">
        <v>1</v>
      </c>
      <c r="Q362" s="30" t="s">
        <v>1</v>
      </c>
      <c r="R362" s="30" t="s">
        <v>1</v>
      </c>
      <c r="S362" s="30" t="s">
        <v>1</v>
      </c>
      <c r="T362" s="30" t="s">
        <v>1</v>
      </c>
      <c r="U362" s="30" t="s">
        <v>1</v>
      </c>
      <c r="V362" s="30" t="s">
        <v>1</v>
      </c>
      <c r="W362" s="30" t="s">
        <v>1</v>
      </c>
      <c r="X362" s="30" t="s">
        <v>1</v>
      </c>
      <c r="Y362" s="30" t="s">
        <v>1</v>
      </c>
      <c r="Z362" s="30" t="s">
        <v>1</v>
      </c>
      <c r="AA362" s="95" t="s">
        <v>2357</v>
      </c>
    </row>
    <row r="363" spans="2:27">
      <c r="B363" s="1" t="s">
        <v>2356</v>
      </c>
      <c r="C363" s="26" t="s">
        <v>2180</v>
      </c>
      <c r="D363" s="3" t="s">
        <v>1</v>
      </c>
      <c r="E363" s="30" t="s">
        <v>1</v>
      </c>
      <c r="F363" s="3">
        <v>150</v>
      </c>
      <c r="G363" s="2">
        <v>2016</v>
      </c>
      <c r="H363" s="1" t="s">
        <v>2355</v>
      </c>
      <c r="I363" s="1" t="s">
        <v>1</v>
      </c>
      <c r="J363" s="1" t="s">
        <v>2082</v>
      </c>
      <c r="K363" s="1" t="s">
        <v>2354</v>
      </c>
      <c r="L363" s="1">
        <v>2016</v>
      </c>
      <c r="N363" s="1" t="s">
        <v>1</v>
      </c>
      <c r="O363" s="25" t="s">
        <v>1</v>
      </c>
      <c r="P363" s="25" t="s">
        <v>1</v>
      </c>
      <c r="Q363" s="25" t="s">
        <v>1</v>
      </c>
      <c r="R363" s="25" t="s">
        <v>1</v>
      </c>
      <c r="S363" s="25" t="s">
        <v>1</v>
      </c>
      <c r="T363" s="25" t="s">
        <v>1</v>
      </c>
      <c r="U363" s="25" t="s">
        <v>1</v>
      </c>
      <c r="V363" s="25" t="s">
        <v>1</v>
      </c>
      <c r="W363" s="25" t="s">
        <v>1</v>
      </c>
      <c r="X363" s="25" t="s">
        <v>1</v>
      </c>
      <c r="Y363" s="25" t="s">
        <v>1</v>
      </c>
      <c r="Z363" s="25" t="s">
        <v>1</v>
      </c>
      <c r="AA363" s="95" t="s">
        <v>2194</v>
      </c>
    </row>
    <row r="364" spans="2:27">
      <c r="B364" s="1" t="s">
        <v>2353</v>
      </c>
      <c r="C364" s="26" t="s">
        <v>1720</v>
      </c>
      <c r="D364" s="3" t="s">
        <v>1</v>
      </c>
      <c r="E364" s="1" t="s">
        <v>285</v>
      </c>
      <c r="F364" s="3" t="s">
        <v>1</v>
      </c>
      <c r="G364" s="2" t="s">
        <v>1</v>
      </c>
      <c r="H364" s="1" t="s">
        <v>2352</v>
      </c>
      <c r="I364" s="1" t="s">
        <v>1</v>
      </c>
      <c r="J364" s="1" t="s">
        <v>2351</v>
      </c>
      <c r="K364" s="1" t="s">
        <v>2350</v>
      </c>
      <c r="L364" s="1">
        <v>2022</v>
      </c>
      <c r="N364" s="1" t="s">
        <v>2349</v>
      </c>
      <c r="O364" s="1" t="s">
        <v>1</v>
      </c>
      <c r="P364" s="1" t="s">
        <v>1</v>
      </c>
      <c r="Q364" s="1" t="s">
        <v>1</v>
      </c>
      <c r="R364" s="1" t="s">
        <v>1</v>
      </c>
      <c r="S364" s="1" t="s">
        <v>1</v>
      </c>
      <c r="T364" s="1" t="s">
        <v>1</v>
      </c>
      <c r="U364" s="1" t="s">
        <v>1</v>
      </c>
      <c r="V364" s="1" t="s">
        <v>1</v>
      </c>
      <c r="W364" s="1" t="s">
        <v>1</v>
      </c>
      <c r="X364" s="1" t="s">
        <v>1</v>
      </c>
      <c r="Y364" s="1" t="s">
        <v>1</v>
      </c>
      <c r="Z364" s="1" t="s">
        <v>1</v>
      </c>
      <c r="AA364" s="95" t="s">
        <v>2348</v>
      </c>
    </row>
    <row r="365" spans="2:27">
      <c r="B365" s="1" t="s">
        <v>2347</v>
      </c>
      <c r="C365" s="26" t="s">
        <v>1720</v>
      </c>
      <c r="D365" s="3" t="s">
        <v>1720</v>
      </c>
      <c r="E365" s="3" t="s">
        <v>1720</v>
      </c>
      <c r="F365" s="3" t="s">
        <v>1720</v>
      </c>
      <c r="G365" s="3" t="s">
        <v>1720</v>
      </c>
      <c r="H365" s="1" t="s">
        <v>2346</v>
      </c>
      <c r="I365" s="1" t="s">
        <v>1</v>
      </c>
      <c r="J365" s="1" t="s">
        <v>2082</v>
      </c>
      <c r="K365" s="1" t="s">
        <v>2345</v>
      </c>
      <c r="L365" s="1">
        <v>2014</v>
      </c>
      <c r="N365" s="1" t="s">
        <v>1</v>
      </c>
      <c r="O365" s="1" t="s">
        <v>1</v>
      </c>
      <c r="P365" s="1" t="s">
        <v>1</v>
      </c>
      <c r="Q365" s="1" t="s">
        <v>1</v>
      </c>
      <c r="R365" s="1" t="s">
        <v>1</v>
      </c>
      <c r="S365" s="1" t="s">
        <v>1</v>
      </c>
      <c r="T365" s="1" t="s">
        <v>1</v>
      </c>
      <c r="U365" s="1" t="s">
        <v>1</v>
      </c>
      <c r="V365" s="1" t="s">
        <v>1</v>
      </c>
      <c r="W365" s="1" t="s">
        <v>1</v>
      </c>
      <c r="X365" s="1" t="s">
        <v>1</v>
      </c>
      <c r="Y365" s="1" t="s">
        <v>1</v>
      </c>
      <c r="Z365" s="1" t="s">
        <v>1</v>
      </c>
      <c r="AA365" s="95" t="s">
        <v>2085</v>
      </c>
    </row>
    <row r="366" spans="2:27">
      <c r="B366" s="1" t="s">
        <v>2344</v>
      </c>
      <c r="C366" s="26" t="s">
        <v>1720</v>
      </c>
      <c r="D366" s="3" t="s">
        <v>1</v>
      </c>
      <c r="E366" s="3" t="s">
        <v>1</v>
      </c>
      <c r="F366" s="3" t="s">
        <v>1</v>
      </c>
      <c r="G366" s="3" t="s">
        <v>1</v>
      </c>
      <c r="H366" s="1" t="s">
        <v>2343</v>
      </c>
      <c r="I366" s="1" t="s">
        <v>2342</v>
      </c>
      <c r="J366" s="1" t="s">
        <v>2082</v>
      </c>
      <c r="K366" s="1" t="s">
        <v>2341</v>
      </c>
      <c r="L366" s="1">
        <v>2022</v>
      </c>
      <c r="M366" s="28" t="s">
        <v>2340</v>
      </c>
      <c r="N366" s="1" t="s">
        <v>1</v>
      </c>
      <c r="O366" s="1" t="s">
        <v>1</v>
      </c>
      <c r="P366" s="1" t="s">
        <v>1</v>
      </c>
      <c r="Q366" s="1" t="s">
        <v>1</v>
      </c>
      <c r="R366" s="1" t="s">
        <v>1</v>
      </c>
      <c r="S366" s="1" t="s">
        <v>1</v>
      </c>
      <c r="T366" s="1" t="s">
        <v>1</v>
      </c>
      <c r="U366" s="1" t="s">
        <v>1</v>
      </c>
      <c r="V366" s="1" t="s">
        <v>1</v>
      </c>
      <c r="W366" s="1" t="s">
        <v>1</v>
      </c>
      <c r="X366" s="1" t="s">
        <v>1</v>
      </c>
      <c r="Y366" s="1" t="s">
        <v>1</v>
      </c>
      <c r="Z366" s="1" t="s">
        <v>1</v>
      </c>
      <c r="AA366" s="95" t="s">
        <v>2092</v>
      </c>
    </row>
    <row r="367" spans="2:27">
      <c r="B367" s="1" t="s">
        <v>2339</v>
      </c>
      <c r="C367" s="26" t="s">
        <v>1720</v>
      </c>
      <c r="D367" s="3" t="s">
        <v>1</v>
      </c>
      <c r="E367" s="3" t="s">
        <v>1</v>
      </c>
      <c r="F367" s="3" t="s">
        <v>1</v>
      </c>
      <c r="G367" s="3" t="s">
        <v>1</v>
      </c>
      <c r="H367" s="1" t="s">
        <v>2338</v>
      </c>
      <c r="I367" s="1" t="s">
        <v>2337</v>
      </c>
      <c r="J367" s="1" t="s">
        <v>2082</v>
      </c>
      <c r="K367" s="1" t="s">
        <v>2099</v>
      </c>
      <c r="L367" s="1">
        <v>2019</v>
      </c>
      <c r="N367" s="1" t="s">
        <v>1</v>
      </c>
      <c r="O367" s="1" t="s">
        <v>1</v>
      </c>
      <c r="P367" s="1" t="s">
        <v>1</v>
      </c>
      <c r="Q367" s="1" t="s">
        <v>1</v>
      </c>
      <c r="R367" s="1" t="s">
        <v>1</v>
      </c>
      <c r="S367" s="1" t="s">
        <v>1</v>
      </c>
      <c r="T367" s="1" t="s">
        <v>1</v>
      </c>
      <c r="U367" s="1" t="s">
        <v>1</v>
      </c>
      <c r="V367" s="1" t="s">
        <v>1</v>
      </c>
      <c r="W367" s="1" t="s">
        <v>1</v>
      </c>
      <c r="X367" s="1" t="s">
        <v>1</v>
      </c>
      <c r="Y367" s="1" t="s">
        <v>1</v>
      </c>
      <c r="Z367" s="1" t="s">
        <v>1</v>
      </c>
      <c r="AA367" s="95" t="s">
        <v>2115</v>
      </c>
    </row>
    <row r="368" spans="2:27">
      <c r="B368" s="1" t="s">
        <v>2336</v>
      </c>
      <c r="C368" s="26" t="s">
        <v>1720</v>
      </c>
      <c r="D368" s="3">
        <v>20</v>
      </c>
      <c r="E368" s="1" t="s">
        <v>5</v>
      </c>
      <c r="F368" s="3">
        <v>4</v>
      </c>
      <c r="G368" s="4">
        <v>44531</v>
      </c>
      <c r="H368" s="1" t="s">
        <v>2335</v>
      </c>
      <c r="I368" s="1" t="s">
        <v>2334</v>
      </c>
      <c r="J368" s="1" t="s">
        <v>2082</v>
      </c>
      <c r="K368" s="1" t="s">
        <v>2333</v>
      </c>
      <c r="L368" s="1">
        <v>2018</v>
      </c>
      <c r="N368" s="1" t="s">
        <v>1</v>
      </c>
      <c r="O368" s="1" t="s">
        <v>4</v>
      </c>
      <c r="P368" s="25">
        <v>1.5</v>
      </c>
      <c r="Q368" s="1" t="s">
        <v>1</v>
      </c>
      <c r="R368" s="1" t="s">
        <v>285</v>
      </c>
      <c r="S368" s="25">
        <v>0.3</v>
      </c>
      <c r="T368" s="1" t="s">
        <v>1</v>
      </c>
      <c r="U368" s="1" t="s">
        <v>1</v>
      </c>
      <c r="V368" s="1" t="s">
        <v>1</v>
      </c>
      <c r="W368" s="1" t="s">
        <v>1</v>
      </c>
      <c r="X368" s="1" t="s">
        <v>1</v>
      </c>
      <c r="Y368" s="1" t="s">
        <v>1</v>
      </c>
      <c r="Z368" s="1" t="s">
        <v>1</v>
      </c>
      <c r="AA368" s="95" t="s">
        <v>2332</v>
      </c>
    </row>
    <row r="369" spans="2:30">
      <c r="B369" s="1" t="s">
        <v>2331</v>
      </c>
      <c r="C369" s="26" t="s">
        <v>1720</v>
      </c>
      <c r="D369" s="3" t="s">
        <v>1</v>
      </c>
      <c r="E369" s="3" t="s">
        <v>1</v>
      </c>
      <c r="F369" s="3" t="s">
        <v>1</v>
      </c>
      <c r="G369" s="3" t="s">
        <v>1</v>
      </c>
      <c r="H369" s="1" t="s">
        <v>2330</v>
      </c>
      <c r="J369" s="1" t="s">
        <v>1</v>
      </c>
      <c r="K369" s="1" t="s">
        <v>1</v>
      </c>
      <c r="L369" s="1">
        <v>2018</v>
      </c>
      <c r="N369" s="1" t="s">
        <v>2329</v>
      </c>
      <c r="O369" s="25" t="s">
        <v>1</v>
      </c>
      <c r="P369" s="25" t="s">
        <v>1</v>
      </c>
      <c r="Q369" s="25" t="s">
        <v>1</v>
      </c>
      <c r="R369" s="25" t="s">
        <v>1</v>
      </c>
      <c r="S369" s="25" t="s">
        <v>1</v>
      </c>
      <c r="T369" s="25" t="s">
        <v>1</v>
      </c>
      <c r="U369" s="25" t="s">
        <v>1</v>
      </c>
      <c r="V369" s="25" t="s">
        <v>1</v>
      </c>
      <c r="W369" s="25" t="s">
        <v>1</v>
      </c>
      <c r="X369" s="25" t="s">
        <v>1</v>
      </c>
      <c r="Y369" s="25" t="s">
        <v>1</v>
      </c>
      <c r="Z369" s="25" t="s">
        <v>1</v>
      </c>
      <c r="AA369" s="95" t="s">
        <v>2328</v>
      </c>
    </row>
    <row r="370" spans="2:30">
      <c r="B370" s="1" t="s">
        <v>2327</v>
      </c>
      <c r="C370" s="26" t="s">
        <v>1720</v>
      </c>
      <c r="D370" s="3">
        <v>50</v>
      </c>
      <c r="E370" s="1" t="s">
        <v>5</v>
      </c>
      <c r="F370" s="3">
        <v>22</v>
      </c>
      <c r="G370" s="4">
        <v>45072</v>
      </c>
      <c r="H370" s="1" t="s">
        <v>2326</v>
      </c>
      <c r="I370" s="1" t="s">
        <v>2325</v>
      </c>
      <c r="J370" s="1" t="s">
        <v>2138</v>
      </c>
      <c r="K370" s="1" t="s">
        <v>2324</v>
      </c>
      <c r="L370" s="1">
        <v>2018</v>
      </c>
      <c r="N370" s="1" t="s">
        <v>2323</v>
      </c>
      <c r="O370" s="25" t="s">
        <v>4</v>
      </c>
      <c r="P370" s="25">
        <v>23.6</v>
      </c>
      <c r="Q370" s="25" t="s">
        <v>2322</v>
      </c>
      <c r="R370" s="25" t="s">
        <v>4</v>
      </c>
      <c r="S370" s="25">
        <v>4.5</v>
      </c>
      <c r="T370" s="25" t="s">
        <v>2321</v>
      </c>
      <c r="U370" s="25" t="s">
        <v>1</v>
      </c>
      <c r="V370" s="25" t="s">
        <v>1</v>
      </c>
      <c r="W370" s="25" t="s">
        <v>1</v>
      </c>
      <c r="X370" s="25" t="s">
        <v>1</v>
      </c>
      <c r="Y370" s="25" t="s">
        <v>1</v>
      </c>
      <c r="Z370" s="25" t="s">
        <v>1</v>
      </c>
      <c r="AA370" s="95" t="s">
        <v>2320</v>
      </c>
    </row>
    <row r="371" spans="2:30">
      <c r="B371" s="1" t="s">
        <v>2319</v>
      </c>
      <c r="C371" s="26" t="s">
        <v>1720</v>
      </c>
      <c r="D371" s="3">
        <v>50</v>
      </c>
      <c r="E371" s="1" t="s">
        <v>5</v>
      </c>
      <c r="F371" s="3">
        <v>20</v>
      </c>
      <c r="G371" s="4">
        <v>44396</v>
      </c>
      <c r="H371" s="1" t="s">
        <v>2318</v>
      </c>
      <c r="I371" s="1" t="s">
        <v>2317</v>
      </c>
      <c r="J371" s="1" t="s">
        <v>2082</v>
      </c>
      <c r="K371" s="1" t="s">
        <v>2099</v>
      </c>
      <c r="L371" s="1">
        <v>2013</v>
      </c>
      <c r="N371" s="1" t="s">
        <v>2316</v>
      </c>
      <c r="O371" s="25" t="s">
        <v>4</v>
      </c>
      <c r="P371" s="25" t="s">
        <v>1</v>
      </c>
      <c r="Q371" s="25" t="s">
        <v>2315</v>
      </c>
      <c r="R371" s="25" t="s">
        <v>1</v>
      </c>
      <c r="S371" s="25" t="s">
        <v>1</v>
      </c>
      <c r="T371" s="25" t="s">
        <v>1</v>
      </c>
      <c r="U371" s="25" t="s">
        <v>1</v>
      </c>
      <c r="V371" s="25" t="s">
        <v>1</v>
      </c>
      <c r="W371" s="25" t="s">
        <v>1</v>
      </c>
      <c r="X371" s="25" t="s">
        <v>1</v>
      </c>
      <c r="Y371" s="25" t="s">
        <v>1</v>
      </c>
      <c r="Z371" s="25" t="s">
        <v>1</v>
      </c>
      <c r="AA371" s="95" t="s">
        <v>2115</v>
      </c>
    </row>
    <row r="372" spans="2:30">
      <c r="B372" s="1" t="s">
        <v>2314</v>
      </c>
      <c r="C372" s="26" t="s">
        <v>1720</v>
      </c>
      <c r="D372" s="3">
        <v>50</v>
      </c>
      <c r="E372" s="1" t="s">
        <v>7</v>
      </c>
      <c r="F372" s="3">
        <v>20</v>
      </c>
      <c r="G372" s="4">
        <v>44792</v>
      </c>
      <c r="H372" s="1" t="s">
        <v>2313</v>
      </c>
      <c r="I372" s="1" t="s">
        <v>1</v>
      </c>
      <c r="J372" s="1" t="s">
        <v>2082</v>
      </c>
      <c r="K372" s="1" t="s">
        <v>2099</v>
      </c>
      <c r="L372" s="1">
        <v>2018</v>
      </c>
      <c r="M372" s="1" t="s">
        <v>2312</v>
      </c>
      <c r="AA372" s="95" t="s">
        <v>2311</v>
      </c>
    </row>
    <row r="373" spans="2:30">
      <c r="B373" s="1" t="s">
        <v>2307</v>
      </c>
      <c r="C373" s="26" t="s">
        <v>1720</v>
      </c>
      <c r="D373" s="3">
        <v>20</v>
      </c>
      <c r="E373" s="1" t="s">
        <v>4</v>
      </c>
      <c r="F373" s="3">
        <v>1.5</v>
      </c>
      <c r="G373" s="4">
        <v>45028</v>
      </c>
      <c r="H373" s="1" t="s">
        <v>2306</v>
      </c>
      <c r="I373" s="1" t="s">
        <v>2305</v>
      </c>
      <c r="J373" s="1" t="s">
        <v>2138</v>
      </c>
      <c r="K373" s="1" t="s">
        <v>2304</v>
      </c>
      <c r="L373" s="1">
        <v>2014</v>
      </c>
      <c r="N373" s="1" t="s">
        <v>2303</v>
      </c>
      <c r="O373" s="25" t="s">
        <v>1</v>
      </c>
      <c r="P373" s="25" t="s">
        <v>1</v>
      </c>
      <c r="Q373" s="25" t="s">
        <v>1</v>
      </c>
      <c r="R373" s="25" t="s">
        <v>1</v>
      </c>
      <c r="S373" s="25" t="s">
        <v>1</v>
      </c>
      <c r="T373" s="25" t="s">
        <v>1</v>
      </c>
      <c r="U373" s="25" t="s">
        <v>1</v>
      </c>
      <c r="V373" s="25" t="s">
        <v>1</v>
      </c>
      <c r="W373" s="25" t="s">
        <v>1</v>
      </c>
      <c r="X373" s="25" t="s">
        <v>1</v>
      </c>
      <c r="Y373" s="25" t="s">
        <v>1</v>
      </c>
      <c r="Z373" s="25" t="s">
        <v>1</v>
      </c>
      <c r="AA373" s="95" t="s">
        <v>2302</v>
      </c>
    </row>
    <row r="374" spans="2:30">
      <c r="B374" s="1" t="s">
        <v>2301</v>
      </c>
      <c r="C374" s="26" t="s">
        <v>1720</v>
      </c>
      <c r="D374" s="3">
        <v>60</v>
      </c>
      <c r="E374" s="1" t="s">
        <v>5</v>
      </c>
      <c r="F374" s="3">
        <v>12</v>
      </c>
      <c r="G374" s="4">
        <v>43207</v>
      </c>
      <c r="H374" s="1" t="s">
        <v>2300</v>
      </c>
      <c r="I374" s="1" t="s">
        <v>2299</v>
      </c>
      <c r="J374" s="1" t="s">
        <v>2082</v>
      </c>
      <c r="K374" s="1" t="s">
        <v>2298</v>
      </c>
      <c r="L374" s="1">
        <v>2014</v>
      </c>
      <c r="M374" s="1" t="s">
        <v>2297</v>
      </c>
      <c r="N374" s="1" t="s">
        <v>2296</v>
      </c>
      <c r="AA374" s="95" t="s">
        <v>2088</v>
      </c>
    </row>
    <row r="375" spans="2:30">
      <c r="B375" s="1" t="s">
        <v>2295</v>
      </c>
      <c r="C375" s="26" t="s">
        <v>1720</v>
      </c>
      <c r="D375" s="3">
        <v>50</v>
      </c>
      <c r="E375" s="1" t="s">
        <v>5</v>
      </c>
      <c r="F375" s="3">
        <v>15</v>
      </c>
      <c r="G375" s="4">
        <v>43879</v>
      </c>
      <c r="H375" s="1" t="s">
        <v>2293</v>
      </c>
      <c r="I375" s="1" t="s">
        <v>2294</v>
      </c>
      <c r="J375" s="1" t="s">
        <v>2082</v>
      </c>
      <c r="K375" s="1" t="s">
        <v>2293</v>
      </c>
      <c r="L375" s="1">
        <v>2016</v>
      </c>
      <c r="M375" s="1" t="s">
        <v>2292</v>
      </c>
      <c r="N375" s="1" t="s">
        <v>2291</v>
      </c>
      <c r="O375" s="25" t="s">
        <v>2290</v>
      </c>
      <c r="P375" s="25" t="s">
        <v>2289</v>
      </c>
      <c r="Q375" s="25" t="s">
        <v>1</v>
      </c>
      <c r="R375" s="25" t="s">
        <v>1</v>
      </c>
      <c r="S375" s="25" t="s">
        <v>1</v>
      </c>
      <c r="T375" s="25" t="s">
        <v>1</v>
      </c>
      <c r="U375" s="25" t="s">
        <v>1</v>
      </c>
      <c r="V375" s="25" t="s">
        <v>1</v>
      </c>
      <c r="W375" s="25" t="s">
        <v>1</v>
      </c>
      <c r="X375" s="25" t="s">
        <v>1</v>
      </c>
      <c r="Y375" s="25" t="s">
        <v>1</v>
      </c>
      <c r="Z375" s="25" t="s">
        <v>1</v>
      </c>
      <c r="AA375" s="95" t="s">
        <v>2288</v>
      </c>
    </row>
    <row r="376" spans="2:30">
      <c r="B376" s="1" t="s">
        <v>2287</v>
      </c>
      <c r="C376" s="26" t="s">
        <v>1720</v>
      </c>
      <c r="D376" s="3" t="s">
        <v>1</v>
      </c>
      <c r="E376" s="30" t="s">
        <v>1</v>
      </c>
      <c r="F376" s="3" t="s">
        <v>1</v>
      </c>
      <c r="G376" s="3" t="s">
        <v>1</v>
      </c>
      <c r="H376" s="1" t="s">
        <v>2286</v>
      </c>
      <c r="I376" s="1" t="s">
        <v>1</v>
      </c>
      <c r="J376" s="1" t="s">
        <v>2082</v>
      </c>
      <c r="K376" s="1" t="s">
        <v>2285</v>
      </c>
      <c r="L376" s="1">
        <v>2022</v>
      </c>
      <c r="N376" s="30" t="s">
        <v>1</v>
      </c>
      <c r="O376" s="30" t="s">
        <v>1</v>
      </c>
      <c r="P376" s="30" t="s">
        <v>1</v>
      </c>
      <c r="Q376" s="30" t="s">
        <v>1</v>
      </c>
      <c r="R376" s="30" t="s">
        <v>1</v>
      </c>
      <c r="S376" s="30" t="s">
        <v>1</v>
      </c>
      <c r="T376" s="30" t="s">
        <v>1</v>
      </c>
      <c r="U376" s="30" t="s">
        <v>1</v>
      </c>
      <c r="V376" s="30" t="s">
        <v>1</v>
      </c>
      <c r="W376" s="30" t="s">
        <v>1</v>
      </c>
      <c r="X376" s="30" t="s">
        <v>1</v>
      </c>
      <c r="Y376" s="30" t="s">
        <v>1</v>
      </c>
      <c r="Z376" s="30" t="s">
        <v>1</v>
      </c>
      <c r="AA376" s="95" t="s">
        <v>2284</v>
      </c>
    </row>
    <row r="377" spans="2:30">
      <c r="B377" s="1" t="s">
        <v>2279</v>
      </c>
      <c r="C377" s="26" t="s">
        <v>1720</v>
      </c>
      <c r="D377" s="3">
        <v>20</v>
      </c>
      <c r="E377" s="25" t="s">
        <v>4</v>
      </c>
      <c r="F377" s="3">
        <v>2.2999999999999998</v>
      </c>
      <c r="G377" s="31">
        <v>42782</v>
      </c>
      <c r="H377" s="1" t="s">
        <v>2278</v>
      </c>
      <c r="I377" s="1" t="s">
        <v>2277</v>
      </c>
      <c r="J377" s="1" t="s">
        <v>2082</v>
      </c>
      <c r="K377" s="1" t="s">
        <v>2269</v>
      </c>
      <c r="L377" s="1">
        <v>2012</v>
      </c>
      <c r="M377" s="1" t="s">
        <v>2276</v>
      </c>
      <c r="N377" s="1" t="s">
        <v>1</v>
      </c>
      <c r="O377" s="1" t="s">
        <v>1</v>
      </c>
      <c r="P377" s="1" t="s">
        <v>1</v>
      </c>
      <c r="Q377" s="1" t="s">
        <v>1</v>
      </c>
      <c r="R377" s="1" t="s">
        <v>1</v>
      </c>
      <c r="S377" s="1" t="s">
        <v>1</v>
      </c>
      <c r="T377" s="1" t="s">
        <v>1</v>
      </c>
      <c r="U377" s="1" t="s">
        <v>1</v>
      </c>
      <c r="V377" s="1" t="s">
        <v>1</v>
      </c>
      <c r="W377" s="1" t="s">
        <v>1</v>
      </c>
      <c r="X377" s="1" t="s">
        <v>1</v>
      </c>
      <c r="Y377" s="1" t="s">
        <v>1</v>
      </c>
      <c r="Z377" s="1" t="s">
        <v>1</v>
      </c>
      <c r="AA377" s="95" t="s">
        <v>2241</v>
      </c>
    </row>
    <row r="378" spans="2:30">
      <c r="B378" s="1" t="s">
        <v>2275</v>
      </c>
      <c r="C378" s="26" t="s">
        <v>1720</v>
      </c>
      <c r="D378" s="3">
        <v>10</v>
      </c>
      <c r="E378" s="25" t="s">
        <v>285</v>
      </c>
      <c r="F378" s="3">
        <v>0.5</v>
      </c>
      <c r="G378" s="4">
        <v>44470</v>
      </c>
      <c r="H378" s="1" t="s">
        <v>2274</v>
      </c>
      <c r="I378" s="1" t="s">
        <v>1</v>
      </c>
      <c r="J378" s="1" t="s">
        <v>2082</v>
      </c>
      <c r="K378" s="1" t="s">
        <v>2273</v>
      </c>
      <c r="L378" s="1">
        <v>2013</v>
      </c>
      <c r="N378" s="1" t="s">
        <v>2272</v>
      </c>
      <c r="O378" s="25" t="s">
        <v>1</v>
      </c>
      <c r="P378" s="25" t="s">
        <v>1</v>
      </c>
      <c r="Q378" s="25" t="s">
        <v>1</v>
      </c>
      <c r="R378" s="25" t="s">
        <v>1</v>
      </c>
      <c r="S378" s="25" t="s">
        <v>1</v>
      </c>
      <c r="T378" s="25" t="s">
        <v>1</v>
      </c>
      <c r="U378" s="25" t="s">
        <v>1</v>
      </c>
      <c r="V378" s="25" t="s">
        <v>1</v>
      </c>
      <c r="W378" s="25" t="s">
        <v>1</v>
      </c>
      <c r="X378" s="25" t="s">
        <v>1</v>
      </c>
      <c r="Y378" s="25" t="s">
        <v>1</v>
      </c>
      <c r="Z378" s="25" t="s">
        <v>1</v>
      </c>
      <c r="AA378" s="95" t="s">
        <v>2123</v>
      </c>
    </row>
    <row r="379" spans="2:30">
      <c r="B379" s="1" t="s">
        <v>648</v>
      </c>
      <c r="C379" s="26" t="s">
        <v>1720</v>
      </c>
      <c r="D379" s="3">
        <v>10</v>
      </c>
      <c r="E379" s="25" t="s">
        <v>285</v>
      </c>
      <c r="F379" s="3">
        <v>0.12</v>
      </c>
      <c r="G379" s="4">
        <v>44082</v>
      </c>
      <c r="H379" s="1" t="s">
        <v>2271</v>
      </c>
      <c r="I379" s="1" t="s">
        <v>2270</v>
      </c>
      <c r="J379" s="1" t="s">
        <v>2082</v>
      </c>
      <c r="K379" s="1" t="s">
        <v>2269</v>
      </c>
      <c r="L379" s="1">
        <v>2019</v>
      </c>
      <c r="N379" s="1" t="s">
        <v>650</v>
      </c>
      <c r="O379" s="25" t="s">
        <v>2268</v>
      </c>
      <c r="P379" s="25">
        <v>1</v>
      </c>
      <c r="Q379" s="25" t="s">
        <v>2267</v>
      </c>
      <c r="R379" s="25" t="s">
        <v>1</v>
      </c>
      <c r="S379" s="25" t="s">
        <v>1</v>
      </c>
      <c r="T379" s="25" t="s">
        <v>1</v>
      </c>
      <c r="U379" s="25" t="s">
        <v>1</v>
      </c>
      <c r="V379" s="25" t="s">
        <v>1</v>
      </c>
      <c r="W379" s="25" t="s">
        <v>1</v>
      </c>
      <c r="X379" s="25" t="s">
        <v>1</v>
      </c>
      <c r="Y379" s="25" t="s">
        <v>1</v>
      </c>
      <c r="Z379" s="25" t="s">
        <v>1</v>
      </c>
      <c r="AA379" s="95" t="s">
        <v>2241</v>
      </c>
    </row>
    <row r="380" spans="2:30">
      <c r="B380" s="1" t="s">
        <v>2266</v>
      </c>
      <c r="C380" s="26" t="s">
        <v>1720</v>
      </c>
      <c r="D380" s="3">
        <v>100</v>
      </c>
      <c r="E380" s="25" t="s">
        <v>7</v>
      </c>
      <c r="F380" s="3">
        <v>55</v>
      </c>
      <c r="H380" s="1" t="s">
        <v>2265</v>
      </c>
      <c r="I380" s="1" t="s">
        <v>2264</v>
      </c>
      <c r="J380" s="1" t="s">
        <v>2263</v>
      </c>
      <c r="K380" s="1" t="s">
        <v>2263</v>
      </c>
      <c r="L380" s="1">
        <v>2018</v>
      </c>
      <c r="M380" s="1" t="s">
        <v>2262</v>
      </c>
      <c r="N380" s="1" t="s">
        <v>2261</v>
      </c>
      <c r="AA380" s="95" t="s">
        <v>2085</v>
      </c>
    </row>
    <row r="381" spans="2:30">
      <c r="B381" s="1" t="s">
        <v>2260</v>
      </c>
      <c r="C381" s="26" t="s">
        <v>2180</v>
      </c>
      <c r="D381" s="3">
        <v>100</v>
      </c>
      <c r="E381" s="1" t="s">
        <v>18</v>
      </c>
      <c r="F381" s="3">
        <v>20</v>
      </c>
      <c r="G381" s="4">
        <v>44734</v>
      </c>
      <c r="H381" s="1" t="s">
        <v>2259</v>
      </c>
      <c r="I381" s="1" t="s">
        <v>2258</v>
      </c>
      <c r="J381" s="1" t="s">
        <v>2082</v>
      </c>
      <c r="K381" s="1" t="s">
        <v>2246</v>
      </c>
      <c r="L381" s="2" t="s">
        <v>2257</v>
      </c>
      <c r="N381" s="1" t="s">
        <v>1</v>
      </c>
      <c r="O381" s="25" t="s">
        <v>18</v>
      </c>
      <c r="P381" s="25">
        <v>38</v>
      </c>
      <c r="Q381" s="25" t="s">
        <v>2256</v>
      </c>
      <c r="R381" s="25" t="s">
        <v>7</v>
      </c>
      <c r="S381" s="25">
        <v>6.9</v>
      </c>
      <c r="T381" s="25" t="s">
        <v>2254</v>
      </c>
      <c r="U381" s="25" t="s">
        <v>5</v>
      </c>
      <c r="V381" s="25" t="s">
        <v>2255</v>
      </c>
      <c r="W381" s="25" t="s">
        <v>2254</v>
      </c>
      <c r="X381" s="25" t="s">
        <v>1</v>
      </c>
      <c r="Y381" s="25" t="s">
        <v>1</v>
      </c>
      <c r="Z381" s="25" t="s">
        <v>1</v>
      </c>
      <c r="AA381" s="95" t="s">
        <v>2253</v>
      </c>
    </row>
    <row r="382" spans="2:30">
      <c r="B382" s="1" t="s">
        <v>2252</v>
      </c>
      <c r="C382" s="26" t="s">
        <v>2180</v>
      </c>
      <c r="D382" s="3">
        <v>20</v>
      </c>
      <c r="E382" s="25" t="s">
        <v>7</v>
      </c>
      <c r="F382" s="3">
        <v>1.6</v>
      </c>
      <c r="G382" s="4">
        <v>43661</v>
      </c>
      <c r="H382" s="1" t="s">
        <v>2251</v>
      </c>
      <c r="I382" s="1" t="s">
        <v>1</v>
      </c>
      <c r="J382" s="1" t="s">
        <v>1</v>
      </c>
      <c r="K382" s="1" t="s">
        <v>1</v>
      </c>
      <c r="L382" s="1">
        <v>2016</v>
      </c>
      <c r="M382" s="1" t="s">
        <v>1</v>
      </c>
      <c r="N382" s="1" t="s">
        <v>2250</v>
      </c>
      <c r="O382" s="25" t="s">
        <v>1</v>
      </c>
      <c r="P382" s="25" t="s">
        <v>1</v>
      </c>
      <c r="Q382" s="25" t="s">
        <v>1</v>
      </c>
      <c r="R382" s="25" t="s">
        <v>1</v>
      </c>
      <c r="S382" s="25" t="s">
        <v>1</v>
      </c>
      <c r="T382" s="25" t="s">
        <v>1</v>
      </c>
      <c r="U382" s="25" t="s">
        <v>1</v>
      </c>
      <c r="V382" s="25" t="s">
        <v>1</v>
      </c>
      <c r="W382" s="25" t="s">
        <v>1</v>
      </c>
      <c r="X382" s="25" t="s">
        <v>1</v>
      </c>
      <c r="Y382" s="25" t="s">
        <v>1</v>
      </c>
      <c r="Z382" s="25" t="s">
        <v>1</v>
      </c>
      <c r="AA382" s="95" t="s">
        <v>2249</v>
      </c>
    </row>
    <row r="383" spans="2:30">
      <c r="B383" s="1" t="s">
        <v>2248</v>
      </c>
      <c r="C383" s="26" t="s">
        <v>2180</v>
      </c>
      <c r="E383" s="25"/>
      <c r="H383" s="1" t="s">
        <v>2247</v>
      </c>
      <c r="I383" s="1" t="s">
        <v>1</v>
      </c>
      <c r="J383" s="1" t="s">
        <v>2082</v>
      </c>
      <c r="K383" s="1" t="s">
        <v>2246</v>
      </c>
      <c r="L383" s="1">
        <v>2014</v>
      </c>
      <c r="M383" s="1" t="s">
        <v>2245</v>
      </c>
    </row>
    <row r="384" spans="2:30">
      <c r="B384" s="1" t="s">
        <v>2244</v>
      </c>
      <c r="C384" s="26" t="s">
        <v>1720</v>
      </c>
      <c r="H384" s="1" t="s">
        <v>2243</v>
      </c>
      <c r="M384" s="1" t="s">
        <v>2242</v>
      </c>
      <c r="AA384" s="95" t="s">
        <v>2241</v>
      </c>
      <c r="AB384" s="28" t="s">
        <v>2240</v>
      </c>
      <c r="AC384" s="109"/>
      <c r="AD384" s="101"/>
    </row>
    <row r="385" spans="2:30">
      <c r="B385" s="1" t="s">
        <v>2239</v>
      </c>
      <c r="C385" s="26" t="s">
        <v>2180</v>
      </c>
      <c r="E385" s="25" t="s">
        <v>7</v>
      </c>
      <c r="F385" s="3">
        <v>30</v>
      </c>
      <c r="G385" s="4">
        <v>44252</v>
      </c>
      <c r="H385" s="1" t="s">
        <v>2120</v>
      </c>
      <c r="I385" s="1" t="s">
        <v>2238</v>
      </c>
      <c r="J385" s="1" t="s">
        <v>2082</v>
      </c>
      <c r="K385" s="1" t="s">
        <v>2120</v>
      </c>
      <c r="L385" s="1">
        <v>2017</v>
      </c>
      <c r="M385" s="1" t="s">
        <v>2237</v>
      </c>
      <c r="N385" s="1" t="s">
        <v>2236</v>
      </c>
      <c r="O385" s="25" t="s">
        <v>5</v>
      </c>
      <c r="P385" s="25">
        <v>16.5</v>
      </c>
      <c r="Q385" s="25" t="s">
        <v>2235</v>
      </c>
      <c r="R385" s="25" t="s">
        <v>1</v>
      </c>
      <c r="S385" s="25" t="s">
        <v>1</v>
      </c>
      <c r="T385" s="25" t="s">
        <v>1</v>
      </c>
      <c r="U385" s="25" t="s">
        <v>1</v>
      </c>
      <c r="V385" s="25" t="s">
        <v>1</v>
      </c>
      <c r="W385" s="25" t="s">
        <v>1</v>
      </c>
      <c r="X385" s="25" t="s">
        <v>1</v>
      </c>
      <c r="Y385" s="25" t="s">
        <v>1</v>
      </c>
      <c r="Z385" s="25" t="s">
        <v>1</v>
      </c>
      <c r="AA385" s="95" t="s">
        <v>2234</v>
      </c>
    </row>
    <row r="386" spans="2:30">
      <c r="B386" s="1" t="s">
        <v>354</v>
      </c>
      <c r="C386" s="26" t="s">
        <v>2192</v>
      </c>
      <c r="D386" s="3">
        <v>30</v>
      </c>
      <c r="E386" s="25" t="s">
        <v>4</v>
      </c>
      <c r="F386" s="3">
        <v>3.5</v>
      </c>
      <c r="G386" s="4">
        <v>43046</v>
      </c>
      <c r="I386" s="1" t="s">
        <v>2233</v>
      </c>
      <c r="J386" s="1" t="s">
        <v>2082</v>
      </c>
      <c r="K386" s="1" t="s">
        <v>2167</v>
      </c>
      <c r="L386" s="2" t="s">
        <v>2232</v>
      </c>
      <c r="N386" s="1" t="s">
        <v>2231</v>
      </c>
      <c r="AA386" s="95" t="s">
        <v>2085</v>
      </c>
    </row>
    <row r="387" spans="2:30">
      <c r="B387" s="1" t="s">
        <v>2230</v>
      </c>
      <c r="C387" s="26" t="s">
        <v>1720</v>
      </c>
      <c r="D387" s="3">
        <v>25</v>
      </c>
      <c r="E387" s="1" t="s">
        <v>4</v>
      </c>
      <c r="F387" s="3">
        <v>4</v>
      </c>
      <c r="G387" s="4">
        <v>44518</v>
      </c>
      <c r="H387" s="1" t="s">
        <v>2229</v>
      </c>
      <c r="I387" s="1" t="s">
        <v>2228</v>
      </c>
      <c r="J387" s="1" t="s">
        <v>2082</v>
      </c>
      <c r="K387" s="1" t="s">
        <v>2227</v>
      </c>
      <c r="L387" s="1">
        <v>2018</v>
      </c>
      <c r="N387" s="1" t="s">
        <v>2226</v>
      </c>
      <c r="O387" s="25" t="s">
        <v>285</v>
      </c>
      <c r="P387" s="25">
        <v>0.12</v>
      </c>
      <c r="Q387" s="25" t="s">
        <v>650</v>
      </c>
      <c r="R387" s="25" t="s">
        <v>1</v>
      </c>
      <c r="S387" s="25" t="s">
        <v>1</v>
      </c>
      <c r="T387" s="25" t="s">
        <v>1</v>
      </c>
      <c r="U387" s="25" t="s">
        <v>1</v>
      </c>
      <c r="V387" s="25" t="s">
        <v>1</v>
      </c>
      <c r="W387" s="25" t="s">
        <v>1</v>
      </c>
      <c r="X387" s="25" t="s">
        <v>1</v>
      </c>
      <c r="Y387" s="25" t="s">
        <v>1</v>
      </c>
      <c r="Z387" s="25" t="s">
        <v>1</v>
      </c>
      <c r="AA387" s="97" t="s">
        <v>1</v>
      </c>
    </row>
    <row r="388" spans="2:30">
      <c r="B388" s="1" t="s">
        <v>2225</v>
      </c>
      <c r="C388" s="26" t="s">
        <v>2180</v>
      </c>
      <c r="D388" s="3">
        <v>20</v>
      </c>
      <c r="E388" s="1" t="s">
        <v>4</v>
      </c>
      <c r="F388" s="3">
        <v>1.6</v>
      </c>
      <c r="G388" s="4">
        <v>43060</v>
      </c>
      <c r="H388" s="1" t="s">
        <v>2224</v>
      </c>
      <c r="I388" s="1" t="s">
        <v>2223</v>
      </c>
      <c r="J388" s="1" t="s">
        <v>2082</v>
      </c>
      <c r="K388" s="1" t="s">
        <v>2093</v>
      </c>
      <c r="L388" s="1">
        <v>2015</v>
      </c>
      <c r="N388" s="1" t="s">
        <v>2222</v>
      </c>
      <c r="O388" s="25" t="s">
        <v>4</v>
      </c>
      <c r="P388" s="25">
        <v>0.7</v>
      </c>
      <c r="Q388" s="25" t="s">
        <v>640</v>
      </c>
      <c r="R388" s="25" t="s">
        <v>1</v>
      </c>
      <c r="S388" s="25" t="s">
        <v>1</v>
      </c>
      <c r="T388" s="25" t="s">
        <v>1</v>
      </c>
      <c r="U388" s="25" t="s">
        <v>1</v>
      </c>
      <c r="V388" s="25" t="s">
        <v>1</v>
      </c>
      <c r="W388" s="25" t="s">
        <v>1</v>
      </c>
      <c r="X388" s="25" t="s">
        <v>1</v>
      </c>
      <c r="Y388" s="25" t="s">
        <v>1</v>
      </c>
      <c r="Z388" s="25" t="s">
        <v>1</v>
      </c>
      <c r="AA388" s="95" t="s">
        <v>2221</v>
      </c>
      <c r="AB388" s="28" t="s">
        <v>2220</v>
      </c>
      <c r="AC388" s="109"/>
      <c r="AD388" s="101"/>
    </row>
    <row r="389" spans="2:30">
      <c r="B389" s="1" t="s">
        <v>2219</v>
      </c>
      <c r="C389" s="26" t="s">
        <v>2192</v>
      </c>
      <c r="D389" s="3" t="s">
        <v>1</v>
      </c>
      <c r="E389" s="1" t="s">
        <v>4</v>
      </c>
      <c r="F389" s="3" t="s">
        <v>1</v>
      </c>
      <c r="G389" s="4">
        <v>44169</v>
      </c>
      <c r="I389" s="1" t="s">
        <v>2218</v>
      </c>
      <c r="J389" s="1" t="s">
        <v>2082</v>
      </c>
      <c r="K389" s="1" t="s">
        <v>2217</v>
      </c>
      <c r="L389" s="1">
        <v>2017</v>
      </c>
      <c r="M389" s="1" t="s">
        <v>2188</v>
      </c>
      <c r="N389" s="1" t="s">
        <v>2216</v>
      </c>
      <c r="O389" s="25" t="s">
        <v>1</v>
      </c>
      <c r="P389" s="25" t="s">
        <v>1</v>
      </c>
      <c r="Q389" s="25" t="s">
        <v>1</v>
      </c>
      <c r="R389" s="25" t="s">
        <v>1</v>
      </c>
      <c r="S389" s="25" t="s">
        <v>1</v>
      </c>
      <c r="T389" s="25" t="s">
        <v>1</v>
      </c>
      <c r="U389" s="25" t="s">
        <v>1</v>
      </c>
      <c r="V389" s="25" t="s">
        <v>1</v>
      </c>
      <c r="W389" s="25" t="s">
        <v>1</v>
      </c>
      <c r="X389" s="25" t="s">
        <v>1</v>
      </c>
      <c r="Y389" s="25" t="s">
        <v>1</v>
      </c>
      <c r="Z389" s="25" t="s">
        <v>1</v>
      </c>
      <c r="AA389" s="95" t="s">
        <v>2201</v>
      </c>
    </row>
    <row r="390" spans="2:30">
      <c r="B390" s="1" t="s">
        <v>2215</v>
      </c>
      <c r="C390" s="26" t="s">
        <v>1720</v>
      </c>
      <c r="D390" s="3" t="s">
        <v>1</v>
      </c>
      <c r="E390" s="3" t="s">
        <v>1</v>
      </c>
      <c r="F390" s="3" t="s">
        <v>1</v>
      </c>
      <c r="G390" s="3" t="s">
        <v>1</v>
      </c>
      <c r="H390" s="1" t="s">
        <v>2214</v>
      </c>
      <c r="I390" s="1" t="s">
        <v>2213</v>
      </c>
      <c r="J390" s="1" t="s">
        <v>2082</v>
      </c>
      <c r="K390" s="1" t="s">
        <v>2212</v>
      </c>
      <c r="L390" s="1">
        <v>2019</v>
      </c>
      <c r="N390" s="1" t="s">
        <v>1</v>
      </c>
      <c r="O390" s="1" t="s">
        <v>1</v>
      </c>
      <c r="P390" s="1" t="s">
        <v>1</v>
      </c>
      <c r="Q390" s="1" t="s">
        <v>1</v>
      </c>
      <c r="R390" s="1" t="s">
        <v>1</v>
      </c>
      <c r="S390" s="1" t="s">
        <v>1</v>
      </c>
      <c r="T390" s="1" t="s">
        <v>1</v>
      </c>
      <c r="U390" s="1" t="s">
        <v>1</v>
      </c>
      <c r="V390" s="1" t="s">
        <v>1</v>
      </c>
      <c r="W390" s="1" t="s">
        <v>1</v>
      </c>
      <c r="X390" s="1" t="s">
        <v>1</v>
      </c>
      <c r="Y390" s="1" t="s">
        <v>1</v>
      </c>
      <c r="Z390" s="1" t="s">
        <v>1</v>
      </c>
      <c r="AA390" s="95" t="s">
        <v>2211</v>
      </c>
    </row>
    <row r="391" spans="2:30">
      <c r="B391" s="1" t="s">
        <v>2210</v>
      </c>
      <c r="C391" s="26" t="s">
        <v>1720</v>
      </c>
      <c r="D391" s="3" t="s">
        <v>1</v>
      </c>
      <c r="E391" s="30" t="s">
        <v>1</v>
      </c>
      <c r="F391" s="3" t="s">
        <v>1</v>
      </c>
      <c r="G391" s="3" t="s">
        <v>1</v>
      </c>
      <c r="H391" s="1" t="s">
        <v>2209</v>
      </c>
      <c r="I391" s="1" t="s">
        <v>1</v>
      </c>
      <c r="J391" s="1" t="s">
        <v>2082</v>
      </c>
      <c r="K391" s="1" t="s">
        <v>2208</v>
      </c>
      <c r="L391" s="1">
        <v>2016</v>
      </c>
      <c r="M391" s="1" t="s">
        <v>2207</v>
      </c>
      <c r="N391" s="1" t="s">
        <v>1</v>
      </c>
      <c r="O391" s="1" t="s">
        <v>1</v>
      </c>
      <c r="P391" s="1" t="s">
        <v>1</v>
      </c>
      <c r="Q391" s="1" t="s">
        <v>1</v>
      </c>
      <c r="R391" s="1" t="s">
        <v>1</v>
      </c>
      <c r="S391" s="1" t="s">
        <v>1</v>
      </c>
      <c r="T391" s="1" t="s">
        <v>1</v>
      </c>
      <c r="U391" s="1" t="s">
        <v>1</v>
      </c>
      <c r="V391" s="1" t="s">
        <v>1</v>
      </c>
      <c r="W391" s="1" t="s">
        <v>1</v>
      </c>
      <c r="X391" s="1" t="s">
        <v>1</v>
      </c>
      <c r="Y391" s="1" t="s">
        <v>1</v>
      </c>
      <c r="Z391" s="1" t="s">
        <v>1</v>
      </c>
      <c r="AA391" s="95" t="s">
        <v>2206</v>
      </c>
    </row>
    <row r="392" spans="2:30">
      <c r="B392" s="1" t="s">
        <v>336</v>
      </c>
      <c r="C392" s="26" t="s">
        <v>2192</v>
      </c>
      <c r="D392" s="3">
        <v>25</v>
      </c>
      <c r="E392" s="1" t="s">
        <v>4</v>
      </c>
      <c r="F392" s="3">
        <v>5</v>
      </c>
      <c r="G392" s="4">
        <v>43224</v>
      </c>
      <c r="H392" s="1" t="s">
        <v>2205</v>
      </c>
      <c r="I392" s="1" t="s">
        <v>2204</v>
      </c>
      <c r="J392" s="1" t="s">
        <v>2082</v>
      </c>
      <c r="K392" s="1" t="s">
        <v>2203</v>
      </c>
      <c r="L392" s="1">
        <v>2017</v>
      </c>
      <c r="M392" s="1" t="s">
        <v>2188</v>
      </c>
      <c r="N392" s="1" t="s">
        <v>2202</v>
      </c>
      <c r="O392" s="25" t="s">
        <v>1</v>
      </c>
      <c r="P392" s="25" t="s">
        <v>1</v>
      </c>
      <c r="Q392" s="25" t="s">
        <v>1</v>
      </c>
      <c r="R392" s="25" t="s">
        <v>1</v>
      </c>
      <c r="S392" s="25" t="s">
        <v>1</v>
      </c>
      <c r="T392" s="25" t="s">
        <v>1</v>
      </c>
      <c r="U392" s="25" t="s">
        <v>1</v>
      </c>
      <c r="V392" s="25" t="s">
        <v>1</v>
      </c>
      <c r="W392" s="25" t="s">
        <v>1</v>
      </c>
      <c r="X392" s="25" t="s">
        <v>1</v>
      </c>
      <c r="Y392" s="25" t="s">
        <v>1</v>
      </c>
      <c r="Z392" s="25" t="s">
        <v>1</v>
      </c>
      <c r="AA392" s="95" t="s">
        <v>2201</v>
      </c>
    </row>
    <row r="393" spans="2:30">
      <c r="B393" s="1" t="s">
        <v>2200</v>
      </c>
      <c r="C393" s="26" t="s">
        <v>2192</v>
      </c>
      <c r="D393" s="3" t="s">
        <v>1</v>
      </c>
      <c r="E393" s="3" t="s">
        <v>1</v>
      </c>
      <c r="F393" s="3" t="s">
        <v>1</v>
      </c>
      <c r="G393" s="3" t="s">
        <v>1</v>
      </c>
      <c r="H393" s="30" t="s">
        <v>1</v>
      </c>
      <c r="I393" s="1" t="s">
        <v>2199</v>
      </c>
      <c r="L393" s="1">
        <v>2017</v>
      </c>
      <c r="N393" s="30" t="s">
        <v>1</v>
      </c>
      <c r="O393" s="30" t="s">
        <v>1</v>
      </c>
      <c r="P393" s="30" t="s">
        <v>1</v>
      </c>
      <c r="Q393" s="30" t="s">
        <v>1</v>
      </c>
      <c r="R393" s="30" t="s">
        <v>1</v>
      </c>
      <c r="S393" s="30" t="s">
        <v>1</v>
      </c>
      <c r="T393" s="30" t="s">
        <v>1</v>
      </c>
      <c r="U393" s="30" t="s">
        <v>1</v>
      </c>
      <c r="V393" s="30" t="s">
        <v>1</v>
      </c>
      <c r="W393" s="30" t="s">
        <v>1</v>
      </c>
      <c r="X393" s="30" t="s">
        <v>1</v>
      </c>
      <c r="Y393" s="30" t="s">
        <v>1</v>
      </c>
      <c r="Z393" s="30" t="s">
        <v>1</v>
      </c>
      <c r="AA393" s="95" t="s">
        <v>2159</v>
      </c>
    </row>
    <row r="394" spans="2:30">
      <c r="B394" s="1" t="s">
        <v>2198</v>
      </c>
      <c r="C394" s="26" t="s">
        <v>2180</v>
      </c>
      <c r="D394" s="3" t="s">
        <v>1</v>
      </c>
      <c r="E394" s="3" t="s">
        <v>1</v>
      </c>
      <c r="F394" s="3" t="s">
        <v>1</v>
      </c>
      <c r="G394" s="3" t="s">
        <v>1</v>
      </c>
      <c r="H394" s="1" t="s">
        <v>2197</v>
      </c>
      <c r="I394" s="1" t="s">
        <v>2196</v>
      </c>
      <c r="J394" s="1" t="s">
        <v>2082</v>
      </c>
      <c r="K394" s="1" t="s">
        <v>2099</v>
      </c>
      <c r="L394" s="2" t="s">
        <v>2195</v>
      </c>
      <c r="N394" s="30" t="s">
        <v>1</v>
      </c>
      <c r="O394" s="30" t="s">
        <v>1</v>
      </c>
      <c r="P394" s="30" t="s">
        <v>1</v>
      </c>
      <c r="Q394" s="30" t="s">
        <v>1</v>
      </c>
      <c r="R394" s="30" t="s">
        <v>1</v>
      </c>
      <c r="S394" s="30" t="s">
        <v>1</v>
      </c>
      <c r="T394" s="30" t="s">
        <v>1</v>
      </c>
      <c r="U394" s="30" t="s">
        <v>1</v>
      </c>
      <c r="V394" s="30" t="s">
        <v>1</v>
      </c>
      <c r="W394" s="30" t="s">
        <v>1</v>
      </c>
      <c r="X394" s="30" t="s">
        <v>1</v>
      </c>
      <c r="Y394" s="30" t="s">
        <v>1</v>
      </c>
      <c r="Z394" s="30" t="s">
        <v>1</v>
      </c>
      <c r="AA394" s="95" t="s">
        <v>2194</v>
      </c>
    </row>
    <row r="395" spans="2:30">
      <c r="B395" s="1" t="s">
        <v>2193</v>
      </c>
      <c r="C395" s="26" t="s">
        <v>2192</v>
      </c>
      <c r="D395" s="3" t="s">
        <v>1</v>
      </c>
      <c r="E395" s="30" t="s">
        <v>1</v>
      </c>
      <c r="F395" s="3" t="s">
        <v>1</v>
      </c>
      <c r="G395" s="3" t="s">
        <v>1</v>
      </c>
      <c r="H395" s="1" t="s">
        <v>2191</v>
      </c>
      <c r="I395" s="1" t="s">
        <v>2190</v>
      </c>
      <c r="J395" s="1" t="s">
        <v>2082</v>
      </c>
      <c r="K395" s="1" t="s">
        <v>2163</v>
      </c>
      <c r="L395" s="2" t="s">
        <v>2189</v>
      </c>
      <c r="M395" s="1" t="s">
        <v>2188</v>
      </c>
      <c r="N395" s="5" t="s">
        <v>1</v>
      </c>
      <c r="O395" s="5" t="s">
        <v>1</v>
      </c>
      <c r="P395" s="5" t="s">
        <v>1</v>
      </c>
      <c r="Q395" s="5" t="s">
        <v>1</v>
      </c>
      <c r="R395" s="5" t="s">
        <v>1</v>
      </c>
      <c r="S395" s="5" t="s">
        <v>1</v>
      </c>
      <c r="T395" s="5" t="s">
        <v>1</v>
      </c>
      <c r="U395" s="5" t="s">
        <v>1</v>
      </c>
      <c r="V395" s="5" t="s">
        <v>1</v>
      </c>
      <c r="W395" s="5" t="s">
        <v>1</v>
      </c>
      <c r="X395" s="5" t="s">
        <v>1</v>
      </c>
      <c r="Y395" s="5" t="s">
        <v>1</v>
      </c>
      <c r="Z395" s="5" t="s">
        <v>1</v>
      </c>
      <c r="AA395" s="95" t="s">
        <v>2187</v>
      </c>
    </row>
    <row r="396" spans="2:30">
      <c r="B396" s="1" t="s">
        <v>2186</v>
      </c>
      <c r="C396" s="26" t="s">
        <v>2180</v>
      </c>
      <c r="E396" s="25"/>
      <c r="H396" s="1" t="s">
        <v>2185</v>
      </c>
      <c r="I396" s="1" t="s">
        <v>1</v>
      </c>
      <c r="J396" s="1" t="s">
        <v>2082</v>
      </c>
      <c r="K396" s="1" t="s">
        <v>2184</v>
      </c>
      <c r="L396" s="1">
        <v>1995</v>
      </c>
    </row>
    <row r="397" spans="2:30">
      <c r="B397" s="1" t="s">
        <v>2183</v>
      </c>
      <c r="C397" s="26" t="s">
        <v>2180</v>
      </c>
      <c r="D397" s="3" t="s">
        <v>1</v>
      </c>
      <c r="E397" s="3" t="s">
        <v>1</v>
      </c>
      <c r="F397" s="3" t="s">
        <v>1</v>
      </c>
      <c r="G397" s="3" t="s">
        <v>1</v>
      </c>
      <c r="H397" s="1" t="s">
        <v>2182</v>
      </c>
      <c r="I397" s="1" t="s">
        <v>1</v>
      </c>
      <c r="J397" s="1" t="s">
        <v>1</v>
      </c>
      <c r="K397" s="1" t="s">
        <v>1</v>
      </c>
      <c r="N397" s="1" t="s">
        <v>1</v>
      </c>
      <c r="O397" s="1" t="s">
        <v>1</v>
      </c>
      <c r="P397" s="1" t="s">
        <v>1</v>
      </c>
      <c r="Q397" s="1" t="s">
        <v>1</v>
      </c>
      <c r="R397" s="1" t="s">
        <v>1</v>
      </c>
      <c r="S397" s="1" t="s">
        <v>1</v>
      </c>
      <c r="T397" s="1" t="s">
        <v>1</v>
      </c>
      <c r="U397" s="1" t="s">
        <v>1</v>
      </c>
      <c r="V397" s="1" t="s">
        <v>1</v>
      </c>
      <c r="W397" s="1" t="s">
        <v>1</v>
      </c>
      <c r="X397" s="1" t="s">
        <v>1</v>
      </c>
      <c r="Y397" s="1" t="s">
        <v>1</v>
      </c>
      <c r="Z397" s="1" t="s">
        <v>1</v>
      </c>
      <c r="AA397" s="95" t="s">
        <v>1</v>
      </c>
    </row>
    <row r="398" spans="2:30">
      <c r="B398" s="1" t="s">
        <v>2181</v>
      </c>
      <c r="C398" s="26" t="s">
        <v>2180</v>
      </c>
      <c r="D398" s="3">
        <v>50</v>
      </c>
      <c r="E398" s="1" t="s">
        <v>5</v>
      </c>
      <c r="F398" s="3">
        <v>18</v>
      </c>
      <c r="G398" s="4">
        <v>43510</v>
      </c>
      <c r="I398" s="1" t="s">
        <v>1</v>
      </c>
      <c r="J398" s="1" t="s">
        <v>2082</v>
      </c>
      <c r="L398" s="1">
        <v>2004</v>
      </c>
      <c r="N398" s="1" t="s">
        <v>2179</v>
      </c>
      <c r="O398" s="1" t="s">
        <v>4</v>
      </c>
      <c r="P398" s="25">
        <v>3.4</v>
      </c>
      <c r="Q398" s="1" t="s">
        <v>637</v>
      </c>
      <c r="R398" s="1" t="s">
        <v>1</v>
      </c>
      <c r="S398" s="1" t="s">
        <v>1</v>
      </c>
      <c r="T398" s="1" t="s">
        <v>1</v>
      </c>
      <c r="U398" s="1" t="s">
        <v>1</v>
      </c>
      <c r="V398" s="1" t="s">
        <v>1</v>
      </c>
      <c r="W398" s="1" t="s">
        <v>1</v>
      </c>
      <c r="X398" s="1" t="s">
        <v>1</v>
      </c>
      <c r="Y398" s="1" t="s">
        <v>1</v>
      </c>
      <c r="Z398" s="1" t="s">
        <v>1</v>
      </c>
      <c r="AA398" s="95" t="s">
        <v>2178</v>
      </c>
    </row>
    <row r="399" spans="2:30">
      <c r="B399" s="1" t="s">
        <v>4531</v>
      </c>
      <c r="C399" s="26" t="s">
        <v>2192</v>
      </c>
      <c r="D399" s="3">
        <v>4900</v>
      </c>
      <c r="F399" s="3">
        <v>2600</v>
      </c>
      <c r="G399" s="4"/>
      <c r="N399" s="1" t="s">
        <v>4532</v>
      </c>
      <c r="O399" s="1"/>
      <c r="Q399" s="1"/>
      <c r="R399" s="1"/>
      <c r="S399" s="1"/>
      <c r="T399" s="1"/>
      <c r="U399" s="1"/>
      <c r="V399" s="1"/>
      <c r="W399" s="1"/>
      <c r="X399" s="1"/>
      <c r="Y399" s="1"/>
      <c r="Z399" s="1"/>
    </row>
    <row r="400" spans="2:30">
      <c r="G400" s="4"/>
      <c r="AB400" s="28"/>
      <c r="AC400" s="109"/>
      <c r="AD400" s="101"/>
    </row>
    <row r="401" spans="2:30">
      <c r="B401" s="29" t="s">
        <v>2177</v>
      </c>
      <c r="G401" s="4"/>
      <c r="AB401" s="28"/>
      <c r="AC401" s="109"/>
      <c r="AD401" s="101"/>
    </row>
    <row r="402" spans="2:30">
      <c r="B402" s="1" t="s">
        <v>2145</v>
      </c>
      <c r="C402" s="26" t="s">
        <v>1720</v>
      </c>
      <c r="J402" s="1" t="s">
        <v>2082</v>
      </c>
      <c r="K402" s="1" t="s">
        <v>2116</v>
      </c>
      <c r="L402" s="1">
        <v>2022</v>
      </c>
      <c r="M402" s="1" t="s">
        <v>2144</v>
      </c>
      <c r="AA402" s="95" t="s">
        <v>2143</v>
      </c>
      <c r="AB402" s="28" t="s">
        <v>2142</v>
      </c>
      <c r="AC402" s="109"/>
      <c r="AD402" s="101"/>
    </row>
    <row r="403" spans="2:30">
      <c r="B403" s="1" t="s">
        <v>2141</v>
      </c>
      <c r="C403" s="26" t="s">
        <v>1720</v>
      </c>
      <c r="E403" s="1" t="s">
        <v>4</v>
      </c>
      <c r="J403" s="1" t="s">
        <v>2082</v>
      </c>
      <c r="K403" s="1" t="s">
        <v>2093</v>
      </c>
      <c r="L403" s="1">
        <v>2021</v>
      </c>
      <c r="AA403" s="95" t="s">
        <v>2085</v>
      </c>
      <c r="AB403" s="28" t="s">
        <v>2140</v>
      </c>
      <c r="AC403" s="109"/>
      <c r="AD403" s="101"/>
    </row>
    <row r="404" spans="2:30">
      <c r="B404" s="1" t="s">
        <v>2139</v>
      </c>
      <c r="C404" s="26" t="s">
        <v>1720</v>
      </c>
      <c r="E404" s="1" t="s">
        <v>18</v>
      </c>
      <c r="J404" s="1" t="s">
        <v>2138</v>
      </c>
      <c r="K404" s="1" t="s">
        <v>2137</v>
      </c>
      <c r="AA404" s="95" t="s">
        <v>2136</v>
      </c>
      <c r="AB404" s="28" t="s">
        <v>2135</v>
      </c>
      <c r="AC404" s="109"/>
      <c r="AD404" s="101"/>
    </row>
    <row r="405" spans="2:30">
      <c r="B405" s="1" t="s">
        <v>2134</v>
      </c>
      <c r="C405" s="26" t="s">
        <v>1720</v>
      </c>
      <c r="E405" s="1" t="s">
        <v>18</v>
      </c>
      <c r="J405" s="1" t="s">
        <v>2082</v>
      </c>
      <c r="K405" s="1" t="s">
        <v>2133</v>
      </c>
      <c r="AA405" s="95" t="s">
        <v>2132</v>
      </c>
      <c r="AB405" s="28" t="s">
        <v>2131</v>
      </c>
      <c r="AC405" s="109"/>
      <c r="AD405" s="101"/>
    </row>
    <row r="406" spans="2:30">
      <c r="B406" s="1" t="s">
        <v>2130</v>
      </c>
      <c r="C406" s="26" t="s">
        <v>1720</v>
      </c>
      <c r="E406" s="1" t="s">
        <v>8</v>
      </c>
      <c r="J406" s="1" t="s">
        <v>2082</v>
      </c>
      <c r="K406" s="1" t="s">
        <v>2093</v>
      </c>
      <c r="AA406" s="95" t="s">
        <v>2085</v>
      </c>
      <c r="AB406" s="28" t="s">
        <v>2129</v>
      </c>
      <c r="AC406" s="109"/>
      <c r="AD406" s="101"/>
    </row>
    <row r="407" spans="2:30">
      <c r="B407" s="1" t="s">
        <v>2128</v>
      </c>
      <c r="C407" s="26" t="s">
        <v>1720</v>
      </c>
      <c r="E407" s="1" t="s">
        <v>18</v>
      </c>
      <c r="J407" s="1" t="s">
        <v>2082</v>
      </c>
      <c r="K407" s="1" t="s">
        <v>2127</v>
      </c>
      <c r="AA407" s="95" t="s">
        <v>2085</v>
      </c>
      <c r="AB407" s="28" t="s">
        <v>2126</v>
      </c>
      <c r="AC407" s="109"/>
      <c r="AD407" s="101"/>
    </row>
    <row r="408" spans="2:30">
      <c r="B408" s="1" t="s">
        <v>2125</v>
      </c>
      <c r="C408" s="26" t="s">
        <v>1720</v>
      </c>
      <c r="E408" s="1" t="s">
        <v>5</v>
      </c>
      <c r="J408" s="1" t="s">
        <v>2082</v>
      </c>
      <c r="K408" s="1" t="s">
        <v>2124</v>
      </c>
      <c r="AA408" s="95" t="s">
        <v>2123</v>
      </c>
      <c r="AB408" s="28" t="s">
        <v>2122</v>
      </c>
      <c r="AC408" s="109"/>
      <c r="AD408" s="101"/>
    </row>
    <row r="409" spans="2:30">
      <c r="B409" s="1" t="s">
        <v>2121</v>
      </c>
      <c r="C409" s="26" t="s">
        <v>1720</v>
      </c>
      <c r="E409" s="1" t="s">
        <v>5</v>
      </c>
      <c r="J409" s="1" t="s">
        <v>2082</v>
      </c>
      <c r="K409" s="1" t="s">
        <v>2120</v>
      </c>
      <c r="AA409" s="95" t="s">
        <v>2119</v>
      </c>
      <c r="AB409" s="28" t="s">
        <v>2118</v>
      </c>
      <c r="AC409" s="109"/>
      <c r="AD409" s="101"/>
    </row>
    <row r="410" spans="2:30">
      <c r="B410" s="1" t="s">
        <v>2117</v>
      </c>
      <c r="C410" s="26" t="s">
        <v>1720</v>
      </c>
      <c r="E410" s="1" t="s">
        <v>18</v>
      </c>
      <c r="J410" s="1" t="s">
        <v>2082</v>
      </c>
      <c r="K410" s="1" t="s">
        <v>2116</v>
      </c>
      <c r="AA410" s="95" t="s">
        <v>2115</v>
      </c>
      <c r="AB410" s="28" t="s">
        <v>2114</v>
      </c>
      <c r="AC410" s="109"/>
      <c r="AD410" s="101"/>
    </row>
    <row r="411" spans="2:30">
      <c r="B411" s="1" t="s">
        <v>2113</v>
      </c>
      <c r="C411" s="26" t="s">
        <v>1720</v>
      </c>
      <c r="J411" s="1" t="s">
        <v>2082</v>
      </c>
      <c r="K411" s="1" t="s">
        <v>2112</v>
      </c>
      <c r="AA411" s="95" t="s">
        <v>2111</v>
      </c>
      <c r="AB411" s="28" t="s">
        <v>2110</v>
      </c>
      <c r="AC411" s="109"/>
      <c r="AD411" s="101"/>
    </row>
    <row r="412" spans="2:30">
      <c r="B412" s="1" t="s">
        <v>2109</v>
      </c>
      <c r="C412" s="26" t="s">
        <v>1720</v>
      </c>
      <c r="E412" s="1" t="s">
        <v>18</v>
      </c>
      <c r="J412" s="1" t="s">
        <v>2082</v>
      </c>
      <c r="K412" s="1" t="s">
        <v>2108</v>
      </c>
      <c r="AA412" s="95" t="s">
        <v>2085</v>
      </c>
      <c r="AB412" s="28" t="s">
        <v>2107</v>
      </c>
      <c r="AC412" s="109"/>
      <c r="AD412" s="101"/>
    </row>
    <row r="413" spans="2:30">
      <c r="B413" s="1" t="s">
        <v>2106</v>
      </c>
      <c r="C413" s="26" t="s">
        <v>1720</v>
      </c>
      <c r="E413" s="1" t="s">
        <v>7</v>
      </c>
      <c r="J413" s="1" t="s">
        <v>2099</v>
      </c>
      <c r="K413" s="1" t="s">
        <v>2105</v>
      </c>
      <c r="AA413" s="95" t="s">
        <v>2085</v>
      </c>
      <c r="AB413" s="28" t="s">
        <v>2104</v>
      </c>
      <c r="AC413" s="109"/>
      <c r="AD413" s="101"/>
    </row>
    <row r="414" spans="2:30">
      <c r="B414" s="1" t="s">
        <v>2103</v>
      </c>
      <c r="C414" s="26" t="s">
        <v>1720</v>
      </c>
      <c r="J414" s="1" t="s">
        <v>2099</v>
      </c>
      <c r="K414" s="1" t="s">
        <v>2102</v>
      </c>
      <c r="AA414" s="95" t="s">
        <v>2085</v>
      </c>
      <c r="AB414" s="28" t="s">
        <v>2101</v>
      </c>
      <c r="AC414" s="109"/>
      <c r="AD414" s="101"/>
    </row>
    <row r="415" spans="2:30">
      <c r="B415" s="1" t="s">
        <v>2100</v>
      </c>
      <c r="C415" s="26" t="s">
        <v>1720</v>
      </c>
      <c r="E415" s="1" t="s">
        <v>7</v>
      </c>
      <c r="J415" s="1" t="s">
        <v>2099</v>
      </c>
      <c r="K415" s="1" t="s">
        <v>2098</v>
      </c>
      <c r="M415" s="1" t="s">
        <v>2097</v>
      </c>
      <c r="AA415" s="95" t="s">
        <v>2096</v>
      </c>
      <c r="AB415" s="28" t="s">
        <v>2095</v>
      </c>
      <c r="AC415" s="109"/>
      <c r="AD415" s="101"/>
    </row>
    <row r="416" spans="2:30">
      <c r="B416" s="1" t="s">
        <v>2094</v>
      </c>
      <c r="C416" s="26" t="s">
        <v>1720</v>
      </c>
      <c r="E416" s="1" t="s">
        <v>7</v>
      </c>
      <c r="J416" s="1" t="s">
        <v>2082</v>
      </c>
      <c r="K416" s="1" t="s">
        <v>2093</v>
      </c>
      <c r="AA416" s="95" t="s">
        <v>2092</v>
      </c>
      <c r="AB416" s="28" t="s">
        <v>2091</v>
      </c>
      <c r="AC416" s="109"/>
      <c r="AD416" s="101"/>
    </row>
    <row r="417" spans="2:30">
      <c r="B417" s="1" t="s">
        <v>2090</v>
      </c>
      <c r="C417" s="26" t="s">
        <v>1720</v>
      </c>
      <c r="J417" s="1" t="s">
        <v>2082</v>
      </c>
      <c r="K417" s="1" t="s">
        <v>2089</v>
      </c>
      <c r="AA417" s="95" t="s">
        <v>2088</v>
      </c>
      <c r="AB417" s="28" t="s">
        <v>2087</v>
      </c>
      <c r="AC417" s="109"/>
      <c r="AD417" s="101"/>
    </row>
    <row r="418" spans="2:30">
      <c r="B418" s="1" t="s">
        <v>2086</v>
      </c>
      <c r="C418" s="26" t="s">
        <v>1720</v>
      </c>
      <c r="E418" s="1" t="s">
        <v>5</v>
      </c>
      <c r="AA418" s="95" t="s">
        <v>2085</v>
      </c>
      <c r="AB418" s="28" t="s">
        <v>2084</v>
      </c>
      <c r="AC418" s="109"/>
      <c r="AD418" s="101"/>
    </row>
    <row r="419" spans="2:30">
      <c r="B419" s="1" t="s">
        <v>2083</v>
      </c>
      <c r="C419" s="26" t="s">
        <v>1720</v>
      </c>
      <c r="E419" s="1" t="s">
        <v>7</v>
      </c>
      <c r="J419" s="1" t="s">
        <v>2082</v>
      </c>
      <c r="K419" s="1" t="s">
        <v>2081</v>
      </c>
      <c r="AA419" s="95" t="s">
        <v>2080</v>
      </c>
      <c r="AB419" s="28" t="s">
        <v>2079</v>
      </c>
      <c r="AC419" s="109"/>
      <c r="AD419" s="101"/>
    </row>
    <row r="420" spans="2:30">
      <c r="B420" s="1" t="s">
        <v>2078</v>
      </c>
    </row>
    <row r="421" spans="2:30">
      <c r="B421" s="1" t="s">
        <v>2077</v>
      </c>
    </row>
    <row r="422" spans="2:30">
      <c r="B422" s="1" t="s">
        <v>2076</v>
      </c>
    </row>
    <row r="423" spans="2:30">
      <c r="B423" s="1" t="s">
        <v>2075</v>
      </c>
    </row>
    <row r="424" spans="2:30">
      <c r="B424" s="1" t="s">
        <v>2074</v>
      </c>
    </row>
    <row r="425" spans="2:30">
      <c r="B425" s="1" t="s">
        <v>2073</v>
      </c>
      <c r="C425" s="26" t="s">
        <v>2180</v>
      </c>
      <c r="L425" s="1" t="s">
        <v>4461</v>
      </c>
    </row>
    <row r="426" spans="2:30">
      <c r="B426" s="1" t="s">
        <v>2072</v>
      </c>
    </row>
    <row r="427" spans="2:30">
      <c r="B427" s="1" t="s">
        <v>2071</v>
      </c>
    </row>
    <row r="428" spans="2:30">
      <c r="B428" s="1" t="s">
        <v>2070</v>
      </c>
    </row>
    <row r="429" spans="2:30">
      <c r="B429" s="1" t="s">
        <v>2069</v>
      </c>
    </row>
    <row r="430" spans="2:30">
      <c r="B430" s="1" t="s">
        <v>2068</v>
      </c>
      <c r="C430" s="26" t="s">
        <v>1720</v>
      </c>
      <c r="E430" s="1" t="s">
        <v>5</v>
      </c>
      <c r="F430" s="3">
        <v>23.9</v>
      </c>
      <c r="AA430" s="95" t="s">
        <v>2085</v>
      </c>
      <c r="AB430" s="28" t="s">
        <v>4450</v>
      </c>
      <c r="AC430" s="109"/>
      <c r="AD430" s="101"/>
    </row>
    <row r="431" spans="2:30">
      <c r="B431" s="1" t="s">
        <v>2067</v>
      </c>
    </row>
    <row r="432" spans="2:30">
      <c r="B432" s="1" t="s">
        <v>2066</v>
      </c>
    </row>
    <row r="433" spans="2:2">
      <c r="B433" s="1" t="s">
        <v>2065</v>
      </c>
    </row>
    <row r="434" spans="2:2">
      <c r="B434" s="1" t="s">
        <v>2064</v>
      </c>
    </row>
    <row r="435" spans="2:2">
      <c r="B435" s="1" t="s">
        <v>2063</v>
      </c>
    </row>
    <row r="436" spans="2:2">
      <c r="B436" s="1" t="s">
        <v>2061</v>
      </c>
    </row>
    <row r="437" spans="2:2">
      <c r="B437" s="1" t="s">
        <v>2060</v>
      </c>
    </row>
    <row r="438" spans="2:2">
      <c r="B438" s="1" t="s">
        <v>2059</v>
      </c>
    </row>
    <row r="439" spans="2:2">
      <c r="B439" s="1" t="s">
        <v>2058</v>
      </c>
    </row>
    <row r="440" spans="2:2">
      <c r="B440" s="1" t="s">
        <v>2057</v>
      </c>
    </row>
    <row r="441" spans="2:2">
      <c r="B441" s="1" t="s">
        <v>2056</v>
      </c>
    </row>
    <row r="442" spans="2:2">
      <c r="B442" s="1" t="s">
        <v>2055</v>
      </c>
    </row>
    <row r="443" spans="2:2">
      <c r="B443" s="1" t="s">
        <v>2054</v>
      </c>
    </row>
    <row r="444" spans="2:2">
      <c r="B444" s="1" t="s">
        <v>2053</v>
      </c>
    </row>
    <row r="445" spans="2:2">
      <c r="B445" s="1" t="s">
        <v>2052</v>
      </c>
    </row>
    <row r="446" spans="2:2">
      <c r="B446" s="1" t="s">
        <v>2051</v>
      </c>
    </row>
    <row r="447" spans="2:2">
      <c r="B447" s="1" t="s">
        <v>2050</v>
      </c>
    </row>
    <row r="448" spans="2:2">
      <c r="B448" s="1" t="s">
        <v>2049</v>
      </c>
    </row>
    <row r="449" spans="2:2">
      <c r="B449" s="1" t="s">
        <v>2048</v>
      </c>
    </row>
    <row r="450" spans="2:2">
      <c r="B450" s="1" t="s">
        <v>2047</v>
      </c>
    </row>
    <row r="451" spans="2:2">
      <c r="B451" s="1" t="s">
        <v>2046</v>
      </c>
    </row>
    <row r="452" spans="2:2">
      <c r="B452" s="1" t="s">
        <v>2045</v>
      </c>
    </row>
    <row r="453" spans="2:2">
      <c r="B453" s="1" t="s">
        <v>2044</v>
      </c>
    </row>
    <row r="454" spans="2:2">
      <c r="B454" s="1" t="s">
        <v>2043</v>
      </c>
    </row>
    <row r="455" spans="2:2">
      <c r="B455" s="1" t="s">
        <v>2042</v>
      </c>
    </row>
    <row r="456" spans="2:2">
      <c r="B456" s="1" t="s">
        <v>2041</v>
      </c>
    </row>
    <row r="457" spans="2:2">
      <c r="B457" s="1" t="s">
        <v>2040</v>
      </c>
    </row>
    <row r="458" spans="2:2">
      <c r="B458" s="1" t="s">
        <v>2039</v>
      </c>
    </row>
    <row r="459" spans="2:2">
      <c r="B459" s="1" t="s">
        <v>2038</v>
      </c>
    </row>
    <row r="460" spans="2:2">
      <c r="B460" s="1" t="s">
        <v>2037</v>
      </c>
    </row>
    <row r="461" spans="2:2">
      <c r="B461" s="1" t="s">
        <v>2036</v>
      </c>
    </row>
    <row r="462" spans="2:2">
      <c r="B462" s="12" t="s">
        <v>2035</v>
      </c>
    </row>
    <row r="463" spans="2:2">
      <c r="B463" s="1" t="s">
        <v>2034</v>
      </c>
    </row>
    <row r="464" spans="2:2">
      <c r="B464" s="1" t="s">
        <v>2033</v>
      </c>
    </row>
    <row r="465" spans="2:13">
      <c r="B465" s="1" t="s">
        <v>2032</v>
      </c>
    </row>
    <row r="466" spans="2:13">
      <c r="B466" s="1" t="s">
        <v>2031</v>
      </c>
    </row>
    <row r="467" spans="2:13">
      <c r="B467" s="1" t="s">
        <v>1604</v>
      </c>
    </row>
    <row r="468" spans="2:13">
      <c r="B468" s="1" t="s">
        <v>2030</v>
      </c>
      <c r="M468" s="1" t="s">
        <v>1929</v>
      </c>
    </row>
    <row r="469" spans="2:13">
      <c r="B469" s="12" t="s">
        <v>2029</v>
      </c>
    </row>
    <row r="470" spans="2:13">
      <c r="B470" s="1" t="s">
        <v>2028</v>
      </c>
    </row>
    <row r="471" spans="2:13">
      <c r="B471" s="1" t="s">
        <v>2027</v>
      </c>
    </row>
    <row r="472" spans="2:13">
      <c r="B472" s="1" t="s">
        <v>2026</v>
      </c>
    </row>
    <row r="473" spans="2:13">
      <c r="B473" s="1" t="s">
        <v>2025</v>
      </c>
    </row>
    <row r="474" spans="2:13">
      <c r="B474" s="1" t="s">
        <v>2024</v>
      </c>
    </row>
    <row r="475" spans="2:13">
      <c r="B475" s="1" t="s">
        <v>2023</v>
      </c>
    </row>
    <row r="476" spans="2:13">
      <c r="B476" s="1" t="s">
        <v>2022</v>
      </c>
    </row>
    <row r="477" spans="2:13">
      <c r="B477" s="1" t="s">
        <v>2021</v>
      </c>
      <c r="M477" s="1" t="s">
        <v>1929</v>
      </c>
    </row>
    <row r="478" spans="2:13">
      <c r="B478" s="1" t="s">
        <v>2020</v>
      </c>
    </row>
    <row r="479" spans="2:13">
      <c r="B479" s="1" t="s">
        <v>2019</v>
      </c>
    </row>
    <row r="480" spans="2:13">
      <c r="B480" s="1" t="s">
        <v>2018</v>
      </c>
    </row>
    <row r="481" spans="2:2">
      <c r="B481" s="1" t="s">
        <v>2017</v>
      </c>
    </row>
    <row r="482" spans="2:2">
      <c r="B482" s="1" t="s">
        <v>2016</v>
      </c>
    </row>
    <row r="483" spans="2:2">
      <c r="B483" s="1" t="s">
        <v>2015</v>
      </c>
    </row>
    <row r="484" spans="2:2">
      <c r="B484" s="1" t="s">
        <v>2014</v>
      </c>
    </row>
    <row r="485" spans="2:2">
      <c r="B485" s="1" t="s">
        <v>2013</v>
      </c>
    </row>
    <row r="486" spans="2:2">
      <c r="B486" s="1" t="s">
        <v>2012</v>
      </c>
    </row>
    <row r="487" spans="2:2">
      <c r="B487" s="1" t="s">
        <v>2011</v>
      </c>
    </row>
    <row r="488" spans="2:2">
      <c r="B488" s="1" t="s">
        <v>2010</v>
      </c>
    </row>
    <row r="489" spans="2:2">
      <c r="B489" s="12" t="s">
        <v>2009</v>
      </c>
    </row>
    <row r="490" spans="2:2">
      <c r="B490" s="1" t="s">
        <v>2008</v>
      </c>
    </row>
    <row r="491" spans="2:2">
      <c r="B491" s="1" t="s">
        <v>2007</v>
      </c>
    </row>
    <row r="492" spans="2:2">
      <c r="B492" s="1" t="s">
        <v>2006</v>
      </c>
    </row>
    <row r="493" spans="2:2">
      <c r="B493" s="1" t="s">
        <v>2005</v>
      </c>
    </row>
    <row r="494" spans="2:2">
      <c r="B494" s="1" t="s">
        <v>2004</v>
      </c>
    </row>
    <row r="495" spans="2:2">
      <c r="B495" s="1" t="s">
        <v>2003</v>
      </c>
    </row>
    <row r="496" spans="2:2">
      <c r="B496" s="1" t="s">
        <v>2002</v>
      </c>
    </row>
    <row r="497" spans="2:2">
      <c r="B497" s="1" t="s">
        <v>2001</v>
      </c>
    </row>
    <row r="498" spans="2:2">
      <c r="B498" s="1" t="s">
        <v>2000</v>
      </c>
    </row>
    <row r="499" spans="2:2">
      <c r="B499" s="1" t="s">
        <v>1999</v>
      </c>
    </row>
    <row r="500" spans="2:2">
      <c r="B500" s="1" t="s">
        <v>1998</v>
      </c>
    </row>
    <row r="501" spans="2:2">
      <c r="B501" s="1" t="s">
        <v>1997</v>
      </c>
    </row>
    <row r="502" spans="2:2">
      <c r="B502" s="1" t="s">
        <v>1996</v>
      </c>
    </row>
    <row r="503" spans="2:2">
      <c r="B503" s="1" t="s">
        <v>1995</v>
      </c>
    </row>
    <row r="504" spans="2:2">
      <c r="B504" s="1" t="s">
        <v>1994</v>
      </c>
    </row>
    <row r="505" spans="2:2">
      <c r="B505" s="1" t="s">
        <v>1993</v>
      </c>
    </row>
    <row r="506" spans="2:2">
      <c r="B506" s="1" t="s">
        <v>1992</v>
      </c>
    </row>
    <row r="507" spans="2:2">
      <c r="B507" s="1" t="s">
        <v>1991</v>
      </c>
    </row>
    <row r="508" spans="2:2">
      <c r="B508" s="1" t="s">
        <v>1990</v>
      </c>
    </row>
    <row r="509" spans="2:2">
      <c r="B509" s="1" t="s">
        <v>1989</v>
      </c>
    </row>
    <row r="510" spans="2:2">
      <c r="B510" s="1" t="s">
        <v>1988</v>
      </c>
    </row>
    <row r="511" spans="2:2">
      <c r="B511" s="1" t="s">
        <v>1987</v>
      </c>
    </row>
    <row r="512" spans="2:2">
      <c r="B512" s="1" t="s">
        <v>1986</v>
      </c>
    </row>
    <row r="513" spans="2:13">
      <c r="B513" s="1" t="s">
        <v>1985</v>
      </c>
    </row>
    <row r="514" spans="2:13">
      <c r="B514" s="1" t="s">
        <v>1984</v>
      </c>
    </row>
    <row r="515" spans="2:13">
      <c r="B515" s="1" t="s">
        <v>1983</v>
      </c>
    </row>
    <row r="516" spans="2:13">
      <c r="B516" s="1" t="s">
        <v>1982</v>
      </c>
    </row>
    <row r="517" spans="2:13">
      <c r="B517" s="1" t="s">
        <v>1981</v>
      </c>
      <c r="M517" s="1" t="s">
        <v>1929</v>
      </c>
    </row>
    <row r="518" spans="2:13">
      <c r="B518" s="1" t="s">
        <v>1980</v>
      </c>
    </row>
    <row r="519" spans="2:13">
      <c r="B519" s="1" t="s">
        <v>1979</v>
      </c>
    </row>
    <row r="520" spans="2:13">
      <c r="B520" s="1" t="s">
        <v>1978</v>
      </c>
    </row>
    <row r="521" spans="2:13">
      <c r="B521" s="1" t="s">
        <v>1977</v>
      </c>
    </row>
    <row r="522" spans="2:13">
      <c r="B522" s="1" t="s">
        <v>1976</v>
      </c>
    </row>
    <row r="523" spans="2:13">
      <c r="B523" s="1" t="s">
        <v>1975</v>
      </c>
    </row>
    <row r="524" spans="2:13">
      <c r="B524" s="1" t="s">
        <v>1974</v>
      </c>
    </row>
    <row r="525" spans="2:13">
      <c r="B525" s="1" t="s">
        <v>1973</v>
      </c>
    </row>
    <row r="526" spans="2:13">
      <c r="B526" s="1" t="s">
        <v>1972</v>
      </c>
    </row>
    <row r="527" spans="2:13">
      <c r="B527" s="1" t="s">
        <v>1971</v>
      </c>
    </row>
    <row r="528" spans="2:13">
      <c r="B528" s="1" t="s">
        <v>1272</v>
      </c>
    </row>
    <row r="529" spans="2:13">
      <c r="B529" s="1" t="s">
        <v>1970</v>
      </c>
    </row>
    <row r="530" spans="2:13">
      <c r="B530" s="1" t="s">
        <v>1969</v>
      </c>
    </row>
    <row r="531" spans="2:13">
      <c r="B531" s="1" t="s">
        <v>1968</v>
      </c>
    </row>
    <row r="532" spans="2:13">
      <c r="B532" s="1" t="s">
        <v>1967</v>
      </c>
    </row>
    <row r="533" spans="2:13">
      <c r="B533" s="1" t="s">
        <v>1966</v>
      </c>
    </row>
    <row r="534" spans="2:13">
      <c r="B534" s="1" t="s">
        <v>1965</v>
      </c>
    </row>
    <row r="535" spans="2:13">
      <c r="B535" s="1" t="s">
        <v>1964</v>
      </c>
    </row>
    <row r="536" spans="2:13">
      <c r="B536" s="1" t="s">
        <v>1963</v>
      </c>
    </row>
    <row r="537" spans="2:13">
      <c r="B537" s="1" t="s">
        <v>1276</v>
      </c>
    </row>
    <row r="538" spans="2:13">
      <c r="B538" s="1" t="s">
        <v>1962</v>
      </c>
    </row>
    <row r="539" spans="2:13">
      <c r="B539" s="1" t="s">
        <v>1961</v>
      </c>
    </row>
    <row r="540" spans="2:13">
      <c r="B540" s="1" t="s">
        <v>1960</v>
      </c>
      <c r="M540" s="1" t="s">
        <v>1929</v>
      </c>
    </row>
    <row r="541" spans="2:13">
      <c r="B541" s="1" t="s">
        <v>1959</v>
      </c>
    </row>
    <row r="542" spans="2:13">
      <c r="B542" s="1" t="s">
        <v>1958</v>
      </c>
      <c r="M542" s="1" t="s">
        <v>1929</v>
      </c>
    </row>
    <row r="543" spans="2:13">
      <c r="B543" s="1" t="s">
        <v>1957</v>
      </c>
    </row>
    <row r="544" spans="2:13">
      <c r="B544" s="1" t="s">
        <v>1956</v>
      </c>
    </row>
    <row r="545" spans="2:13">
      <c r="B545" s="1" t="s">
        <v>1955</v>
      </c>
    </row>
    <row r="546" spans="2:13">
      <c r="B546" s="1" t="s">
        <v>1954</v>
      </c>
    </row>
    <row r="547" spans="2:13">
      <c r="B547" s="1" t="s">
        <v>1316</v>
      </c>
    </row>
    <row r="548" spans="2:13">
      <c r="B548" s="1" t="s">
        <v>1953</v>
      </c>
    </row>
    <row r="549" spans="2:13">
      <c r="B549" s="1" t="s">
        <v>1952</v>
      </c>
    </row>
    <row r="550" spans="2:13">
      <c r="B550" s="1" t="s">
        <v>1951</v>
      </c>
    </row>
    <row r="551" spans="2:13">
      <c r="B551" s="1" t="s">
        <v>1950</v>
      </c>
    </row>
    <row r="552" spans="2:13">
      <c r="B552" s="1" t="s">
        <v>1949</v>
      </c>
    </row>
    <row r="553" spans="2:13">
      <c r="B553" s="1" t="s">
        <v>1948</v>
      </c>
    </row>
    <row r="554" spans="2:13">
      <c r="B554" s="1" t="s">
        <v>1947</v>
      </c>
      <c r="M554" s="1" t="s">
        <v>1929</v>
      </c>
    </row>
    <row r="555" spans="2:13">
      <c r="B555" s="1" t="s">
        <v>1946</v>
      </c>
      <c r="I555" s="1" t="s">
        <v>1945</v>
      </c>
    </row>
    <row r="556" spans="2:13">
      <c r="B556" s="1" t="s">
        <v>1944</v>
      </c>
      <c r="M556" s="1" t="s">
        <v>1929</v>
      </c>
    </row>
    <row r="557" spans="2:13">
      <c r="B557" s="1" t="s">
        <v>1943</v>
      </c>
      <c r="M557" s="1" t="s">
        <v>1929</v>
      </c>
    </row>
    <row r="558" spans="2:13">
      <c r="B558" s="1" t="s">
        <v>1942</v>
      </c>
      <c r="M558" s="1" t="s">
        <v>1929</v>
      </c>
    </row>
    <row r="559" spans="2:13">
      <c r="B559" s="1" t="s">
        <v>1941</v>
      </c>
      <c r="M559" s="1" t="s">
        <v>1929</v>
      </c>
    </row>
    <row r="560" spans="2:13">
      <c r="B560" s="1" t="s">
        <v>1940</v>
      </c>
      <c r="M560" s="1" t="s">
        <v>1929</v>
      </c>
    </row>
    <row r="561" spans="2:13">
      <c r="B561" s="1" t="s">
        <v>1939</v>
      </c>
      <c r="M561" s="1" t="s">
        <v>1938</v>
      </c>
    </row>
    <row r="562" spans="2:13">
      <c r="B562" s="1" t="s">
        <v>1937</v>
      </c>
      <c r="M562" s="1" t="s">
        <v>1929</v>
      </c>
    </row>
    <row r="563" spans="2:13">
      <c r="B563" s="1" t="s">
        <v>1936</v>
      </c>
      <c r="M563" s="1" t="s">
        <v>1929</v>
      </c>
    </row>
    <row r="564" spans="2:13">
      <c r="B564" s="1" t="s">
        <v>1935</v>
      </c>
      <c r="M564" s="1" t="s">
        <v>1929</v>
      </c>
    </row>
    <row r="565" spans="2:13">
      <c r="B565" s="1" t="s">
        <v>1934</v>
      </c>
      <c r="M565" s="1" t="s">
        <v>1929</v>
      </c>
    </row>
    <row r="566" spans="2:13">
      <c r="B566" s="1" t="s">
        <v>1933</v>
      </c>
      <c r="M566" s="1" t="s">
        <v>1929</v>
      </c>
    </row>
    <row r="567" spans="2:13">
      <c r="B567" s="1" t="s">
        <v>1932</v>
      </c>
      <c r="M567" s="1" t="s">
        <v>1929</v>
      </c>
    </row>
    <row r="568" spans="2:13">
      <c r="B568" s="1" t="s">
        <v>1931</v>
      </c>
      <c r="M568" s="1" t="s">
        <v>1929</v>
      </c>
    </row>
    <row r="569" spans="2:13">
      <c r="B569" s="1" t="s">
        <v>1930</v>
      </c>
      <c r="M569" s="1" t="s">
        <v>1929</v>
      </c>
    </row>
    <row r="570" spans="2:13">
      <c r="B570" s="1" t="s">
        <v>1928</v>
      </c>
    </row>
    <row r="571" spans="2:13">
      <c r="B571" s="1" t="s">
        <v>1927</v>
      </c>
    </row>
    <row r="572" spans="2:13">
      <c r="B572" s="1" t="s">
        <v>1926</v>
      </c>
    </row>
    <row r="573" spans="2:13">
      <c r="B573" s="1" t="s">
        <v>1925</v>
      </c>
    </row>
    <row r="574" spans="2:13">
      <c r="B574" s="1" t="s">
        <v>1924</v>
      </c>
    </row>
    <row r="575" spans="2:13">
      <c r="B575" s="1" t="s">
        <v>1923</v>
      </c>
    </row>
    <row r="576" spans="2:13">
      <c r="B576" s="1" t="s">
        <v>1922</v>
      </c>
    </row>
    <row r="577" spans="2:2">
      <c r="B577" s="1" t="s">
        <v>1921</v>
      </c>
    </row>
    <row r="578" spans="2:2">
      <c r="B578" s="1" t="s">
        <v>1920</v>
      </c>
    </row>
    <row r="579" spans="2:2">
      <c r="B579" s="1" t="s">
        <v>1919</v>
      </c>
    </row>
    <row r="580" spans="2:2">
      <c r="B580" s="1" t="s">
        <v>1918</v>
      </c>
    </row>
    <row r="581" spans="2:2">
      <c r="B581" s="1" t="s">
        <v>1917</v>
      </c>
    </row>
    <row r="582" spans="2:2">
      <c r="B582" s="1" t="s">
        <v>1916</v>
      </c>
    </row>
    <row r="583" spans="2:2">
      <c r="B583" s="1" t="s">
        <v>1915</v>
      </c>
    </row>
    <row r="584" spans="2:2">
      <c r="B584" s="1" t="s">
        <v>1914</v>
      </c>
    </row>
    <row r="585" spans="2:2">
      <c r="B585" s="1" t="s">
        <v>1913</v>
      </c>
    </row>
    <row r="586" spans="2:2">
      <c r="B586" s="1" t="s">
        <v>1912</v>
      </c>
    </row>
    <row r="587" spans="2:2">
      <c r="B587" s="1" t="s">
        <v>1911</v>
      </c>
    </row>
    <row r="588" spans="2:2">
      <c r="B588" s="1" t="s">
        <v>1910</v>
      </c>
    </row>
    <row r="589" spans="2:2">
      <c r="B589" s="1" t="s">
        <v>1909</v>
      </c>
    </row>
    <row r="590" spans="2:2">
      <c r="B590" s="1" t="s">
        <v>1908</v>
      </c>
    </row>
    <row r="591" spans="2:2">
      <c r="B591" s="1" t="s">
        <v>1907</v>
      </c>
    </row>
    <row r="592" spans="2:2">
      <c r="B592" s="1" t="s">
        <v>1906</v>
      </c>
    </row>
    <row r="593" spans="2:2">
      <c r="B593" s="1" t="s">
        <v>1905</v>
      </c>
    </row>
    <row r="594" spans="2:2">
      <c r="B594" s="1" t="s">
        <v>1904</v>
      </c>
    </row>
    <row r="595" spans="2:2">
      <c r="B595" s="1" t="s">
        <v>1903</v>
      </c>
    </row>
    <row r="596" spans="2:2">
      <c r="B596" s="1" t="s">
        <v>1902</v>
      </c>
    </row>
    <row r="597" spans="2:2">
      <c r="B597" s="1" t="s">
        <v>1901</v>
      </c>
    </row>
    <row r="598" spans="2:2">
      <c r="B598" s="1" t="s">
        <v>1900</v>
      </c>
    </row>
    <row r="599" spans="2:2">
      <c r="B599" s="1" t="s">
        <v>1899</v>
      </c>
    </row>
    <row r="600" spans="2:2">
      <c r="B600" s="1" t="s">
        <v>1898</v>
      </c>
    </row>
    <row r="601" spans="2:2">
      <c r="B601" s="1" t="s">
        <v>1897</v>
      </c>
    </row>
    <row r="602" spans="2:2">
      <c r="B602" s="1" t="s">
        <v>1896</v>
      </c>
    </row>
    <row r="603" spans="2:2">
      <c r="B603" s="1" t="s">
        <v>1895</v>
      </c>
    </row>
    <row r="604" spans="2:2">
      <c r="B604" s="1" t="s">
        <v>1894</v>
      </c>
    </row>
    <row r="605" spans="2:2">
      <c r="B605" s="1" t="s">
        <v>1893</v>
      </c>
    </row>
    <row r="606" spans="2:2">
      <c r="B606" s="1" t="s">
        <v>1892</v>
      </c>
    </row>
    <row r="607" spans="2:2">
      <c r="B607" s="1" t="s">
        <v>1891</v>
      </c>
    </row>
    <row r="608" spans="2:2">
      <c r="B608" s="1" t="s">
        <v>1890</v>
      </c>
    </row>
    <row r="609" spans="2:13">
      <c r="B609" s="1" t="s">
        <v>1889</v>
      </c>
    </row>
    <row r="610" spans="2:13">
      <c r="B610" s="1" t="s">
        <v>1888</v>
      </c>
    </row>
    <row r="611" spans="2:13">
      <c r="B611" s="1" t="s">
        <v>1887</v>
      </c>
    </row>
    <row r="612" spans="2:13">
      <c r="B612" s="1" t="s">
        <v>1886</v>
      </c>
    </row>
    <row r="613" spans="2:13">
      <c r="B613" s="1" t="s">
        <v>1885</v>
      </c>
    </row>
    <row r="614" spans="2:13">
      <c r="B614" s="1" t="s">
        <v>1884</v>
      </c>
    </row>
    <row r="615" spans="2:13">
      <c r="B615" s="1" t="s">
        <v>1883</v>
      </c>
    </row>
    <row r="616" spans="2:13">
      <c r="B616" s="1" t="s">
        <v>1882</v>
      </c>
    </row>
    <row r="617" spans="2:13">
      <c r="B617" s="1" t="s">
        <v>1881</v>
      </c>
    </row>
    <row r="618" spans="2:13">
      <c r="B618" s="1" t="s">
        <v>1880</v>
      </c>
    </row>
    <row r="619" spans="2:13">
      <c r="B619" s="1" t="s">
        <v>1879</v>
      </c>
    </row>
    <row r="620" spans="2:13">
      <c r="B620" s="1" t="s">
        <v>1878</v>
      </c>
      <c r="C620" s="26" t="s">
        <v>1720</v>
      </c>
      <c r="M620" s="1" t="s">
        <v>1735</v>
      </c>
    </row>
    <row r="621" spans="2:13">
      <c r="B621" s="1" t="s">
        <v>1877</v>
      </c>
      <c r="C621" s="26" t="s">
        <v>1720</v>
      </c>
    </row>
    <row r="622" spans="2:13">
      <c r="B622" s="1" t="s">
        <v>1876</v>
      </c>
      <c r="C622" s="26" t="s">
        <v>1720</v>
      </c>
      <c r="M622" s="1" t="s">
        <v>1834</v>
      </c>
    </row>
    <row r="623" spans="2:13">
      <c r="B623" s="1" t="s">
        <v>1875</v>
      </c>
      <c r="C623" s="26" t="s">
        <v>1720</v>
      </c>
      <c r="M623" s="1" t="s">
        <v>1834</v>
      </c>
    </row>
    <row r="624" spans="2:13">
      <c r="B624" s="1" t="s">
        <v>1874</v>
      </c>
      <c r="C624" s="26" t="s">
        <v>1720</v>
      </c>
      <c r="M624" s="1" t="s">
        <v>1834</v>
      </c>
    </row>
    <row r="625" spans="2:13">
      <c r="B625" s="1" t="s">
        <v>1873</v>
      </c>
      <c r="C625" s="26" t="s">
        <v>1720</v>
      </c>
      <c r="M625" s="1" t="s">
        <v>1834</v>
      </c>
    </row>
    <row r="626" spans="2:13">
      <c r="B626" s="1" t="s">
        <v>1872</v>
      </c>
      <c r="C626" s="26" t="s">
        <v>1720</v>
      </c>
      <c r="M626" s="1" t="s">
        <v>1834</v>
      </c>
    </row>
    <row r="627" spans="2:13">
      <c r="B627" s="1" t="s">
        <v>1871</v>
      </c>
      <c r="C627" s="26" t="s">
        <v>1720</v>
      </c>
      <c r="M627" s="1" t="s">
        <v>1834</v>
      </c>
    </row>
    <row r="628" spans="2:13">
      <c r="B628" s="1" t="s">
        <v>1870</v>
      </c>
      <c r="C628" s="26" t="s">
        <v>1720</v>
      </c>
      <c r="M628" s="1" t="s">
        <v>1834</v>
      </c>
    </row>
    <row r="629" spans="2:13">
      <c r="B629" s="1" t="s">
        <v>1869</v>
      </c>
      <c r="C629" s="26" t="s">
        <v>1720</v>
      </c>
      <c r="M629" s="1" t="s">
        <v>1834</v>
      </c>
    </row>
    <row r="630" spans="2:13">
      <c r="B630" s="1" t="s">
        <v>1868</v>
      </c>
      <c r="C630" s="26" t="s">
        <v>1720</v>
      </c>
      <c r="M630" s="1" t="s">
        <v>1834</v>
      </c>
    </row>
    <row r="631" spans="2:13">
      <c r="B631" s="1" t="s">
        <v>1867</v>
      </c>
      <c r="C631" s="26" t="s">
        <v>1720</v>
      </c>
      <c r="M631" s="1" t="s">
        <v>1834</v>
      </c>
    </row>
    <row r="632" spans="2:13">
      <c r="B632" s="1" t="s">
        <v>1866</v>
      </c>
      <c r="C632" s="26" t="s">
        <v>1720</v>
      </c>
      <c r="M632" s="1" t="s">
        <v>1834</v>
      </c>
    </row>
    <row r="633" spans="2:13">
      <c r="B633" s="1" t="s">
        <v>1865</v>
      </c>
      <c r="C633" s="26" t="s">
        <v>1720</v>
      </c>
      <c r="M633" s="1" t="s">
        <v>1834</v>
      </c>
    </row>
    <row r="634" spans="2:13">
      <c r="B634" s="1" t="s">
        <v>1864</v>
      </c>
      <c r="C634" s="26" t="s">
        <v>1720</v>
      </c>
      <c r="M634" s="1" t="s">
        <v>1834</v>
      </c>
    </row>
    <row r="635" spans="2:13">
      <c r="B635" s="1" t="s">
        <v>1863</v>
      </c>
      <c r="C635" s="26" t="s">
        <v>1720</v>
      </c>
      <c r="M635" s="1" t="s">
        <v>1834</v>
      </c>
    </row>
    <row r="636" spans="2:13">
      <c r="B636" s="1" t="s">
        <v>1862</v>
      </c>
      <c r="C636" s="26" t="s">
        <v>1720</v>
      </c>
      <c r="M636" s="1" t="s">
        <v>1834</v>
      </c>
    </row>
    <row r="637" spans="2:13">
      <c r="B637" s="1" t="s">
        <v>1861</v>
      </c>
      <c r="C637" s="26" t="s">
        <v>1720</v>
      </c>
      <c r="M637" s="1" t="s">
        <v>1834</v>
      </c>
    </row>
    <row r="638" spans="2:13">
      <c r="B638" s="1" t="s">
        <v>1860</v>
      </c>
      <c r="C638" s="26" t="s">
        <v>1720</v>
      </c>
      <c r="M638" s="1" t="s">
        <v>1834</v>
      </c>
    </row>
    <row r="639" spans="2:13">
      <c r="B639" s="1" t="s">
        <v>1859</v>
      </c>
      <c r="C639" s="26" t="s">
        <v>1720</v>
      </c>
      <c r="M639" s="1" t="s">
        <v>1834</v>
      </c>
    </row>
    <row r="640" spans="2:13">
      <c r="B640" s="1" t="s">
        <v>1858</v>
      </c>
      <c r="C640" s="26" t="s">
        <v>1720</v>
      </c>
      <c r="M640" s="1" t="s">
        <v>1834</v>
      </c>
    </row>
    <row r="641" spans="2:13">
      <c r="B641" s="1" t="s">
        <v>1857</v>
      </c>
      <c r="C641" s="26" t="s">
        <v>1720</v>
      </c>
      <c r="M641" s="1" t="s">
        <v>1834</v>
      </c>
    </row>
    <row r="642" spans="2:13">
      <c r="B642" s="1" t="s">
        <v>1856</v>
      </c>
      <c r="C642" s="26" t="s">
        <v>1720</v>
      </c>
      <c r="M642" s="1" t="s">
        <v>1834</v>
      </c>
    </row>
    <row r="643" spans="2:13">
      <c r="B643" s="1" t="s">
        <v>1855</v>
      </c>
      <c r="C643" s="26" t="s">
        <v>1720</v>
      </c>
      <c r="M643" s="1" t="s">
        <v>1834</v>
      </c>
    </row>
    <row r="644" spans="2:13">
      <c r="B644" s="1" t="s">
        <v>1854</v>
      </c>
      <c r="C644" s="26" t="s">
        <v>1720</v>
      </c>
      <c r="M644" s="1" t="s">
        <v>1834</v>
      </c>
    </row>
    <row r="645" spans="2:13">
      <c r="B645" s="1" t="s">
        <v>1853</v>
      </c>
      <c r="C645" s="26" t="s">
        <v>1720</v>
      </c>
      <c r="M645" s="1" t="s">
        <v>1834</v>
      </c>
    </row>
    <row r="646" spans="2:13">
      <c r="B646" s="1" t="s">
        <v>1852</v>
      </c>
      <c r="C646" s="26" t="s">
        <v>1720</v>
      </c>
      <c r="M646" s="1" t="s">
        <v>1834</v>
      </c>
    </row>
    <row r="647" spans="2:13">
      <c r="B647" s="1" t="s">
        <v>1851</v>
      </c>
      <c r="C647" s="26" t="s">
        <v>1720</v>
      </c>
      <c r="M647" s="1" t="s">
        <v>1834</v>
      </c>
    </row>
    <row r="648" spans="2:13">
      <c r="B648" s="1" t="s">
        <v>1850</v>
      </c>
      <c r="C648" s="26" t="s">
        <v>1720</v>
      </c>
      <c r="M648" s="1" t="s">
        <v>1834</v>
      </c>
    </row>
    <row r="649" spans="2:13">
      <c r="B649" s="1" t="s">
        <v>1849</v>
      </c>
      <c r="C649" s="26" t="s">
        <v>1720</v>
      </c>
      <c r="M649" s="1" t="s">
        <v>1834</v>
      </c>
    </row>
    <row r="650" spans="2:13">
      <c r="B650" s="1" t="s">
        <v>1848</v>
      </c>
      <c r="C650" s="26" t="s">
        <v>1720</v>
      </c>
      <c r="M650" s="1" t="s">
        <v>1834</v>
      </c>
    </row>
    <row r="651" spans="2:13">
      <c r="B651" s="1" t="s">
        <v>1847</v>
      </c>
      <c r="C651" s="26" t="s">
        <v>1720</v>
      </c>
      <c r="M651" s="1" t="s">
        <v>1834</v>
      </c>
    </row>
    <row r="652" spans="2:13">
      <c r="B652" s="1" t="s">
        <v>1846</v>
      </c>
      <c r="C652" s="26" t="s">
        <v>1720</v>
      </c>
      <c r="M652" s="1" t="s">
        <v>1834</v>
      </c>
    </row>
    <row r="653" spans="2:13">
      <c r="B653" s="1" t="s">
        <v>1845</v>
      </c>
      <c r="C653" s="26" t="s">
        <v>1720</v>
      </c>
      <c r="M653" s="1" t="s">
        <v>1834</v>
      </c>
    </row>
    <row r="654" spans="2:13">
      <c r="B654" s="1" t="s">
        <v>1844</v>
      </c>
      <c r="C654" s="26" t="s">
        <v>1720</v>
      </c>
      <c r="M654" s="1" t="s">
        <v>1834</v>
      </c>
    </row>
    <row r="655" spans="2:13">
      <c r="B655" s="1" t="s">
        <v>1843</v>
      </c>
      <c r="C655" s="26" t="s">
        <v>1720</v>
      </c>
      <c r="M655" s="1" t="s">
        <v>1834</v>
      </c>
    </row>
    <row r="656" spans="2:13">
      <c r="B656" s="1" t="s">
        <v>1842</v>
      </c>
      <c r="C656" s="26" t="s">
        <v>1720</v>
      </c>
      <c r="M656" s="1" t="s">
        <v>1834</v>
      </c>
    </row>
    <row r="657" spans="2:13">
      <c r="B657" s="1" t="s">
        <v>1841</v>
      </c>
      <c r="C657" s="26" t="s">
        <v>1720</v>
      </c>
      <c r="M657" s="1" t="s">
        <v>1834</v>
      </c>
    </row>
    <row r="658" spans="2:13">
      <c r="B658" s="1" t="s">
        <v>1840</v>
      </c>
      <c r="C658" s="26" t="s">
        <v>1720</v>
      </c>
      <c r="M658" s="1" t="s">
        <v>1834</v>
      </c>
    </row>
    <row r="659" spans="2:13">
      <c r="B659" s="1" t="s">
        <v>1839</v>
      </c>
      <c r="C659" s="26" t="s">
        <v>1720</v>
      </c>
      <c r="M659" s="1" t="s">
        <v>1834</v>
      </c>
    </row>
    <row r="660" spans="2:13">
      <c r="B660" s="1" t="s">
        <v>1838</v>
      </c>
      <c r="C660" s="26" t="s">
        <v>1720</v>
      </c>
      <c r="M660" s="1" t="s">
        <v>1834</v>
      </c>
    </row>
    <row r="661" spans="2:13">
      <c r="B661" s="1" t="s">
        <v>1837</v>
      </c>
      <c r="C661" s="26" t="s">
        <v>1720</v>
      </c>
      <c r="M661" s="1" t="s">
        <v>1834</v>
      </c>
    </row>
    <row r="662" spans="2:13">
      <c r="B662" s="1" t="s">
        <v>1836</v>
      </c>
      <c r="C662" s="26" t="s">
        <v>1720</v>
      </c>
      <c r="M662" s="1" t="s">
        <v>1834</v>
      </c>
    </row>
    <row r="663" spans="2:13">
      <c r="B663" s="1" t="s">
        <v>1835</v>
      </c>
      <c r="C663" s="26" t="s">
        <v>1720</v>
      </c>
      <c r="M663" s="1" t="s">
        <v>1834</v>
      </c>
    </row>
    <row r="664" spans="2:13">
      <c r="B664" s="1" t="s">
        <v>1833</v>
      </c>
      <c r="C664" s="26" t="s">
        <v>1720</v>
      </c>
      <c r="M664" s="1" t="s">
        <v>1735</v>
      </c>
    </row>
    <row r="665" spans="2:13">
      <c r="B665" s="1" t="s">
        <v>1832</v>
      </c>
      <c r="C665" s="26" t="s">
        <v>1720</v>
      </c>
      <c r="M665" s="1" t="s">
        <v>1735</v>
      </c>
    </row>
    <row r="666" spans="2:13">
      <c r="B666" s="1" t="s">
        <v>1831</v>
      </c>
      <c r="C666" s="26" t="s">
        <v>1720</v>
      </c>
      <c r="M666" s="1" t="s">
        <v>1735</v>
      </c>
    </row>
    <row r="667" spans="2:13">
      <c r="B667" s="1" t="s">
        <v>1830</v>
      </c>
      <c r="C667" s="26" t="s">
        <v>1720</v>
      </c>
      <c r="M667" s="1" t="s">
        <v>1735</v>
      </c>
    </row>
    <row r="668" spans="2:13">
      <c r="B668" s="1" t="s">
        <v>1829</v>
      </c>
      <c r="C668" s="26" t="s">
        <v>1720</v>
      </c>
      <c r="M668" s="1" t="s">
        <v>1735</v>
      </c>
    </row>
    <row r="669" spans="2:13">
      <c r="B669" s="1" t="s">
        <v>1828</v>
      </c>
      <c r="C669" s="26" t="s">
        <v>1720</v>
      </c>
      <c r="M669" s="1" t="s">
        <v>1735</v>
      </c>
    </row>
    <row r="670" spans="2:13">
      <c r="B670" s="1" t="s">
        <v>1827</v>
      </c>
      <c r="C670" s="26" t="s">
        <v>1720</v>
      </c>
      <c r="M670" s="1" t="s">
        <v>1735</v>
      </c>
    </row>
    <row r="671" spans="2:13">
      <c r="B671" s="1" t="s">
        <v>1826</v>
      </c>
      <c r="C671" s="26" t="s">
        <v>1720</v>
      </c>
      <c r="M671" s="1" t="s">
        <v>1735</v>
      </c>
    </row>
    <row r="672" spans="2:13">
      <c r="B672" s="1" t="s">
        <v>1825</v>
      </c>
      <c r="C672" s="26" t="s">
        <v>1720</v>
      </c>
      <c r="M672" s="1" t="s">
        <v>1735</v>
      </c>
    </row>
    <row r="673" spans="2:13">
      <c r="B673" s="1" t="s">
        <v>1824</v>
      </c>
      <c r="C673" s="26" t="s">
        <v>1720</v>
      </c>
      <c r="M673" s="1" t="s">
        <v>1735</v>
      </c>
    </row>
    <row r="674" spans="2:13">
      <c r="B674" s="1" t="s">
        <v>1823</v>
      </c>
      <c r="C674" s="26" t="s">
        <v>1720</v>
      </c>
      <c r="M674" s="1" t="s">
        <v>1735</v>
      </c>
    </row>
    <row r="675" spans="2:13">
      <c r="B675" s="1" t="s">
        <v>1822</v>
      </c>
      <c r="C675" s="26" t="s">
        <v>1720</v>
      </c>
      <c r="M675" s="1" t="s">
        <v>1735</v>
      </c>
    </row>
    <row r="676" spans="2:13">
      <c r="B676" s="1" t="s">
        <v>1821</v>
      </c>
      <c r="C676" s="26" t="s">
        <v>1720</v>
      </c>
      <c r="M676" s="1" t="s">
        <v>1735</v>
      </c>
    </row>
    <row r="677" spans="2:13">
      <c r="B677" s="1" t="s">
        <v>1820</v>
      </c>
      <c r="C677" s="26" t="s">
        <v>1720</v>
      </c>
      <c r="M677" s="1" t="s">
        <v>1735</v>
      </c>
    </row>
    <row r="678" spans="2:13">
      <c r="B678" s="1" t="s">
        <v>1819</v>
      </c>
      <c r="C678" s="26" t="s">
        <v>1720</v>
      </c>
      <c r="M678" s="1" t="s">
        <v>1735</v>
      </c>
    </row>
    <row r="679" spans="2:13">
      <c r="B679" s="1" t="s">
        <v>1818</v>
      </c>
      <c r="C679" s="26" t="s">
        <v>1720</v>
      </c>
      <c r="M679" s="1" t="s">
        <v>1735</v>
      </c>
    </row>
    <row r="680" spans="2:13">
      <c r="B680" s="1" t="s">
        <v>1817</v>
      </c>
      <c r="C680" s="26" t="s">
        <v>1720</v>
      </c>
      <c r="M680" s="1" t="s">
        <v>1735</v>
      </c>
    </row>
    <row r="681" spans="2:13">
      <c r="B681" s="1" t="s">
        <v>1816</v>
      </c>
      <c r="C681" s="26" t="s">
        <v>1720</v>
      </c>
      <c r="M681" s="1" t="s">
        <v>1735</v>
      </c>
    </row>
    <row r="682" spans="2:13">
      <c r="B682" s="1" t="s">
        <v>1815</v>
      </c>
      <c r="C682" s="26" t="s">
        <v>1720</v>
      </c>
      <c r="M682" s="1" t="s">
        <v>1735</v>
      </c>
    </row>
    <row r="683" spans="2:13">
      <c r="B683" s="1" t="s">
        <v>1814</v>
      </c>
      <c r="C683" s="26" t="s">
        <v>1720</v>
      </c>
      <c r="M683" s="1" t="s">
        <v>1735</v>
      </c>
    </row>
    <row r="684" spans="2:13">
      <c r="B684" s="1" t="s">
        <v>1813</v>
      </c>
      <c r="C684" s="26" t="s">
        <v>1720</v>
      </c>
      <c r="M684" s="1" t="s">
        <v>1735</v>
      </c>
    </row>
    <row r="685" spans="2:13">
      <c r="B685" s="1" t="s">
        <v>1812</v>
      </c>
      <c r="C685" s="26" t="s">
        <v>1720</v>
      </c>
      <c r="M685" s="1" t="s">
        <v>1735</v>
      </c>
    </row>
    <row r="686" spans="2:13">
      <c r="B686" s="1" t="s">
        <v>1811</v>
      </c>
      <c r="C686" s="26" t="s">
        <v>1720</v>
      </c>
      <c r="M686" s="1" t="s">
        <v>1735</v>
      </c>
    </row>
    <row r="687" spans="2:13">
      <c r="B687" s="1" t="s">
        <v>1810</v>
      </c>
      <c r="C687" s="26" t="s">
        <v>1720</v>
      </c>
      <c r="M687" s="1" t="s">
        <v>1735</v>
      </c>
    </row>
    <row r="688" spans="2:13">
      <c r="B688" s="1" t="s">
        <v>1809</v>
      </c>
      <c r="C688" s="26" t="s">
        <v>1720</v>
      </c>
      <c r="M688" s="1" t="s">
        <v>1735</v>
      </c>
    </row>
    <row r="689" spans="2:13">
      <c r="B689" s="1" t="s">
        <v>1808</v>
      </c>
      <c r="C689" s="26" t="s">
        <v>1720</v>
      </c>
      <c r="M689" s="1" t="s">
        <v>1735</v>
      </c>
    </row>
    <row r="690" spans="2:13">
      <c r="B690" s="1" t="s">
        <v>1807</v>
      </c>
      <c r="C690" s="26" t="s">
        <v>1720</v>
      </c>
      <c r="M690" s="1" t="s">
        <v>1735</v>
      </c>
    </row>
    <row r="691" spans="2:13">
      <c r="B691" s="1" t="s">
        <v>1806</v>
      </c>
      <c r="C691" s="26" t="s">
        <v>1720</v>
      </c>
      <c r="M691" s="1" t="s">
        <v>1735</v>
      </c>
    </row>
    <row r="692" spans="2:13">
      <c r="B692" s="1" t="s">
        <v>1805</v>
      </c>
      <c r="C692" s="26" t="s">
        <v>1720</v>
      </c>
      <c r="M692" s="1" t="s">
        <v>1735</v>
      </c>
    </row>
    <row r="693" spans="2:13">
      <c r="B693" s="1" t="s">
        <v>1804</v>
      </c>
      <c r="C693" s="26" t="s">
        <v>1720</v>
      </c>
      <c r="M693" s="1" t="s">
        <v>1735</v>
      </c>
    </row>
    <row r="694" spans="2:13">
      <c r="B694" s="1" t="s">
        <v>1803</v>
      </c>
      <c r="C694" s="26" t="s">
        <v>1720</v>
      </c>
      <c r="M694" s="1" t="s">
        <v>1735</v>
      </c>
    </row>
    <row r="695" spans="2:13">
      <c r="B695" s="1" t="s">
        <v>1802</v>
      </c>
      <c r="C695" s="26" t="s">
        <v>1720</v>
      </c>
      <c r="M695" s="1" t="s">
        <v>1735</v>
      </c>
    </row>
    <row r="696" spans="2:13">
      <c r="B696" s="1" t="s">
        <v>1801</v>
      </c>
      <c r="C696" s="26" t="s">
        <v>1720</v>
      </c>
      <c r="M696" s="1" t="s">
        <v>1735</v>
      </c>
    </row>
    <row r="697" spans="2:13">
      <c r="B697" s="1" t="s">
        <v>1800</v>
      </c>
      <c r="C697" s="26" t="s">
        <v>1720</v>
      </c>
      <c r="M697" s="1" t="s">
        <v>1735</v>
      </c>
    </row>
    <row r="698" spans="2:13">
      <c r="B698" s="1" t="s">
        <v>1799</v>
      </c>
      <c r="C698" s="26" t="s">
        <v>1720</v>
      </c>
      <c r="M698" s="1" t="s">
        <v>1735</v>
      </c>
    </row>
    <row r="699" spans="2:13">
      <c r="B699" s="1" t="s">
        <v>1798</v>
      </c>
      <c r="C699" s="26" t="s">
        <v>1720</v>
      </c>
      <c r="M699" s="1" t="s">
        <v>1735</v>
      </c>
    </row>
    <row r="700" spans="2:13">
      <c r="B700" s="1" t="s">
        <v>1797</v>
      </c>
      <c r="C700" s="26" t="s">
        <v>1720</v>
      </c>
      <c r="M700" s="1" t="s">
        <v>1735</v>
      </c>
    </row>
    <row r="701" spans="2:13">
      <c r="B701" s="1" t="s">
        <v>1796</v>
      </c>
      <c r="C701" s="26" t="s">
        <v>1720</v>
      </c>
      <c r="M701" s="1" t="s">
        <v>1735</v>
      </c>
    </row>
    <row r="702" spans="2:13">
      <c r="B702" s="1" t="s">
        <v>1795</v>
      </c>
      <c r="C702" s="26" t="s">
        <v>1720</v>
      </c>
      <c r="M702" s="1" t="s">
        <v>1735</v>
      </c>
    </row>
    <row r="703" spans="2:13">
      <c r="B703" s="1" t="s">
        <v>1794</v>
      </c>
      <c r="C703" s="26" t="s">
        <v>1720</v>
      </c>
      <c r="M703" s="1" t="s">
        <v>1735</v>
      </c>
    </row>
    <row r="704" spans="2:13">
      <c r="B704" s="1" t="s">
        <v>1793</v>
      </c>
      <c r="C704" s="26" t="s">
        <v>1720</v>
      </c>
      <c r="M704" s="1" t="s">
        <v>1735</v>
      </c>
    </row>
    <row r="705" spans="2:13">
      <c r="B705" s="7" t="s">
        <v>1792</v>
      </c>
      <c r="C705" s="26" t="s">
        <v>1720</v>
      </c>
      <c r="M705" s="1" t="s">
        <v>1735</v>
      </c>
    </row>
    <row r="706" spans="2:13">
      <c r="B706" s="1" t="s">
        <v>1791</v>
      </c>
      <c r="C706" s="26" t="s">
        <v>1720</v>
      </c>
      <c r="M706" s="1" t="s">
        <v>1735</v>
      </c>
    </row>
    <row r="707" spans="2:13">
      <c r="B707" s="1" t="s">
        <v>1790</v>
      </c>
      <c r="C707" s="26" t="s">
        <v>1720</v>
      </c>
      <c r="M707" s="1" t="s">
        <v>1735</v>
      </c>
    </row>
    <row r="708" spans="2:13">
      <c r="B708" s="1" t="s">
        <v>1789</v>
      </c>
      <c r="C708" s="26" t="s">
        <v>1720</v>
      </c>
      <c r="M708" s="1" t="s">
        <v>1735</v>
      </c>
    </row>
    <row r="709" spans="2:13">
      <c r="B709" s="1" t="s">
        <v>1788</v>
      </c>
      <c r="C709" s="26" t="s">
        <v>1720</v>
      </c>
      <c r="M709" s="1" t="s">
        <v>1735</v>
      </c>
    </row>
    <row r="710" spans="2:13">
      <c r="B710" s="1" t="s">
        <v>1787</v>
      </c>
      <c r="C710" s="26" t="s">
        <v>1720</v>
      </c>
      <c r="M710" s="1" t="s">
        <v>1735</v>
      </c>
    </row>
    <row r="711" spans="2:13">
      <c r="B711" s="1" t="s">
        <v>1786</v>
      </c>
      <c r="C711" s="26" t="s">
        <v>1720</v>
      </c>
      <c r="M711" s="1" t="s">
        <v>1735</v>
      </c>
    </row>
    <row r="712" spans="2:13">
      <c r="B712" s="1" t="s">
        <v>1785</v>
      </c>
      <c r="C712" s="26" t="s">
        <v>1720</v>
      </c>
      <c r="M712" s="1" t="s">
        <v>1735</v>
      </c>
    </row>
    <row r="713" spans="2:13">
      <c r="B713" s="1" t="s">
        <v>1784</v>
      </c>
      <c r="C713" s="26" t="s">
        <v>1720</v>
      </c>
      <c r="M713" s="1" t="s">
        <v>1735</v>
      </c>
    </row>
    <row r="714" spans="2:13">
      <c r="B714" s="1" t="s">
        <v>1783</v>
      </c>
      <c r="C714" s="26" t="s">
        <v>1720</v>
      </c>
      <c r="M714" s="1" t="s">
        <v>1735</v>
      </c>
    </row>
    <row r="715" spans="2:13">
      <c r="B715" s="1" t="s">
        <v>1782</v>
      </c>
      <c r="C715" s="26" t="s">
        <v>1720</v>
      </c>
      <c r="M715" s="1" t="s">
        <v>1735</v>
      </c>
    </row>
    <row r="716" spans="2:13">
      <c r="B716" s="1" t="s">
        <v>1781</v>
      </c>
      <c r="C716" s="26" t="s">
        <v>1720</v>
      </c>
      <c r="M716" s="1" t="s">
        <v>1735</v>
      </c>
    </row>
    <row r="717" spans="2:13">
      <c r="B717" s="1" t="s">
        <v>1780</v>
      </c>
      <c r="C717" s="26" t="s">
        <v>1720</v>
      </c>
      <c r="M717" s="1" t="s">
        <v>1735</v>
      </c>
    </row>
    <row r="718" spans="2:13">
      <c r="B718" s="1" t="s">
        <v>1779</v>
      </c>
      <c r="C718" s="26" t="s">
        <v>1720</v>
      </c>
      <c r="M718" s="1" t="s">
        <v>1735</v>
      </c>
    </row>
    <row r="719" spans="2:13">
      <c r="B719" s="1" t="s">
        <v>1778</v>
      </c>
      <c r="C719" s="26" t="s">
        <v>1720</v>
      </c>
      <c r="M719" s="1" t="s">
        <v>1735</v>
      </c>
    </row>
    <row r="720" spans="2:13">
      <c r="B720" s="1" t="s">
        <v>1777</v>
      </c>
      <c r="C720" s="26" t="s">
        <v>1720</v>
      </c>
      <c r="M720" s="1" t="s">
        <v>1735</v>
      </c>
    </row>
    <row r="721" spans="2:13">
      <c r="B721" s="1" t="s">
        <v>1776</v>
      </c>
      <c r="C721" s="26" t="s">
        <v>1720</v>
      </c>
      <c r="M721" s="1" t="s">
        <v>1735</v>
      </c>
    </row>
    <row r="722" spans="2:13">
      <c r="B722" s="1" t="s">
        <v>1775</v>
      </c>
      <c r="C722" s="26" t="s">
        <v>1720</v>
      </c>
      <c r="M722" s="1" t="s">
        <v>1735</v>
      </c>
    </row>
    <row r="723" spans="2:13">
      <c r="B723" s="1" t="s">
        <v>1774</v>
      </c>
      <c r="C723" s="26" t="s">
        <v>1720</v>
      </c>
      <c r="M723" s="1" t="s">
        <v>1735</v>
      </c>
    </row>
    <row r="724" spans="2:13">
      <c r="B724" s="1" t="s">
        <v>1773</v>
      </c>
      <c r="C724" s="26" t="s">
        <v>1720</v>
      </c>
      <c r="M724" s="1" t="s">
        <v>1735</v>
      </c>
    </row>
    <row r="725" spans="2:13">
      <c r="B725" s="1" t="s">
        <v>1772</v>
      </c>
      <c r="C725" s="26" t="s">
        <v>1720</v>
      </c>
      <c r="M725" s="1" t="s">
        <v>1735</v>
      </c>
    </row>
    <row r="726" spans="2:13">
      <c r="B726" s="1" t="s">
        <v>1771</v>
      </c>
      <c r="C726" s="26" t="s">
        <v>1720</v>
      </c>
      <c r="M726" s="1" t="s">
        <v>1735</v>
      </c>
    </row>
    <row r="727" spans="2:13">
      <c r="B727" s="1" t="s">
        <v>1770</v>
      </c>
      <c r="C727" s="26" t="s">
        <v>1720</v>
      </c>
      <c r="M727" s="1" t="s">
        <v>1735</v>
      </c>
    </row>
    <row r="728" spans="2:13">
      <c r="B728" s="1" t="s">
        <v>1769</v>
      </c>
      <c r="C728" s="26" t="s">
        <v>1720</v>
      </c>
      <c r="M728" s="1" t="s">
        <v>1735</v>
      </c>
    </row>
    <row r="729" spans="2:13">
      <c r="B729" s="1" t="s">
        <v>1768</v>
      </c>
      <c r="C729" s="26" t="s">
        <v>1720</v>
      </c>
      <c r="M729" s="1" t="s">
        <v>1735</v>
      </c>
    </row>
    <row r="730" spans="2:13">
      <c r="B730" s="1" t="s">
        <v>1767</v>
      </c>
      <c r="C730" s="26" t="s">
        <v>1720</v>
      </c>
      <c r="M730" s="1" t="s">
        <v>1735</v>
      </c>
    </row>
    <row r="731" spans="2:13">
      <c r="B731" s="1" t="s">
        <v>1766</v>
      </c>
      <c r="C731" s="26" t="s">
        <v>1720</v>
      </c>
      <c r="M731" s="1" t="s">
        <v>1735</v>
      </c>
    </row>
    <row r="732" spans="2:13">
      <c r="B732" s="1" t="s">
        <v>1765</v>
      </c>
      <c r="C732" s="26" t="s">
        <v>1720</v>
      </c>
      <c r="M732" s="1" t="s">
        <v>1735</v>
      </c>
    </row>
    <row r="733" spans="2:13">
      <c r="B733" s="1" t="s">
        <v>1764</v>
      </c>
      <c r="C733" s="26" t="s">
        <v>1720</v>
      </c>
      <c r="M733" s="1" t="s">
        <v>1735</v>
      </c>
    </row>
    <row r="734" spans="2:13">
      <c r="B734" s="1" t="s">
        <v>1763</v>
      </c>
      <c r="C734" s="26" t="s">
        <v>1720</v>
      </c>
      <c r="M734" s="1" t="s">
        <v>1735</v>
      </c>
    </row>
    <row r="735" spans="2:13">
      <c r="B735" s="1" t="s">
        <v>1762</v>
      </c>
      <c r="C735" s="26" t="s">
        <v>1720</v>
      </c>
      <c r="M735" s="1" t="s">
        <v>1735</v>
      </c>
    </row>
    <row r="736" spans="2:13">
      <c r="B736" s="1" t="s">
        <v>1761</v>
      </c>
      <c r="C736" s="26" t="s">
        <v>1720</v>
      </c>
      <c r="M736" s="1" t="s">
        <v>1735</v>
      </c>
    </row>
    <row r="737" spans="2:13">
      <c r="B737" s="1" t="s">
        <v>1760</v>
      </c>
      <c r="C737" s="26" t="s">
        <v>1720</v>
      </c>
      <c r="M737" s="1" t="s">
        <v>1735</v>
      </c>
    </row>
    <row r="738" spans="2:13">
      <c r="B738" s="1" t="s">
        <v>1759</v>
      </c>
      <c r="C738" s="26" t="s">
        <v>1720</v>
      </c>
      <c r="M738" s="1" t="s">
        <v>1735</v>
      </c>
    </row>
    <row r="739" spans="2:13">
      <c r="B739" s="1" t="s">
        <v>1758</v>
      </c>
      <c r="C739" s="26" t="s">
        <v>1720</v>
      </c>
      <c r="M739" s="1" t="s">
        <v>1735</v>
      </c>
    </row>
    <row r="740" spans="2:13">
      <c r="B740" s="1" t="s">
        <v>1757</v>
      </c>
      <c r="C740" s="26" t="s">
        <v>1720</v>
      </c>
      <c r="M740" s="1" t="s">
        <v>1735</v>
      </c>
    </row>
    <row r="741" spans="2:13">
      <c r="B741" s="1" t="s">
        <v>1756</v>
      </c>
      <c r="C741" s="26" t="s">
        <v>1720</v>
      </c>
      <c r="M741" s="1" t="s">
        <v>1735</v>
      </c>
    </row>
    <row r="742" spans="2:13">
      <c r="B742" s="1" t="s">
        <v>1755</v>
      </c>
      <c r="C742" s="26" t="s">
        <v>1720</v>
      </c>
      <c r="M742" s="1" t="s">
        <v>1735</v>
      </c>
    </row>
    <row r="743" spans="2:13">
      <c r="B743" s="1" t="s">
        <v>1754</v>
      </c>
      <c r="C743" s="26" t="s">
        <v>1720</v>
      </c>
      <c r="M743" s="1" t="s">
        <v>1735</v>
      </c>
    </row>
    <row r="744" spans="2:13">
      <c r="B744" s="1" t="s">
        <v>1753</v>
      </c>
      <c r="C744" s="26" t="s">
        <v>1720</v>
      </c>
      <c r="M744" s="1" t="s">
        <v>1735</v>
      </c>
    </row>
    <row r="745" spans="2:13">
      <c r="B745" s="1" t="s">
        <v>1752</v>
      </c>
      <c r="C745" s="26" t="s">
        <v>1720</v>
      </c>
      <c r="M745" s="1" t="s">
        <v>1735</v>
      </c>
    </row>
    <row r="746" spans="2:13">
      <c r="B746" s="1" t="s">
        <v>1751</v>
      </c>
      <c r="C746" s="26" t="s">
        <v>1720</v>
      </c>
      <c r="M746" s="1" t="s">
        <v>1735</v>
      </c>
    </row>
    <row r="747" spans="2:13">
      <c r="B747" s="1" t="s">
        <v>1750</v>
      </c>
      <c r="C747" s="26" t="s">
        <v>1720</v>
      </c>
      <c r="M747" s="1" t="s">
        <v>1735</v>
      </c>
    </row>
    <row r="748" spans="2:13">
      <c r="B748" s="1" t="s">
        <v>1749</v>
      </c>
      <c r="C748" s="26" t="s">
        <v>1720</v>
      </c>
      <c r="M748" s="1" t="s">
        <v>1735</v>
      </c>
    </row>
    <row r="749" spans="2:13">
      <c r="B749" s="1" t="s">
        <v>1748</v>
      </c>
      <c r="C749" s="26" t="s">
        <v>1720</v>
      </c>
      <c r="M749" s="1" t="s">
        <v>1735</v>
      </c>
    </row>
    <row r="750" spans="2:13">
      <c r="B750" s="1" t="s">
        <v>1747</v>
      </c>
      <c r="C750" s="26" t="s">
        <v>1720</v>
      </c>
      <c r="M750" s="1" t="s">
        <v>1735</v>
      </c>
    </row>
    <row r="751" spans="2:13">
      <c r="B751" s="1" t="s">
        <v>1746</v>
      </c>
      <c r="C751" s="26" t="s">
        <v>1720</v>
      </c>
      <c r="M751" s="1" t="s">
        <v>1735</v>
      </c>
    </row>
    <row r="752" spans="2:13">
      <c r="B752" s="1" t="s">
        <v>1745</v>
      </c>
      <c r="C752" s="26" t="s">
        <v>1720</v>
      </c>
      <c r="M752" s="1" t="s">
        <v>1735</v>
      </c>
    </row>
    <row r="753" spans="2:13">
      <c r="B753" s="1" t="s">
        <v>1744</v>
      </c>
      <c r="C753" s="26" t="s">
        <v>1720</v>
      </c>
      <c r="M753" s="1" t="s">
        <v>1735</v>
      </c>
    </row>
    <row r="754" spans="2:13">
      <c r="B754" s="1" t="s">
        <v>1743</v>
      </c>
      <c r="C754" s="26" t="s">
        <v>1720</v>
      </c>
      <c r="M754" s="1" t="s">
        <v>1735</v>
      </c>
    </row>
    <row r="755" spans="2:13">
      <c r="B755" s="1" t="s">
        <v>1742</v>
      </c>
      <c r="C755" s="26" t="s">
        <v>1720</v>
      </c>
      <c r="M755" s="1" t="s">
        <v>1735</v>
      </c>
    </row>
    <row r="756" spans="2:13">
      <c r="B756" s="1" t="s">
        <v>1461</v>
      </c>
      <c r="C756" s="26" t="s">
        <v>1720</v>
      </c>
      <c r="M756" s="1" t="s">
        <v>1735</v>
      </c>
    </row>
    <row r="757" spans="2:13">
      <c r="B757" s="1" t="s">
        <v>1741</v>
      </c>
      <c r="C757" s="26" t="s">
        <v>1720</v>
      </c>
      <c r="M757" s="1" t="s">
        <v>1735</v>
      </c>
    </row>
    <row r="758" spans="2:13">
      <c r="B758" s="1" t="s">
        <v>1740</v>
      </c>
      <c r="C758" s="26" t="s">
        <v>1720</v>
      </c>
      <c r="M758" s="1" t="s">
        <v>1735</v>
      </c>
    </row>
    <row r="759" spans="2:13">
      <c r="B759" s="1" t="s">
        <v>1739</v>
      </c>
      <c r="C759" s="26" t="s">
        <v>1720</v>
      </c>
      <c r="M759" s="1" t="s">
        <v>1735</v>
      </c>
    </row>
    <row r="760" spans="2:13">
      <c r="B760" s="1" t="s">
        <v>1738</v>
      </c>
      <c r="C760" s="26" t="s">
        <v>1720</v>
      </c>
      <c r="M760" s="1" t="s">
        <v>1735</v>
      </c>
    </row>
    <row r="761" spans="2:13">
      <c r="B761" s="1" t="s">
        <v>1737</v>
      </c>
      <c r="C761" s="26" t="s">
        <v>1720</v>
      </c>
      <c r="M761" s="1" t="s">
        <v>1735</v>
      </c>
    </row>
    <row r="762" spans="2:13">
      <c r="B762" s="1" t="s">
        <v>1736</v>
      </c>
      <c r="C762" s="26" t="s">
        <v>1720</v>
      </c>
      <c r="M762" s="1" t="s">
        <v>1735</v>
      </c>
    </row>
    <row r="763" spans="2:13">
      <c r="B763" s="1" t="s">
        <v>1734</v>
      </c>
      <c r="C763" s="26" t="s">
        <v>1720</v>
      </c>
    </row>
    <row r="764" spans="2:13">
      <c r="B764" s="1" t="s">
        <v>1733</v>
      </c>
      <c r="C764" s="26" t="s">
        <v>1720</v>
      </c>
    </row>
    <row r="765" spans="2:13">
      <c r="B765" s="1" t="s">
        <v>1732</v>
      </c>
      <c r="C765" s="26" t="s">
        <v>1720</v>
      </c>
    </row>
    <row r="766" spans="2:13">
      <c r="B766" s="1" t="s">
        <v>1731</v>
      </c>
      <c r="C766" s="26" t="s">
        <v>1720</v>
      </c>
    </row>
    <row r="767" spans="2:13">
      <c r="B767" s="1" t="s">
        <v>1730</v>
      </c>
      <c r="C767" s="26" t="s">
        <v>1720</v>
      </c>
    </row>
    <row r="768" spans="2:13">
      <c r="B768" s="1" t="s">
        <v>1729</v>
      </c>
      <c r="C768" s="26" t="s">
        <v>1720</v>
      </c>
    </row>
    <row r="769" spans="2:3">
      <c r="B769" s="1" t="s">
        <v>1728</v>
      </c>
      <c r="C769" s="26" t="s">
        <v>1720</v>
      </c>
    </row>
    <row r="770" spans="2:3">
      <c r="B770" s="1" t="s">
        <v>1727</v>
      </c>
      <c r="C770" s="26" t="s">
        <v>1720</v>
      </c>
    </row>
    <row r="771" spans="2:3">
      <c r="B771" s="1" t="s">
        <v>1726</v>
      </c>
      <c r="C771" s="26" t="s">
        <v>1720</v>
      </c>
    </row>
    <row r="772" spans="2:3">
      <c r="B772" s="1" t="s">
        <v>1725</v>
      </c>
      <c r="C772" s="26" t="s">
        <v>1720</v>
      </c>
    </row>
    <row r="773" spans="2:3">
      <c r="B773" s="1" t="s">
        <v>1724</v>
      </c>
      <c r="C773" s="26" t="s">
        <v>1720</v>
      </c>
    </row>
    <row r="774" spans="2:3">
      <c r="B774" s="1" t="s">
        <v>1723</v>
      </c>
      <c r="C774" s="26" t="s">
        <v>1720</v>
      </c>
    </row>
    <row r="775" spans="2:3">
      <c r="B775" s="1" t="s">
        <v>1722</v>
      </c>
      <c r="C775" s="26" t="s">
        <v>1720</v>
      </c>
    </row>
    <row r="776" spans="2:3">
      <c r="B776" s="1" t="s">
        <v>1721</v>
      </c>
      <c r="C776" s="26" t="s">
        <v>1720</v>
      </c>
    </row>
    <row r="777" spans="2:3">
      <c r="B777" s="1" t="s">
        <v>1719</v>
      </c>
    </row>
    <row r="778" spans="2:3">
      <c r="B778" s="1" t="s">
        <v>1718</v>
      </c>
    </row>
    <row r="779" spans="2:3">
      <c r="B779" s="1" t="s">
        <v>1717</v>
      </c>
    </row>
    <row r="780" spans="2:3">
      <c r="B780" s="1" t="s">
        <v>1716</v>
      </c>
    </row>
    <row r="781" spans="2:3">
      <c r="B781" s="1" t="s">
        <v>1715</v>
      </c>
    </row>
    <row r="782" spans="2:3">
      <c r="B782" s="1" t="s">
        <v>1714</v>
      </c>
    </row>
    <row r="783" spans="2:3">
      <c r="B783" s="1" t="s">
        <v>1713</v>
      </c>
    </row>
    <row r="784" spans="2:3">
      <c r="B784" s="1" t="s">
        <v>1712</v>
      </c>
    </row>
    <row r="785" spans="2:2">
      <c r="B785" s="1" t="s">
        <v>1711</v>
      </c>
    </row>
    <row r="786" spans="2:2">
      <c r="B786" s="1" t="s">
        <v>1710</v>
      </c>
    </row>
    <row r="787" spans="2:2">
      <c r="B787" s="1" t="s">
        <v>1709</v>
      </c>
    </row>
    <row r="788" spans="2:2">
      <c r="B788" s="1" t="s">
        <v>1708</v>
      </c>
    </row>
    <row r="789" spans="2:2">
      <c r="B789" s="1" t="s">
        <v>1707</v>
      </c>
    </row>
    <row r="790" spans="2:2">
      <c r="B790" s="1" t="s">
        <v>1706</v>
      </c>
    </row>
    <row r="791" spans="2:2">
      <c r="B791" s="1" t="s">
        <v>1705</v>
      </c>
    </row>
    <row r="792" spans="2:2">
      <c r="B792" s="1" t="s">
        <v>1704</v>
      </c>
    </row>
    <row r="793" spans="2:2">
      <c r="B793" s="1" t="s">
        <v>1703</v>
      </c>
    </row>
    <row r="794" spans="2:2">
      <c r="B794" s="1" t="s">
        <v>1702</v>
      </c>
    </row>
    <row r="795" spans="2:2">
      <c r="B795" s="1" t="s">
        <v>1701</v>
      </c>
    </row>
    <row r="796" spans="2:2">
      <c r="B796" s="1" t="s">
        <v>1700</v>
      </c>
    </row>
    <row r="797" spans="2:2">
      <c r="B797" s="1" t="s">
        <v>1699</v>
      </c>
    </row>
    <row r="798" spans="2:2">
      <c r="B798" s="1" t="s">
        <v>1698</v>
      </c>
    </row>
    <row r="799" spans="2:2">
      <c r="B799" s="1" t="s">
        <v>1697</v>
      </c>
    </row>
    <row r="800" spans="2:2">
      <c r="B800" s="1" t="s">
        <v>1696</v>
      </c>
    </row>
    <row r="801" spans="2:2">
      <c r="B801" s="1" t="s">
        <v>1695</v>
      </c>
    </row>
    <row r="802" spans="2:2">
      <c r="B802" s="1" t="s">
        <v>1694</v>
      </c>
    </row>
    <row r="803" spans="2:2">
      <c r="B803" s="1" t="s">
        <v>1693</v>
      </c>
    </row>
    <row r="804" spans="2:2">
      <c r="B804" s="1" t="s">
        <v>1692</v>
      </c>
    </row>
    <row r="805" spans="2:2">
      <c r="B805" s="1" t="s">
        <v>1691</v>
      </c>
    </row>
    <row r="806" spans="2:2">
      <c r="B806" s="1" t="s">
        <v>1690</v>
      </c>
    </row>
    <row r="807" spans="2:2">
      <c r="B807" s="1" t="s">
        <v>1689</v>
      </c>
    </row>
    <row r="808" spans="2:2">
      <c r="B808" s="1" t="s">
        <v>1688</v>
      </c>
    </row>
    <row r="809" spans="2:2">
      <c r="B809" s="1" t="s">
        <v>1687</v>
      </c>
    </row>
    <row r="810" spans="2:2">
      <c r="B810" s="1" t="s">
        <v>1686</v>
      </c>
    </row>
    <row r="811" spans="2:2">
      <c r="B811" s="1" t="s">
        <v>1685</v>
      </c>
    </row>
    <row r="812" spans="2:2">
      <c r="B812" s="1" t="s">
        <v>1684</v>
      </c>
    </row>
    <row r="813" spans="2:2">
      <c r="B813" s="1" t="s">
        <v>1683</v>
      </c>
    </row>
    <row r="814" spans="2:2">
      <c r="B814" s="1" t="s">
        <v>1682</v>
      </c>
    </row>
    <row r="815" spans="2:2">
      <c r="B815" s="1" t="s">
        <v>1681</v>
      </c>
    </row>
    <row r="816" spans="2:2">
      <c r="B816" s="1" t="s">
        <v>1680</v>
      </c>
    </row>
    <row r="817" spans="2:2">
      <c r="B817" s="1" t="s">
        <v>1679</v>
      </c>
    </row>
    <row r="818" spans="2:2">
      <c r="B818" s="1" t="s">
        <v>1678</v>
      </c>
    </row>
    <row r="819" spans="2:2">
      <c r="B819" s="1" t="s">
        <v>1677</v>
      </c>
    </row>
    <row r="820" spans="2:2">
      <c r="B820" s="1" t="s">
        <v>1676</v>
      </c>
    </row>
    <row r="821" spans="2:2">
      <c r="B821" s="1" t="s">
        <v>1675</v>
      </c>
    </row>
    <row r="822" spans="2:2">
      <c r="B822" s="1" t="s">
        <v>1674</v>
      </c>
    </row>
    <row r="823" spans="2:2">
      <c r="B823" s="1" t="s">
        <v>1673</v>
      </c>
    </row>
    <row r="824" spans="2:2">
      <c r="B824" s="1" t="s">
        <v>1672</v>
      </c>
    </row>
    <row r="825" spans="2:2">
      <c r="B825" s="1" t="s">
        <v>1671</v>
      </c>
    </row>
    <row r="826" spans="2:2">
      <c r="B826" s="1" t="s">
        <v>1670</v>
      </c>
    </row>
    <row r="827" spans="2:2">
      <c r="B827" s="1" t="s">
        <v>1669</v>
      </c>
    </row>
    <row r="828" spans="2:2">
      <c r="B828" s="1" t="s">
        <v>1668</v>
      </c>
    </row>
    <row r="829" spans="2:2">
      <c r="B829" s="1" t="s">
        <v>1667</v>
      </c>
    </row>
    <row r="830" spans="2:2">
      <c r="B830" s="1" t="s">
        <v>1666</v>
      </c>
    </row>
    <row r="831" spans="2:2">
      <c r="B831" s="1" t="s">
        <v>1665</v>
      </c>
    </row>
    <row r="832" spans="2:2">
      <c r="B832" s="1" t="s">
        <v>1664</v>
      </c>
    </row>
    <row r="833" spans="2:2">
      <c r="B833" s="1" t="s">
        <v>1663</v>
      </c>
    </row>
    <row r="834" spans="2:2">
      <c r="B834" s="1" t="s">
        <v>1662</v>
      </c>
    </row>
    <row r="835" spans="2:2">
      <c r="B835" s="1" t="s">
        <v>1661</v>
      </c>
    </row>
    <row r="836" spans="2:2">
      <c r="B836" s="1" t="s">
        <v>1660</v>
      </c>
    </row>
    <row r="837" spans="2:2">
      <c r="B837" s="1" t="s">
        <v>1659</v>
      </c>
    </row>
    <row r="838" spans="2:2">
      <c r="B838" s="1" t="s">
        <v>1658</v>
      </c>
    </row>
    <row r="839" spans="2:2">
      <c r="B839" s="1" t="s">
        <v>1657</v>
      </c>
    </row>
    <row r="840" spans="2:2">
      <c r="B840" s="1" t="s">
        <v>1656</v>
      </c>
    </row>
    <row r="841" spans="2:2">
      <c r="B841" s="1" t="s">
        <v>1655</v>
      </c>
    </row>
    <row r="842" spans="2:2">
      <c r="B842" s="1" t="s">
        <v>1654</v>
      </c>
    </row>
    <row r="843" spans="2:2">
      <c r="B843" s="1" t="s">
        <v>1653</v>
      </c>
    </row>
    <row r="844" spans="2:2">
      <c r="B844" s="1" t="s">
        <v>1652</v>
      </c>
    </row>
    <row r="845" spans="2:2">
      <c r="B845" s="1" t="s">
        <v>1651</v>
      </c>
    </row>
    <row r="846" spans="2:2">
      <c r="B846" s="1" t="s">
        <v>1650</v>
      </c>
    </row>
    <row r="847" spans="2:2">
      <c r="B847" s="1" t="s">
        <v>1649</v>
      </c>
    </row>
    <row r="848" spans="2:2">
      <c r="B848" s="1" t="s">
        <v>1648</v>
      </c>
    </row>
    <row r="849" spans="2:2">
      <c r="B849" s="1" t="s">
        <v>1647</v>
      </c>
    </row>
    <row r="850" spans="2:2">
      <c r="B850" s="1" t="s">
        <v>1646</v>
      </c>
    </row>
    <row r="851" spans="2:2">
      <c r="B851" s="1" t="s">
        <v>1645</v>
      </c>
    </row>
    <row r="852" spans="2:2">
      <c r="B852" s="1" t="s">
        <v>1644</v>
      </c>
    </row>
    <row r="853" spans="2:2">
      <c r="B853" s="1" t="s">
        <v>1643</v>
      </c>
    </row>
    <row r="854" spans="2:2">
      <c r="B854" s="1" t="s">
        <v>1642</v>
      </c>
    </row>
    <row r="855" spans="2:2">
      <c r="B855" s="1" t="s">
        <v>1641</v>
      </c>
    </row>
    <row r="856" spans="2:2">
      <c r="B856" s="1" t="s">
        <v>1640</v>
      </c>
    </row>
    <row r="857" spans="2:2">
      <c r="B857" s="1" t="s">
        <v>1639</v>
      </c>
    </row>
    <row r="858" spans="2:2">
      <c r="B858" s="1" t="s">
        <v>1638</v>
      </c>
    </row>
    <row r="859" spans="2:2">
      <c r="B859" s="1" t="s">
        <v>1637</v>
      </c>
    </row>
    <row r="860" spans="2:2">
      <c r="B860" s="1" t="s">
        <v>1636</v>
      </c>
    </row>
    <row r="861" spans="2:2">
      <c r="B861" s="1" t="s">
        <v>1635</v>
      </c>
    </row>
    <row r="862" spans="2:2">
      <c r="B862" s="1" t="s">
        <v>1634</v>
      </c>
    </row>
    <row r="863" spans="2:2">
      <c r="B863" s="1" t="s">
        <v>1633</v>
      </c>
    </row>
    <row r="864" spans="2:2">
      <c r="B864" s="1" t="s">
        <v>1632</v>
      </c>
    </row>
    <row r="865" spans="2:2">
      <c r="B865" s="1" t="s">
        <v>1631</v>
      </c>
    </row>
    <row r="866" spans="2:2">
      <c r="B866" s="1" t="s">
        <v>1630</v>
      </c>
    </row>
    <row r="867" spans="2:2">
      <c r="B867" s="1" t="s">
        <v>1629</v>
      </c>
    </row>
    <row r="868" spans="2:2">
      <c r="B868" s="1" t="s">
        <v>1628</v>
      </c>
    </row>
    <row r="869" spans="2:2">
      <c r="B869" s="1" t="s">
        <v>1627</v>
      </c>
    </row>
    <row r="870" spans="2:2">
      <c r="B870" s="1" t="s">
        <v>1626</v>
      </c>
    </row>
    <row r="871" spans="2:2">
      <c r="B871" s="1" t="s">
        <v>1625</v>
      </c>
    </row>
    <row r="872" spans="2:2">
      <c r="B872" s="1" t="s">
        <v>1624</v>
      </c>
    </row>
    <row r="873" spans="2:2">
      <c r="B873" s="1" t="s">
        <v>1623</v>
      </c>
    </row>
    <row r="874" spans="2:2">
      <c r="B874" s="1" t="s">
        <v>1622</v>
      </c>
    </row>
    <row r="875" spans="2:2">
      <c r="B875" s="1" t="s">
        <v>1621</v>
      </c>
    </row>
    <row r="876" spans="2:2">
      <c r="B876" s="1" t="s">
        <v>1620</v>
      </c>
    </row>
    <row r="877" spans="2:2">
      <c r="B877" s="1" t="s">
        <v>1619</v>
      </c>
    </row>
    <row r="878" spans="2:2">
      <c r="B878" s="1" t="s">
        <v>1618</v>
      </c>
    </row>
    <row r="879" spans="2:2">
      <c r="B879" s="1" t="s">
        <v>1617</v>
      </c>
    </row>
    <row r="880" spans="2:2">
      <c r="B880" s="1" t="s">
        <v>4474</v>
      </c>
    </row>
    <row r="881" spans="2:2">
      <c r="B881" s="1" t="s">
        <v>1616</v>
      </c>
    </row>
    <row r="882" spans="2:2">
      <c r="B882" s="1" t="s">
        <v>1615</v>
      </c>
    </row>
    <row r="883" spans="2:2">
      <c r="B883" s="1" t="s">
        <v>1614</v>
      </c>
    </row>
    <row r="884" spans="2:2">
      <c r="B884" s="1" t="s">
        <v>1613</v>
      </c>
    </row>
    <row r="885" spans="2:2">
      <c r="B885" s="1" t="s">
        <v>1612</v>
      </c>
    </row>
    <row r="886" spans="2:2">
      <c r="B886" s="1" t="s">
        <v>1611</v>
      </c>
    </row>
    <row r="887" spans="2:2">
      <c r="B887" s="1" t="s">
        <v>1610</v>
      </c>
    </row>
    <row r="888" spans="2:2">
      <c r="B888" s="1" t="s">
        <v>1609</v>
      </c>
    </row>
    <row r="889" spans="2:2">
      <c r="B889" s="1" t="s">
        <v>1608</v>
      </c>
    </row>
    <row r="890" spans="2:2">
      <c r="B890" s="1" t="s">
        <v>1607</v>
      </c>
    </row>
    <row r="891" spans="2:2">
      <c r="B891" s="1" t="s">
        <v>1606</v>
      </c>
    </row>
    <row r="892" spans="2:2">
      <c r="B892" s="1" t="s">
        <v>1605</v>
      </c>
    </row>
    <row r="893" spans="2:2">
      <c r="B893" s="1" t="s">
        <v>1604</v>
      </c>
    </row>
    <row r="894" spans="2:2">
      <c r="B894" s="1" t="s">
        <v>1603</v>
      </c>
    </row>
    <row r="895" spans="2:2">
      <c r="B895" s="1" t="s">
        <v>1602</v>
      </c>
    </row>
    <row r="896" spans="2:2">
      <c r="B896" s="1" t="s">
        <v>1601</v>
      </c>
    </row>
    <row r="897" spans="2:2">
      <c r="B897" s="1" t="s">
        <v>1600</v>
      </c>
    </row>
    <row r="898" spans="2:2">
      <c r="B898" s="1" t="s">
        <v>1599</v>
      </c>
    </row>
    <row r="899" spans="2:2">
      <c r="B899" s="1" t="s">
        <v>1598</v>
      </c>
    </row>
    <row r="900" spans="2:2">
      <c r="B900" s="1" t="s">
        <v>1597</v>
      </c>
    </row>
    <row r="901" spans="2:2">
      <c r="B901" s="1" t="s">
        <v>1596</v>
      </c>
    </row>
    <row r="902" spans="2:2">
      <c r="B902" s="1" t="s">
        <v>1595</v>
      </c>
    </row>
    <row r="903" spans="2:2">
      <c r="B903" s="1" t="s">
        <v>1594</v>
      </c>
    </row>
    <row r="904" spans="2:2">
      <c r="B904" s="1" t="s">
        <v>1593</v>
      </c>
    </row>
    <row r="905" spans="2:2">
      <c r="B905" s="1" t="s">
        <v>1592</v>
      </c>
    </row>
    <row r="906" spans="2:2">
      <c r="B906" s="1" t="s">
        <v>1591</v>
      </c>
    </row>
    <row r="907" spans="2:2">
      <c r="B907" s="1" t="s">
        <v>1590</v>
      </c>
    </row>
    <row r="908" spans="2:2">
      <c r="B908" s="1" t="s">
        <v>1589</v>
      </c>
    </row>
    <row r="909" spans="2:2">
      <c r="B909" s="1" t="s">
        <v>1588</v>
      </c>
    </row>
    <row r="910" spans="2:2">
      <c r="B910" s="1" t="s">
        <v>1587</v>
      </c>
    </row>
    <row r="911" spans="2:2">
      <c r="B911" s="1" t="s">
        <v>4485</v>
      </c>
    </row>
    <row r="912" spans="2:2">
      <c r="B912" s="1" t="s">
        <v>1586</v>
      </c>
    </row>
    <row r="913" spans="2:2">
      <c r="B913" s="1" t="s">
        <v>1585</v>
      </c>
    </row>
    <row r="914" spans="2:2">
      <c r="B914" s="1" t="s">
        <v>1584</v>
      </c>
    </row>
    <row r="915" spans="2:2">
      <c r="B915" s="1" t="s">
        <v>1583</v>
      </c>
    </row>
    <row r="916" spans="2:2">
      <c r="B916" s="1" t="s">
        <v>1582</v>
      </c>
    </row>
    <row r="917" spans="2:2">
      <c r="B917" s="1" t="s">
        <v>1581</v>
      </c>
    </row>
    <row r="918" spans="2:2">
      <c r="B918" s="1" t="s">
        <v>1580</v>
      </c>
    </row>
    <row r="919" spans="2:2">
      <c r="B919" s="1" t="s">
        <v>1579</v>
      </c>
    </row>
    <row r="920" spans="2:2">
      <c r="B920" s="1" t="s">
        <v>1578</v>
      </c>
    </row>
    <row r="921" spans="2:2">
      <c r="B921" s="1" t="s">
        <v>1577</v>
      </c>
    </row>
    <row r="922" spans="2:2">
      <c r="B922" s="12" t="s">
        <v>1576</v>
      </c>
    </row>
    <row r="923" spans="2:2">
      <c r="B923" s="1" t="s">
        <v>1575</v>
      </c>
    </row>
    <row r="924" spans="2:2">
      <c r="B924" s="1" t="s">
        <v>1574</v>
      </c>
    </row>
    <row r="925" spans="2:2">
      <c r="B925" s="1" t="s">
        <v>1573</v>
      </c>
    </row>
    <row r="926" spans="2:2">
      <c r="B926" s="1" t="s">
        <v>1572</v>
      </c>
    </row>
    <row r="927" spans="2:2">
      <c r="B927" s="1" t="s">
        <v>1571</v>
      </c>
    </row>
    <row r="928" spans="2:2">
      <c r="B928" s="1" t="s">
        <v>1570</v>
      </c>
    </row>
    <row r="929" spans="2:2">
      <c r="B929" s="1" t="s">
        <v>1569</v>
      </c>
    </row>
    <row r="930" spans="2:2">
      <c r="B930" s="1" t="s">
        <v>1568</v>
      </c>
    </row>
    <row r="931" spans="2:2">
      <c r="B931" s="1" t="s">
        <v>1567</v>
      </c>
    </row>
    <row r="932" spans="2:2">
      <c r="B932" s="1" t="s">
        <v>1566</v>
      </c>
    </row>
    <row r="933" spans="2:2">
      <c r="B933" s="1" t="s">
        <v>1565</v>
      </c>
    </row>
    <row r="934" spans="2:2">
      <c r="B934" s="1" t="s">
        <v>1564</v>
      </c>
    </row>
    <row r="935" spans="2:2">
      <c r="B935" s="1" t="s">
        <v>1563</v>
      </c>
    </row>
    <row r="936" spans="2:2">
      <c r="B936" s="1" t="s">
        <v>1562</v>
      </c>
    </row>
    <row r="937" spans="2:2">
      <c r="B937" s="1" t="s">
        <v>1561</v>
      </c>
    </row>
    <row r="938" spans="2:2">
      <c r="B938" s="1" t="s">
        <v>1560</v>
      </c>
    </row>
    <row r="939" spans="2:2">
      <c r="B939" s="1" t="s">
        <v>1559</v>
      </c>
    </row>
    <row r="940" spans="2:2">
      <c r="B940" s="1" t="s">
        <v>1558</v>
      </c>
    </row>
    <row r="941" spans="2:2">
      <c r="B941" s="1" t="s">
        <v>1557</v>
      </c>
    </row>
    <row r="942" spans="2:2">
      <c r="B942" s="1" t="s">
        <v>1556</v>
      </c>
    </row>
    <row r="943" spans="2:2">
      <c r="B943" s="1" t="s">
        <v>1555</v>
      </c>
    </row>
    <row r="944" spans="2:2">
      <c r="B944" s="1" t="s">
        <v>1554</v>
      </c>
    </row>
    <row r="945" spans="2:2">
      <c r="B945" s="1" t="s">
        <v>1553</v>
      </c>
    </row>
    <row r="946" spans="2:2">
      <c r="B946" s="1" t="s">
        <v>1552</v>
      </c>
    </row>
    <row r="947" spans="2:2">
      <c r="B947" s="1" t="s">
        <v>1551</v>
      </c>
    </row>
    <row r="948" spans="2:2">
      <c r="B948" s="1" t="s">
        <v>1550</v>
      </c>
    </row>
    <row r="949" spans="2:2">
      <c r="B949" s="1" t="s">
        <v>1549</v>
      </c>
    </row>
    <row r="950" spans="2:2">
      <c r="B950" s="1" t="s">
        <v>1548</v>
      </c>
    </row>
    <row r="951" spans="2:2">
      <c r="B951" s="1" t="s">
        <v>1547</v>
      </c>
    </row>
    <row r="952" spans="2:2">
      <c r="B952" s="1" t="s">
        <v>1546</v>
      </c>
    </row>
    <row r="953" spans="2:2">
      <c r="B953" s="1" t="s">
        <v>1545</v>
      </c>
    </row>
    <row r="954" spans="2:2">
      <c r="B954" s="1" t="s">
        <v>1544</v>
      </c>
    </row>
    <row r="955" spans="2:2">
      <c r="B955" s="1" t="s">
        <v>1543</v>
      </c>
    </row>
    <row r="956" spans="2:2">
      <c r="B956" s="1" t="s">
        <v>1542</v>
      </c>
    </row>
    <row r="957" spans="2:2">
      <c r="B957" s="1" t="s">
        <v>1541</v>
      </c>
    </row>
    <row r="958" spans="2:2">
      <c r="B958" s="1" t="s">
        <v>1540</v>
      </c>
    </row>
    <row r="959" spans="2:2">
      <c r="B959" s="1" t="s">
        <v>1539</v>
      </c>
    </row>
    <row r="960" spans="2:2">
      <c r="B960" s="1" t="s">
        <v>1538</v>
      </c>
    </row>
    <row r="961" spans="2:2">
      <c r="B961" s="1" t="s">
        <v>1537</v>
      </c>
    </row>
    <row r="962" spans="2:2">
      <c r="B962" s="1" t="s">
        <v>1536</v>
      </c>
    </row>
    <row r="963" spans="2:2">
      <c r="B963" s="1" t="s">
        <v>1535</v>
      </c>
    </row>
    <row r="964" spans="2:2">
      <c r="B964" s="1" t="s">
        <v>1534</v>
      </c>
    </row>
    <row r="965" spans="2:2">
      <c r="B965" s="1" t="s">
        <v>1533</v>
      </c>
    </row>
    <row r="966" spans="2:2">
      <c r="B966" s="1" t="s">
        <v>1532</v>
      </c>
    </row>
    <row r="967" spans="2:2">
      <c r="B967" s="1" t="s">
        <v>1531</v>
      </c>
    </row>
    <row r="968" spans="2:2">
      <c r="B968" s="1" t="s">
        <v>1530</v>
      </c>
    </row>
    <row r="969" spans="2:2">
      <c r="B969" s="1" t="s">
        <v>1529</v>
      </c>
    </row>
    <row r="970" spans="2:2">
      <c r="B970" s="1" t="s">
        <v>1528</v>
      </c>
    </row>
    <row r="971" spans="2:2">
      <c r="B971" s="1" t="s">
        <v>1527</v>
      </c>
    </row>
    <row r="972" spans="2:2">
      <c r="B972" s="1" t="s">
        <v>1526</v>
      </c>
    </row>
    <row r="973" spans="2:2">
      <c r="B973" s="1" t="s">
        <v>1525</v>
      </c>
    </row>
    <row r="974" spans="2:2">
      <c r="B974" s="1" t="s">
        <v>1524</v>
      </c>
    </row>
    <row r="975" spans="2:2">
      <c r="B975" s="1" t="s">
        <v>1523</v>
      </c>
    </row>
    <row r="976" spans="2:2">
      <c r="B976" s="1" t="s">
        <v>1522</v>
      </c>
    </row>
    <row r="977" spans="2:2">
      <c r="B977" s="1" t="s">
        <v>1521</v>
      </c>
    </row>
    <row r="978" spans="2:2">
      <c r="B978" s="1" t="s">
        <v>1520</v>
      </c>
    </row>
    <row r="979" spans="2:2">
      <c r="B979" s="1" t="s">
        <v>1519</v>
      </c>
    </row>
    <row r="980" spans="2:2">
      <c r="B980" s="1" t="s">
        <v>1518</v>
      </c>
    </row>
    <row r="981" spans="2:2">
      <c r="B981" s="1" t="s">
        <v>1517</v>
      </c>
    </row>
    <row r="982" spans="2:2">
      <c r="B982" s="1" t="s">
        <v>1516</v>
      </c>
    </row>
    <row r="983" spans="2:2">
      <c r="B983" s="1" t="s">
        <v>1515</v>
      </c>
    </row>
    <row r="984" spans="2:2">
      <c r="B984" s="1" t="s">
        <v>1514</v>
      </c>
    </row>
    <row r="985" spans="2:2">
      <c r="B985" s="1" t="s">
        <v>1513</v>
      </c>
    </row>
    <row r="986" spans="2:2">
      <c r="B986" s="1" t="s">
        <v>1512</v>
      </c>
    </row>
    <row r="987" spans="2:2">
      <c r="B987" s="1" t="s">
        <v>1511</v>
      </c>
    </row>
    <row r="988" spans="2:2">
      <c r="B988" s="1" t="s">
        <v>1510</v>
      </c>
    </row>
    <row r="989" spans="2:2">
      <c r="B989" s="1" t="s">
        <v>1509</v>
      </c>
    </row>
    <row r="990" spans="2:2">
      <c r="B990" s="1" t="s">
        <v>1508</v>
      </c>
    </row>
    <row r="991" spans="2:2">
      <c r="B991" s="1" t="s">
        <v>1507</v>
      </c>
    </row>
    <row r="992" spans="2:2">
      <c r="B992" s="1" t="s">
        <v>1506</v>
      </c>
    </row>
    <row r="993" spans="2:30">
      <c r="B993" s="1" t="s">
        <v>1505</v>
      </c>
    </row>
    <row r="994" spans="2:30">
      <c r="B994" s="1" t="s">
        <v>1504</v>
      </c>
    </row>
    <row r="995" spans="2:30">
      <c r="B995" s="1" t="s">
        <v>1503</v>
      </c>
    </row>
    <row r="996" spans="2:30">
      <c r="B996" s="1" t="s">
        <v>1502</v>
      </c>
    </row>
    <row r="997" spans="2:30">
      <c r="B997" s="1" t="s">
        <v>1501</v>
      </c>
    </row>
    <row r="998" spans="2:30">
      <c r="B998" s="1" t="s">
        <v>1500</v>
      </c>
    </row>
    <row r="999" spans="2:30">
      <c r="B999" s="1" t="s">
        <v>1499</v>
      </c>
    </row>
    <row r="1000" spans="2:30">
      <c r="B1000" s="1" t="s">
        <v>1498</v>
      </c>
      <c r="AB1000" s="28" t="s">
        <v>4473</v>
      </c>
      <c r="AC1000" s="109"/>
      <c r="AD1000" s="101"/>
    </row>
    <row r="1001" spans="2:30">
      <c r="B1001" s="1" t="s">
        <v>1497</v>
      </c>
    </row>
    <row r="1002" spans="2:30">
      <c r="B1002" s="1" t="s">
        <v>1496</v>
      </c>
    </row>
    <row r="1003" spans="2:30">
      <c r="B1003" s="1" t="s">
        <v>1495</v>
      </c>
    </row>
    <row r="1004" spans="2:30">
      <c r="B1004" s="1" t="s">
        <v>1494</v>
      </c>
    </row>
    <row r="1005" spans="2:30">
      <c r="B1005" s="1" t="s">
        <v>1493</v>
      </c>
    </row>
    <row r="1006" spans="2:30">
      <c r="B1006" s="1" t="s">
        <v>1492</v>
      </c>
    </row>
    <row r="1007" spans="2:30">
      <c r="B1007" s="1" t="s">
        <v>1491</v>
      </c>
    </row>
    <row r="1008" spans="2:30">
      <c r="B1008" s="1" t="s">
        <v>1490</v>
      </c>
    </row>
    <row r="1009" spans="2:30">
      <c r="B1009" s="1" t="s">
        <v>1489</v>
      </c>
      <c r="AB1009" s="107"/>
      <c r="AC1009" s="113"/>
      <c r="AD1009" s="105"/>
    </row>
    <row r="1010" spans="2:30">
      <c r="B1010" s="1" t="s">
        <v>1488</v>
      </c>
    </row>
    <row r="1011" spans="2:30">
      <c r="B1011" s="1" t="s">
        <v>1487</v>
      </c>
    </row>
    <row r="1012" spans="2:30">
      <c r="B1012" s="1" t="s">
        <v>1486</v>
      </c>
    </row>
    <row r="1013" spans="2:30">
      <c r="B1013" s="1" t="s">
        <v>1485</v>
      </c>
    </row>
    <row r="1014" spans="2:30">
      <c r="B1014" s="1" t="s">
        <v>1484</v>
      </c>
    </row>
    <row r="1015" spans="2:30">
      <c r="B1015" s="1" t="s">
        <v>1483</v>
      </c>
    </row>
    <row r="1016" spans="2:30">
      <c r="B1016" s="1" t="s">
        <v>1482</v>
      </c>
    </row>
    <row r="1017" spans="2:30">
      <c r="B1017" s="1" t="s">
        <v>1481</v>
      </c>
    </row>
    <row r="1018" spans="2:30">
      <c r="B1018" s="1" t="s">
        <v>1480</v>
      </c>
    </row>
    <row r="1019" spans="2:30">
      <c r="B1019" s="1" t="s">
        <v>1479</v>
      </c>
      <c r="C1019" s="26" t="s">
        <v>2180</v>
      </c>
    </row>
    <row r="1020" spans="2:30">
      <c r="B1020" s="1" t="s">
        <v>1478</v>
      </c>
    </row>
    <row r="1021" spans="2:30">
      <c r="B1021" s="1" t="s">
        <v>1477</v>
      </c>
    </row>
    <row r="1022" spans="2:30">
      <c r="B1022" s="1" t="s">
        <v>1476</v>
      </c>
    </row>
    <row r="1023" spans="2:30">
      <c r="B1023" s="1" t="s">
        <v>1475</v>
      </c>
    </row>
    <row r="1024" spans="2:30">
      <c r="B1024" s="1" t="s">
        <v>1474</v>
      </c>
    </row>
    <row r="1025" spans="2:2">
      <c r="B1025" s="1" t="s">
        <v>1473</v>
      </c>
    </row>
    <row r="1026" spans="2:2">
      <c r="B1026" s="1" t="s">
        <v>1472</v>
      </c>
    </row>
    <row r="1027" spans="2:2">
      <c r="B1027" s="1" t="s">
        <v>1471</v>
      </c>
    </row>
    <row r="1028" spans="2:2">
      <c r="B1028" s="1" t="s">
        <v>1470</v>
      </c>
    </row>
    <row r="1029" spans="2:2">
      <c r="B1029" s="1" t="s">
        <v>1469</v>
      </c>
    </row>
    <row r="1030" spans="2:2">
      <c r="B1030" s="1" t="s">
        <v>1468</v>
      </c>
    </row>
    <row r="1031" spans="2:2">
      <c r="B1031" s="1" t="s">
        <v>1467</v>
      </c>
    </row>
    <row r="1032" spans="2:2">
      <c r="B1032" s="1" t="s">
        <v>1466</v>
      </c>
    </row>
    <row r="1033" spans="2:2">
      <c r="B1033" s="1" t="s">
        <v>499</v>
      </c>
    </row>
    <row r="1034" spans="2:2">
      <c r="B1034" s="1" t="s">
        <v>1465</v>
      </c>
    </row>
    <row r="1035" spans="2:2">
      <c r="B1035" s="1" t="s">
        <v>1464</v>
      </c>
    </row>
    <row r="1036" spans="2:2">
      <c r="B1036" s="1" t="s">
        <v>1463</v>
      </c>
    </row>
    <row r="1037" spans="2:2">
      <c r="B1037" s="1" t="s">
        <v>1462</v>
      </c>
    </row>
    <row r="1038" spans="2:2">
      <c r="B1038" s="1" t="s">
        <v>1461</v>
      </c>
    </row>
    <row r="1039" spans="2:2">
      <c r="B1039" s="1" t="s">
        <v>1460</v>
      </c>
    </row>
    <row r="1040" spans="2:2">
      <c r="B1040" s="1" t="s">
        <v>1459</v>
      </c>
    </row>
    <row r="1041" spans="2:2">
      <c r="B1041" s="1" t="s">
        <v>1458</v>
      </c>
    </row>
    <row r="1042" spans="2:2">
      <c r="B1042" s="1" t="s">
        <v>1457</v>
      </c>
    </row>
    <row r="1043" spans="2:2">
      <c r="B1043" s="1" t="s">
        <v>1456</v>
      </c>
    </row>
    <row r="1044" spans="2:2">
      <c r="B1044" s="1" t="s">
        <v>1455</v>
      </c>
    </row>
    <row r="1045" spans="2:2">
      <c r="B1045" s="1" t="s">
        <v>1454</v>
      </c>
    </row>
    <row r="1046" spans="2:2">
      <c r="B1046" s="1" t="s">
        <v>1453</v>
      </c>
    </row>
    <row r="1047" spans="2:2">
      <c r="B1047" s="1" t="s">
        <v>1452</v>
      </c>
    </row>
    <row r="1048" spans="2:2">
      <c r="B1048" s="1" t="s">
        <v>1451</v>
      </c>
    </row>
    <row r="1049" spans="2:2">
      <c r="B1049" s="1" t="s">
        <v>1450</v>
      </c>
    </row>
    <row r="1050" spans="2:2">
      <c r="B1050" s="1" t="s">
        <v>1449</v>
      </c>
    </row>
    <row r="1051" spans="2:2">
      <c r="B1051" s="1" t="s">
        <v>1448</v>
      </c>
    </row>
    <row r="1052" spans="2:2">
      <c r="B1052" s="1" t="s">
        <v>1447</v>
      </c>
    </row>
    <row r="1053" spans="2:2">
      <c r="B1053" s="1" t="s">
        <v>1446</v>
      </c>
    </row>
    <row r="1054" spans="2:2">
      <c r="B1054" s="1" t="s">
        <v>1445</v>
      </c>
    </row>
    <row r="1055" spans="2:2">
      <c r="B1055" s="1" t="s">
        <v>1444</v>
      </c>
    </row>
    <row r="1056" spans="2:2">
      <c r="B1056" s="1" t="s">
        <v>1443</v>
      </c>
    </row>
    <row r="1057" spans="2:2">
      <c r="B1057" s="1" t="s">
        <v>1442</v>
      </c>
    </row>
    <row r="1058" spans="2:2">
      <c r="B1058" s="1" t="s">
        <v>1441</v>
      </c>
    </row>
    <row r="1059" spans="2:2">
      <c r="B1059" s="1" t="s">
        <v>1440</v>
      </c>
    </row>
    <row r="1060" spans="2:2">
      <c r="B1060" s="1" t="s">
        <v>1439</v>
      </c>
    </row>
    <row r="1061" spans="2:2">
      <c r="B1061" s="1" t="s">
        <v>1438</v>
      </c>
    </row>
    <row r="1062" spans="2:2">
      <c r="B1062" s="1" t="s">
        <v>1437</v>
      </c>
    </row>
    <row r="1063" spans="2:2">
      <c r="B1063" s="1" t="s">
        <v>1436</v>
      </c>
    </row>
    <row r="1064" spans="2:2">
      <c r="B1064" s="1" t="s">
        <v>1435</v>
      </c>
    </row>
    <row r="1065" spans="2:2">
      <c r="B1065" s="1" t="s">
        <v>1434</v>
      </c>
    </row>
    <row r="1066" spans="2:2">
      <c r="B1066" s="1" t="s">
        <v>1433</v>
      </c>
    </row>
    <row r="1067" spans="2:2">
      <c r="B1067" s="1" t="s">
        <v>1432</v>
      </c>
    </row>
    <row r="1068" spans="2:2">
      <c r="B1068" s="1" t="s">
        <v>1431</v>
      </c>
    </row>
    <row r="1069" spans="2:2">
      <c r="B1069" s="1" t="s">
        <v>1430</v>
      </c>
    </row>
    <row r="1070" spans="2:2">
      <c r="B1070" s="1" t="s">
        <v>1429</v>
      </c>
    </row>
    <row r="1071" spans="2:2">
      <c r="B1071" s="1" t="s">
        <v>1428</v>
      </c>
    </row>
    <row r="1072" spans="2:2">
      <c r="B1072" s="1" t="s">
        <v>1427</v>
      </c>
    </row>
    <row r="1073" spans="2:2">
      <c r="B1073" s="1" t="s">
        <v>1426</v>
      </c>
    </row>
    <row r="1074" spans="2:2">
      <c r="B1074" s="1" t="s">
        <v>1425</v>
      </c>
    </row>
    <row r="1075" spans="2:2">
      <c r="B1075" s="1" t="s">
        <v>1424</v>
      </c>
    </row>
    <row r="1076" spans="2:2">
      <c r="B1076" s="1" t="s">
        <v>1423</v>
      </c>
    </row>
    <row r="1077" spans="2:2">
      <c r="B1077" s="1" t="s">
        <v>1422</v>
      </c>
    </row>
    <row r="1078" spans="2:2">
      <c r="B1078" s="1" t="s">
        <v>1421</v>
      </c>
    </row>
    <row r="1079" spans="2:2">
      <c r="B1079" s="1" t="s">
        <v>1420</v>
      </c>
    </row>
    <row r="1080" spans="2:2">
      <c r="B1080" s="1" t="s">
        <v>1419</v>
      </c>
    </row>
    <row r="1081" spans="2:2">
      <c r="B1081" s="1" t="s">
        <v>1418</v>
      </c>
    </row>
    <row r="1082" spans="2:2">
      <c r="B1082" s="1" t="s">
        <v>1417</v>
      </c>
    </row>
    <row r="1083" spans="2:2">
      <c r="B1083" s="1" t="s">
        <v>1416</v>
      </c>
    </row>
    <row r="1084" spans="2:2">
      <c r="B1084" s="1" t="s">
        <v>1415</v>
      </c>
    </row>
    <row r="1085" spans="2:2">
      <c r="B1085" s="1" t="s">
        <v>1414</v>
      </c>
    </row>
    <row r="1086" spans="2:2">
      <c r="B1086" s="1" t="s">
        <v>1413</v>
      </c>
    </row>
    <row r="1087" spans="2:2">
      <c r="B1087" s="1" t="s">
        <v>1412</v>
      </c>
    </row>
    <row r="1088" spans="2:2">
      <c r="B1088" s="1" t="s">
        <v>1411</v>
      </c>
    </row>
    <row r="1089" spans="2:2">
      <c r="B1089" s="1" t="s">
        <v>1410</v>
      </c>
    </row>
    <row r="1090" spans="2:2">
      <c r="B1090" s="1" t="s">
        <v>1409</v>
      </c>
    </row>
    <row r="1091" spans="2:2">
      <c r="B1091" s="1" t="s">
        <v>1408</v>
      </c>
    </row>
    <row r="1092" spans="2:2">
      <c r="B1092" s="1" t="s">
        <v>1407</v>
      </c>
    </row>
    <row r="1093" spans="2:2">
      <c r="B1093" s="1" t="s">
        <v>1406</v>
      </c>
    </row>
    <row r="1094" spans="2:2">
      <c r="B1094" s="1" t="s">
        <v>1405</v>
      </c>
    </row>
    <row r="1095" spans="2:2">
      <c r="B1095" s="1" t="s">
        <v>1404</v>
      </c>
    </row>
    <row r="1096" spans="2:2">
      <c r="B1096" s="1" t="s">
        <v>1403</v>
      </c>
    </row>
    <row r="1097" spans="2:2">
      <c r="B1097" s="1" t="s">
        <v>1402</v>
      </c>
    </row>
    <row r="1098" spans="2:2">
      <c r="B1098" s="1" t="s">
        <v>1401</v>
      </c>
    </row>
    <row r="1099" spans="2:2">
      <c r="B1099" s="1" t="s">
        <v>1400</v>
      </c>
    </row>
    <row r="1100" spans="2:2">
      <c r="B1100" s="1" t="s">
        <v>1399</v>
      </c>
    </row>
    <row r="1101" spans="2:2">
      <c r="B1101" s="1" t="s">
        <v>1398</v>
      </c>
    </row>
    <row r="1102" spans="2:2">
      <c r="B1102" s="1" t="s">
        <v>1397</v>
      </c>
    </row>
    <row r="1103" spans="2:2">
      <c r="B1103" s="1" t="s">
        <v>1396</v>
      </c>
    </row>
    <row r="1104" spans="2:2">
      <c r="B1104" s="1" t="s">
        <v>1395</v>
      </c>
    </row>
    <row r="1105" spans="2:2">
      <c r="B1105" s="1" t="s">
        <v>1394</v>
      </c>
    </row>
    <row r="1106" spans="2:2">
      <c r="B1106" s="1" t="s">
        <v>1393</v>
      </c>
    </row>
    <row r="1107" spans="2:2">
      <c r="B1107" s="1" t="s">
        <v>1392</v>
      </c>
    </row>
    <row r="1108" spans="2:2">
      <c r="B1108" s="1" t="s">
        <v>1391</v>
      </c>
    </row>
    <row r="1109" spans="2:2">
      <c r="B1109" s="1" t="s">
        <v>1390</v>
      </c>
    </row>
    <row r="1110" spans="2:2">
      <c r="B1110" s="1" t="s">
        <v>1389</v>
      </c>
    </row>
    <row r="1111" spans="2:2">
      <c r="B1111" s="1" t="s">
        <v>1388</v>
      </c>
    </row>
    <row r="1112" spans="2:2">
      <c r="B1112" s="1" t="s">
        <v>1387</v>
      </c>
    </row>
    <row r="1113" spans="2:2">
      <c r="B1113" s="1" t="s">
        <v>1386</v>
      </c>
    </row>
    <row r="1114" spans="2:2">
      <c r="B1114" s="1" t="s">
        <v>1385</v>
      </c>
    </row>
    <row r="1115" spans="2:2">
      <c r="B1115" s="1" t="s">
        <v>1384</v>
      </c>
    </row>
    <row r="1116" spans="2:2">
      <c r="B1116" s="1" t="s">
        <v>1383</v>
      </c>
    </row>
    <row r="1117" spans="2:2">
      <c r="B1117" s="1" t="s">
        <v>1382</v>
      </c>
    </row>
    <row r="1118" spans="2:2">
      <c r="B1118" s="1" t="s">
        <v>1381</v>
      </c>
    </row>
    <row r="1119" spans="2:2">
      <c r="B1119" s="1" t="s">
        <v>1380</v>
      </c>
    </row>
    <row r="1120" spans="2:2">
      <c r="B1120" s="1" t="s">
        <v>1379</v>
      </c>
    </row>
    <row r="1121" spans="2:2">
      <c r="B1121" s="1" t="s">
        <v>1378</v>
      </c>
    </row>
    <row r="1122" spans="2:2">
      <c r="B1122" s="1" t="s">
        <v>1377</v>
      </c>
    </row>
    <row r="1123" spans="2:2">
      <c r="B1123" s="1" t="s">
        <v>1376</v>
      </c>
    </row>
    <row r="1124" spans="2:2">
      <c r="B1124" s="1" t="s">
        <v>1375</v>
      </c>
    </row>
    <row r="1125" spans="2:2">
      <c r="B1125" s="1" t="s">
        <v>1374</v>
      </c>
    </row>
    <row r="1126" spans="2:2">
      <c r="B1126" s="1" t="s">
        <v>1373</v>
      </c>
    </row>
    <row r="1127" spans="2:2">
      <c r="B1127" s="1" t="s">
        <v>1372</v>
      </c>
    </row>
    <row r="1128" spans="2:2">
      <c r="B1128" s="1" t="s">
        <v>1371</v>
      </c>
    </row>
    <row r="1129" spans="2:2">
      <c r="B1129" s="1" t="s">
        <v>1370</v>
      </c>
    </row>
    <row r="1130" spans="2:2">
      <c r="B1130" s="1" t="s">
        <v>1369</v>
      </c>
    </row>
    <row r="1131" spans="2:2">
      <c r="B1131" s="1" t="s">
        <v>1368</v>
      </c>
    </row>
    <row r="1132" spans="2:2">
      <c r="B1132" s="1" t="s">
        <v>1367</v>
      </c>
    </row>
    <row r="1133" spans="2:2">
      <c r="B1133" s="1" t="s">
        <v>1366</v>
      </c>
    </row>
    <row r="1134" spans="2:2">
      <c r="B1134" s="1" t="s">
        <v>1365</v>
      </c>
    </row>
    <row r="1135" spans="2:2">
      <c r="B1135" s="1" t="s">
        <v>1364</v>
      </c>
    </row>
    <row r="1136" spans="2:2">
      <c r="B1136" s="1" t="s">
        <v>1363</v>
      </c>
    </row>
    <row r="1137" spans="2:2">
      <c r="B1137" s="1" t="s">
        <v>1362</v>
      </c>
    </row>
    <row r="1138" spans="2:2">
      <c r="B1138" s="1" t="s">
        <v>1361</v>
      </c>
    </row>
    <row r="1139" spans="2:2">
      <c r="B1139" s="1" t="s">
        <v>1360</v>
      </c>
    </row>
    <row r="1140" spans="2:2">
      <c r="B1140" s="1" t="s">
        <v>1359</v>
      </c>
    </row>
    <row r="1141" spans="2:2">
      <c r="B1141" s="1" t="s">
        <v>1358</v>
      </c>
    </row>
    <row r="1142" spans="2:2">
      <c r="B1142" s="1" t="s">
        <v>1357</v>
      </c>
    </row>
    <row r="1143" spans="2:2">
      <c r="B1143" s="1" t="s">
        <v>1356</v>
      </c>
    </row>
    <row r="1144" spans="2:2">
      <c r="B1144" s="1" t="s">
        <v>1355</v>
      </c>
    </row>
    <row r="1145" spans="2:2">
      <c r="B1145" s="1" t="s">
        <v>1354</v>
      </c>
    </row>
    <row r="1146" spans="2:2">
      <c r="B1146" s="1" t="s">
        <v>1353</v>
      </c>
    </row>
    <row r="1147" spans="2:2">
      <c r="B1147" s="1" t="s">
        <v>1352</v>
      </c>
    </row>
    <row r="1148" spans="2:2">
      <c r="B1148" s="1" t="s">
        <v>1351</v>
      </c>
    </row>
    <row r="1149" spans="2:2">
      <c r="B1149" s="1" t="s">
        <v>1350</v>
      </c>
    </row>
    <row r="1150" spans="2:2">
      <c r="B1150" s="1" t="s">
        <v>1349</v>
      </c>
    </row>
    <row r="1151" spans="2:2">
      <c r="B1151" s="1" t="s">
        <v>1348</v>
      </c>
    </row>
    <row r="1152" spans="2:2">
      <c r="B1152" s="1" t="s">
        <v>1347</v>
      </c>
    </row>
    <row r="1153" spans="2:2">
      <c r="B1153" s="1" t="s">
        <v>1346</v>
      </c>
    </row>
    <row r="1154" spans="2:2">
      <c r="B1154" s="1" t="s">
        <v>1345</v>
      </c>
    </row>
    <row r="1155" spans="2:2">
      <c r="B1155" s="1" t="s">
        <v>1344</v>
      </c>
    </row>
    <row r="1156" spans="2:2">
      <c r="B1156" s="1" t="s">
        <v>1343</v>
      </c>
    </row>
    <row r="1157" spans="2:2">
      <c r="B1157" s="1" t="s">
        <v>1342</v>
      </c>
    </row>
    <row r="1158" spans="2:2">
      <c r="B1158" s="1" t="s">
        <v>1341</v>
      </c>
    </row>
    <row r="1159" spans="2:2">
      <c r="B1159" s="1" t="s">
        <v>1340</v>
      </c>
    </row>
    <row r="1160" spans="2:2">
      <c r="B1160" s="1" t="s">
        <v>1339</v>
      </c>
    </row>
    <row r="1161" spans="2:2">
      <c r="B1161" s="1" t="s">
        <v>1338</v>
      </c>
    </row>
    <row r="1162" spans="2:2">
      <c r="B1162" s="1" t="s">
        <v>1337</v>
      </c>
    </row>
    <row r="1163" spans="2:2">
      <c r="B1163" s="1" t="s">
        <v>1336</v>
      </c>
    </row>
    <row r="1164" spans="2:2">
      <c r="B1164" s="1" t="s">
        <v>1335</v>
      </c>
    </row>
    <row r="1165" spans="2:2">
      <c r="B1165" s="1" t="s">
        <v>1334</v>
      </c>
    </row>
    <row r="1166" spans="2:2">
      <c r="B1166" s="1" t="s">
        <v>1333</v>
      </c>
    </row>
    <row r="1167" spans="2:2">
      <c r="B1167" s="1" t="s">
        <v>4472</v>
      </c>
    </row>
    <row r="1168" spans="2:2">
      <c r="B1168" s="1" t="s">
        <v>1332</v>
      </c>
    </row>
    <row r="1169" spans="2:2">
      <c r="B1169" s="1" t="s">
        <v>1331</v>
      </c>
    </row>
    <row r="1170" spans="2:2">
      <c r="B1170" s="1" t="s">
        <v>1330</v>
      </c>
    </row>
    <row r="1171" spans="2:2">
      <c r="B1171" s="1" t="s">
        <v>1329</v>
      </c>
    </row>
    <row r="1172" spans="2:2">
      <c r="B1172" s="1" t="s">
        <v>1328</v>
      </c>
    </row>
    <row r="1173" spans="2:2">
      <c r="B1173" s="1" t="s">
        <v>1327</v>
      </c>
    </row>
    <row r="1174" spans="2:2">
      <c r="B1174" s="1" t="s">
        <v>1326</v>
      </c>
    </row>
    <row r="1175" spans="2:2">
      <c r="B1175" s="1" t="s">
        <v>1325</v>
      </c>
    </row>
    <row r="1176" spans="2:2">
      <c r="B1176" s="1" t="s">
        <v>1324</v>
      </c>
    </row>
    <row r="1177" spans="2:2">
      <c r="B1177" s="1" t="s">
        <v>1323</v>
      </c>
    </row>
    <row r="1178" spans="2:2">
      <c r="B1178" s="1" t="s">
        <v>1322</v>
      </c>
    </row>
    <row r="1179" spans="2:2">
      <c r="B1179" s="1" t="s">
        <v>1321</v>
      </c>
    </row>
    <row r="1180" spans="2:2">
      <c r="B1180" s="1" t="s">
        <v>1320</v>
      </c>
    </row>
    <row r="1181" spans="2:2">
      <c r="B1181" s="1" t="s">
        <v>1319</v>
      </c>
    </row>
    <row r="1182" spans="2:2">
      <c r="B1182" s="1" t="s">
        <v>1318</v>
      </c>
    </row>
    <row r="1183" spans="2:2">
      <c r="B1183" s="1" t="s">
        <v>1317</v>
      </c>
    </row>
    <row r="1184" spans="2:2">
      <c r="B1184" s="1" t="s">
        <v>1316</v>
      </c>
    </row>
    <row r="1185" spans="2:2">
      <c r="B1185" s="1" t="s">
        <v>1315</v>
      </c>
    </row>
    <row r="1186" spans="2:2">
      <c r="B1186" s="1" t="s">
        <v>1314</v>
      </c>
    </row>
    <row r="1187" spans="2:2">
      <c r="B1187" s="1" t="s">
        <v>1313</v>
      </c>
    </row>
    <row r="1188" spans="2:2">
      <c r="B1188" s="1" t="s">
        <v>1312</v>
      </c>
    </row>
    <row r="1189" spans="2:2">
      <c r="B1189" s="1" t="s">
        <v>1311</v>
      </c>
    </row>
    <row r="1190" spans="2:2">
      <c r="B1190" s="1" t="s">
        <v>1310</v>
      </c>
    </row>
    <row r="1191" spans="2:2">
      <c r="B1191" s="1" t="s">
        <v>1309</v>
      </c>
    </row>
    <row r="1192" spans="2:2">
      <c r="B1192" s="1" t="s">
        <v>1308</v>
      </c>
    </row>
    <row r="1193" spans="2:2">
      <c r="B1193" s="1" t="s">
        <v>1307</v>
      </c>
    </row>
    <row r="1194" spans="2:2">
      <c r="B1194" s="1" t="s">
        <v>1306</v>
      </c>
    </row>
    <row r="1195" spans="2:2">
      <c r="B1195" s="1" t="s">
        <v>1305</v>
      </c>
    </row>
    <row r="1196" spans="2:2">
      <c r="B1196" s="1" t="s">
        <v>1304</v>
      </c>
    </row>
    <row r="1197" spans="2:2">
      <c r="B1197" s="1" t="s">
        <v>1303</v>
      </c>
    </row>
    <row r="1198" spans="2:2">
      <c r="B1198" s="1" t="s">
        <v>1302</v>
      </c>
    </row>
    <row r="1199" spans="2:2">
      <c r="B1199" s="1" t="s">
        <v>1301</v>
      </c>
    </row>
    <row r="1200" spans="2:2">
      <c r="B1200" s="1" t="s">
        <v>1300</v>
      </c>
    </row>
    <row r="1201" spans="2:2">
      <c r="B1201" s="1" t="s">
        <v>1299</v>
      </c>
    </row>
    <row r="1202" spans="2:2">
      <c r="B1202" s="1" t="s">
        <v>1298</v>
      </c>
    </row>
    <row r="1203" spans="2:2">
      <c r="B1203" s="1" t="s">
        <v>1297</v>
      </c>
    </row>
    <row r="1204" spans="2:2">
      <c r="B1204" s="1" t="s">
        <v>1296</v>
      </c>
    </row>
    <row r="1205" spans="2:2">
      <c r="B1205" s="1" t="s">
        <v>1295</v>
      </c>
    </row>
    <row r="1206" spans="2:2">
      <c r="B1206" s="1" t="s">
        <v>1294</v>
      </c>
    </row>
    <row r="1207" spans="2:2">
      <c r="B1207" s="1" t="s">
        <v>1293</v>
      </c>
    </row>
    <row r="1208" spans="2:2">
      <c r="B1208" s="1" t="s">
        <v>1292</v>
      </c>
    </row>
    <row r="1209" spans="2:2">
      <c r="B1209" s="1" t="s">
        <v>1291</v>
      </c>
    </row>
    <row r="1210" spans="2:2">
      <c r="B1210" s="1" t="s">
        <v>1290</v>
      </c>
    </row>
    <row r="1211" spans="2:2">
      <c r="B1211" s="1" t="s">
        <v>1289</v>
      </c>
    </row>
    <row r="1212" spans="2:2">
      <c r="B1212" s="1" t="s">
        <v>1288</v>
      </c>
    </row>
    <row r="1213" spans="2:2">
      <c r="B1213" s="1" t="s">
        <v>1287</v>
      </c>
    </row>
    <row r="1214" spans="2:2">
      <c r="B1214" s="1" t="s">
        <v>1286</v>
      </c>
    </row>
    <row r="1215" spans="2:2">
      <c r="B1215" s="1" t="s">
        <v>1285</v>
      </c>
    </row>
    <row r="1216" spans="2:2">
      <c r="B1216" s="1" t="s">
        <v>1284</v>
      </c>
    </row>
    <row r="1217" spans="2:2">
      <c r="B1217" s="1" t="s">
        <v>1283</v>
      </c>
    </row>
    <row r="1218" spans="2:2">
      <c r="B1218" s="1" t="s">
        <v>1282</v>
      </c>
    </row>
    <row r="1219" spans="2:2">
      <c r="B1219" s="1" t="s">
        <v>1281</v>
      </c>
    </row>
    <row r="1220" spans="2:2">
      <c r="B1220" s="1" t="s">
        <v>1280</v>
      </c>
    </row>
    <row r="1221" spans="2:2">
      <c r="B1221" s="1" t="s">
        <v>4483</v>
      </c>
    </row>
    <row r="1222" spans="2:2">
      <c r="B1222" s="1" t="s">
        <v>1279</v>
      </c>
    </row>
    <row r="1223" spans="2:2">
      <c r="B1223" s="1" t="s">
        <v>1278</v>
      </c>
    </row>
    <row r="1224" spans="2:2">
      <c r="B1224" s="1" t="s">
        <v>1277</v>
      </c>
    </row>
    <row r="1225" spans="2:2">
      <c r="B1225" s="1" t="s">
        <v>1276</v>
      </c>
    </row>
    <row r="1226" spans="2:2">
      <c r="B1226" s="1" t="s">
        <v>4484</v>
      </c>
    </row>
    <row r="1227" spans="2:2">
      <c r="B1227" s="1" t="s">
        <v>1275</v>
      </c>
    </row>
    <row r="1228" spans="2:2">
      <c r="B1228" s="1" t="s">
        <v>1274</v>
      </c>
    </row>
    <row r="1229" spans="2:2">
      <c r="B1229" s="1" t="s">
        <v>1273</v>
      </c>
    </row>
    <row r="1230" spans="2:2">
      <c r="B1230" s="1" t="s">
        <v>1272</v>
      </c>
    </row>
    <row r="1231" spans="2:2">
      <c r="B1231" s="1" t="s">
        <v>1271</v>
      </c>
    </row>
    <row r="1232" spans="2:2">
      <c r="B1232" s="1" t="s">
        <v>1270</v>
      </c>
    </row>
    <row r="1233" spans="2:2">
      <c r="B1233" s="1" t="s">
        <v>1269</v>
      </c>
    </row>
    <row r="1234" spans="2:2">
      <c r="B1234" s="1" t="s">
        <v>1268</v>
      </c>
    </row>
    <row r="1235" spans="2:2">
      <c r="B1235" s="1" t="s">
        <v>1267</v>
      </c>
    </row>
    <row r="1236" spans="2:2">
      <c r="B1236" s="1" t="s">
        <v>1266</v>
      </c>
    </row>
    <row r="1237" spans="2:2">
      <c r="B1237" s="1" t="s">
        <v>1265</v>
      </c>
    </row>
    <row r="1238" spans="2:2">
      <c r="B1238" s="1" t="s">
        <v>1264</v>
      </c>
    </row>
    <row r="1239" spans="2:2">
      <c r="B1239" s="1" t="s">
        <v>1263</v>
      </c>
    </row>
    <row r="1240" spans="2:2">
      <c r="B1240" s="1" t="s">
        <v>1262</v>
      </c>
    </row>
    <row r="1241" spans="2:2">
      <c r="B1241" s="1" t="s">
        <v>1261</v>
      </c>
    </row>
    <row r="1242" spans="2:2">
      <c r="B1242" s="1" t="s">
        <v>1260</v>
      </c>
    </row>
    <row r="1243" spans="2:2">
      <c r="B1243" s="1" t="s">
        <v>1259</v>
      </c>
    </row>
    <row r="1244" spans="2:2">
      <c r="B1244" s="1" t="s">
        <v>1258</v>
      </c>
    </row>
    <row r="1245" spans="2:2">
      <c r="B1245" s="1" t="s">
        <v>1257</v>
      </c>
    </row>
    <row r="1246" spans="2:2">
      <c r="B1246" s="1" t="s">
        <v>1256</v>
      </c>
    </row>
    <row r="1247" spans="2:2">
      <c r="B1247" s="1" t="s">
        <v>1255</v>
      </c>
    </row>
    <row r="1248" spans="2:2">
      <c r="B1248" s="1" t="s">
        <v>1254</v>
      </c>
    </row>
    <row r="1249" spans="2:2">
      <c r="B1249" s="1" t="s">
        <v>1253</v>
      </c>
    </row>
    <row r="1250" spans="2:2">
      <c r="B1250" s="1" t="s">
        <v>1252</v>
      </c>
    </row>
    <row r="1251" spans="2:2">
      <c r="B1251" s="1" t="s">
        <v>1251</v>
      </c>
    </row>
    <row r="1252" spans="2:2">
      <c r="B1252" s="1" t="s">
        <v>1250</v>
      </c>
    </row>
    <row r="1253" spans="2:2">
      <c r="B1253" s="1" t="s">
        <v>1249</v>
      </c>
    </row>
    <row r="1254" spans="2:2">
      <c r="B1254" s="1" t="s">
        <v>1248</v>
      </c>
    </row>
    <row r="1255" spans="2:2">
      <c r="B1255" s="1" t="s">
        <v>1247</v>
      </c>
    </row>
    <row r="1256" spans="2:2">
      <c r="B1256" s="1" t="s">
        <v>1246</v>
      </c>
    </row>
    <row r="1257" spans="2:2">
      <c r="B1257" s="1" t="s">
        <v>1245</v>
      </c>
    </row>
    <row r="1258" spans="2:2">
      <c r="B1258" s="1" t="s">
        <v>1244</v>
      </c>
    </row>
    <row r="1259" spans="2:2">
      <c r="B1259" s="1" t="s">
        <v>1243</v>
      </c>
    </row>
    <row r="1260" spans="2:2">
      <c r="B1260" s="1" t="s">
        <v>1242</v>
      </c>
    </row>
    <row r="1261" spans="2:2">
      <c r="B1261" s="1" t="s">
        <v>1241</v>
      </c>
    </row>
    <row r="1262" spans="2:2">
      <c r="B1262" s="1" t="s">
        <v>1240</v>
      </c>
    </row>
    <row r="1263" spans="2:2">
      <c r="B1263" s="1" t="s">
        <v>1239</v>
      </c>
    </row>
    <row r="1264" spans="2:2">
      <c r="B1264" s="1" t="s">
        <v>1238</v>
      </c>
    </row>
    <row r="1265" spans="2:32">
      <c r="B1265" s="1" t="s">
        <v>1237</v>
      </c>
    </row>
    <row r="1266" spans="2:32">
      <c r="B1266" s="1" t="s">
        <v>1236</v>
      </c>
    </row>
    <row r="1267" spans="2:32">
      <c r="B1267" s="1" t="s">
        <v>1235</v>
      </c>
    </row>
    <row r="1268" spans="2:32">
      <c r="B1268" s="1" t="s">
        <v>1234</v>
      </c>
    </row>
    <row r="1269" spans="2:32">
      <c r="B1269" s="1" t="s">
        <v>166</v>
      </c>
    </row>
    <row r="1270" spans="2:32">
      <c r="B1270" s="1" t="s">
        <v>1233</v>
      </c>
      <c r="AF1270" s="27"/>
    </row>
    <row r="1271" spans="2:32">
      <c r="B1271" s="1" t="s">
        <v>1232</v>
      </c>
    </row>
    <row r="1272" spans="2:32">
      <c r="B1272" s="1" t="s">
        <v>1231</v>
      </c>
    </row>
    <row r="1273" spans="2:32">
      <c r="B1273" s="1" t="s">
        <v>1230</v>
      </c>
    </row>
    <row r="1274" spans="2:32">
      <c r="B1274" s="1" t="s">
        <v>1229</v>
      </c>
    </row>
    <row r="1275" spans="2:32">
      <c r="B1275" s="1" t="s">
        <v>1228</v>
      </c>
    </row>
    <row r="1276" spans="2:32">
      <c r="B1276" s="1" t="s">
        <v>1227</v>
      </c>
    </row>
    <row r="1277" spans="2:32">
      <c r="B1277" s="1" t="s">
        <v>1226</v>
      </c>
    </row>
    <row r="1278" spans="2:32">
      <c r="B1278" s="1" t="s">
        <v>1225</v>
      </c>
    </row>
    <row r="1279" spans="2:32">
      <c r="B1279" s="1" t="s">
        <v>1224</v>
      </c>
    </row>
    <row r="1280" spans="2:32">
      <c r="B1280" s="1" t="s">
        <v>1223</v>
      </c>
    </row>
    <row r="1281" spans="2:2">
      <c r="B1281" s="1" t="s">
        <v>1222</v>
      </c>
    </row>
    <row r="1282" spans="2:2">
      <c r="B1282" s="1" t="s">
        <v>1221</v>
      </c>
    </row>
    <row r="1283" spans="2:2">
      <c r="B1283" s="1" t="s">
        <v>1220</v>
      </c>
    </row>
    <row r="1284" spans="2:2">
      <c r="B1284" s="1" t="s">
        <v>1219</v>
      </c>
    </row>
    <row r="1285" spans="2:2">
      <c r="B1285" s="1" t="s">
        <v>1218</v>
      </c>
    </row>
    <row r="1286" spans="2:2">
      <c r="B1286" s="1" t="s">
        <v>1217</v>
      </c>
    </row>
    <row r="1287" spans="2:2">
      <c r="B1287" s="1" t="s">
        <v>1216</v>
      </c>
    </row>
    <row r="1288" spans="2:2">
      <c r="B1288" s="1" t="s">
        <v>1215</v>
      </c>
    </row>
    <row r="1289" spans="2:2">
      <c r="B1289" s="1" t="s">
        <v>1214</v>
      </c>
    </row>
    <row r="1290" spans="2:2">
      <c r="B1290" s="1" t="s">
        <v>1213</v>
      </c>
    </row>
    <row r="1291" spans="2:2">
      <c r="B1291" s="1" t="s">
        <v>1212</v>
      </c>
    </row>
    <row r="1292" spans="2:2">
      <c r="B1292" s="1" t="s">
        <v>1211</v>
      </c>
    </row>
    <row r="1293" spans="2:2">
      <c r="B1293" s="1" t="s">
        <v>1210</v>
      </c>
    </row>
    <row r="1294" spans="2:2">
      <c r="B1294" s="1" t="s">
        <v>1209</v>
      </c>
    </row>
    <row r="1295" spans="2:2">
      <c r="B1295" s="1" t="s">
        <v>1208</v>
      </c>
    </row>
    <row r="1296" spans="2:2">
      <c r="B1296" s="1" t="s">
        <v>1207</v>
      </c>
    </row>
    <row r="1297" spans="2:2">
      <c r="B1297" s="1" t="s">
        <v>1206</v>
      </c>
    </row>
    <row r="1298" spans="2:2">
      <c r="B1298" s="1" t="s">
        <v>1205</v>
      </c>
    </row>
    <row r="1299" spans="2:2">
      <c r="B1299" s="1" t="s">
        <v>1204</v>
      </c>
    </row>
    <row r="1300" spans="2:2">
      <c r="B1300" s="1" t="s">
        <v>1203</v>
      </c>
    </row>
    <row r="1301" spans="2:2">
      <c r="B1301" s="1" t="s">
        <v>1202</v>
      </c>
    </row>
    <row r="1302" spans="2:2">
      <c r="B1302" s="1" t="s">
        <v>1201</v>
      </c>
    </row>
    <row r="1303" spans="2:2">
      <c r="B1303" s="1" t="s">
        <v>1200</v>
      </c>
    </row>
    <row r="1304" spans="2:2">
      <c r="B1304" s="1" t="s">
        <v>1199</v>
      </c>
    </row>
    <row r="1305" spans="2:2">
      <c r="B1305" s="1" t="s">
        <v>1198</v>
      </c>
    </row>
    <row r="1306" spans="2:2">
      <c r="B1306" s="1" t="s">
        <v>1197</v>
      </c>
    </row>
    <row r="1307" spans="2:2">
      <c r="B1307" s="1" t="s">
        <v>1196</v>
      </c>
    </row>
    <row r="1308" spans="2:2">
      <c r="B1308" s="1" t="s">
        <v>1195</v>
      </c>
    </row>
    <row r="1309" spans="2:2">
      <c r="B1309" s="1" t="s">
        <v>4447</v>
      </c>
    </row>
    <row r="1310" spans="2:2">
      <c r="B1310" s="1" t="s">
        <v>4451</v>
      </c>
    </row>
    <row r="1311" spans="2:2">
      <c r="B1311" s="1" t="s">
        <v>4453</v>
      </c>
    </row>
    <row r="1312" spans="2:2">
      <c r="B1312" s="1" t="s">
        <v>4454</v>
      </c>
    </row>
    <row r="1313" spans="2:2">
      <c r="B1313" s="1" t="s">
        <v>4455</v>
      </c>
    </row>
    <row r="1314" spans="2:2">
      <c r="B1314" s="1" t="s">
        <v>4456</v>
      </c>
    </row>
    <row r="1315" spans="2:2">
      <c r="B1315" s="1" t="s">
        <v>4457</v>
      </c>
    </row>
    <row r="1316" spans="2:2">
      <c r="B1316" s="1" t="s">
        <v>4458</v>
      </c>
    </row>
    <row r="1317" spans="2:2">
      <c r="B1317" s="1" t="s">
        <v>4459</v>
      </c>
    </row>
    <row r="1318" spans="2:2">
      <c r="B1318" s="1" t="s">
        <v>4460</v>
      </c>
    </row>
    <row r="1319" spans="2:2">
      <c r="B1319" s="1" t="s">
        <v>4462</v>
      </c>
    </row>
    <row r="1320" spans="2:2">
      <c r="B1320" s="1" t="s">
        <v>4463</v>
      </c>
    </row>
    <row r="1321" spans="2:2">
      <c r="B1321" s="1" t="s">
        <v>4464</v>
      </c>
    </row>
    <row r="1322" spans="2:2">
      <c r="B1322" s="1" t="s">
        <v>4465</v>
      </c>
    </row>
    <row r="1323" spans="2:2">
      <c r="B1323" s="1" t="s">
        <v>4466</v>
      </c>
    </row>
    <row r="1324" spans="2:2">
      <c r="B1324" s="1" t="s">
        <v>4467</v>
      </c>
    </row>
    <row r="1325" spans="2:2">
      <c r="B1325" s="1" t="s">
        <v>4468</v>
      </c>
    </row>
    <row r="1326" spans="2:2">
      <c r="B1326" s="1" t="s">
        <v>4475</v>
      </c>
    </row>
    <row r="1327" spans="2:2">
      <c r="B1327" s="1" t="s">
        <v>4476</v>
      </c>
    </row>
    <row r="1328" spans="2:2">
      <c r="B1328" s="1" t="s">
        <v>4477</v>
      </c>
    </row>
    <row r="1329" spans="2:3">
      <c r="B1329" s="1" t="s">
        <v>4478</v>
      </c>
    </row>
    <row r="1330" spans="2:3">
      <c r="B1330" s="1" t="s">
        <v>1976</v>
      </c>
    </row>
    <row r="1331" spans="2:3">
      <c r="B1331" s="1" t="s">
        <v>4479</v>
      </c>
    </row>
    <row r="1332" spans="2:3">
      <c r="B1332" s="1" t="s">
        <v>4480</v>
      </c>
    </row>
    <row r="1333" spans="2:3">
      <c r="B1333" s="1" t="s">
        <v>4481</v>
      </c>
    </row>
    <row r="1334" spans="2:3">
      <c r="B1334" s="1" t="s">
        <v>4482</v>
      </c>
      <c r="C1334" s="26" t="s">
        <v>2180</v>
      </c>
    </row>
    <row r="1335" spans="2:3">
      <c r="B1335" s="1" t="s">
        <v>4486</v>
      </c>
      <c r="C1335" s="26" t="s">
        <v>4487</v>
      </c>
    </row>
    <row r="1336" spans="2:3">
      <c r="B1336" s="1" t="s">
        <v>4489</v>
      </c>
    </row>
    <row r="1337" spans="2:3">
      <c r="B1337" s="1" t="s">
        <v>4490</v>
      </c>
    </row>
    <row r="1338" spans="2:3">
      <c r="B1338" s="1" t="s">
        <v>4491</v>
      </c>
    </row>
    <row r="1339" spans="2:3">
      <c r="B1339" s="1" t="s">
        <v>4492</v>
      </c>
    </row>
    <row r="1340" spans="2:3">
      <c r="B1340" s="1" t="s">
        <v>4494</v>
      </c>
    </row>
    <row r="1341" spans="2:3">
      <c r="B1341" s="1" t="s">
        <v>4495</v>
      </c>
    </row>
    <row r="1342" spans="2:3">
      <c r="B1342" s="1" t="s">
        <v>4533</v>
      </c>
    </row>
    <row r="1343" spans="2:3">
      <c r="B1343" s="1" t="s">
        <v>4562</v>
      </c>
    </row>
    <row r="1344" spans="2:3">
      <c r="B1344" s="1" t="s">
        <v>4563</v>
      </c>
    </row>
    <row r="1345" spans="2:30">
      <c r="B1345" s="1" t="s">
        <v>4565</v>
      </c>
    </row>
    <row r="1346" spans="2:30">
      <c r="B1346" s="1" t="s">
        <v>4650</v>
      </c>
      <c r="I1346" s="1" t="s">
        <v>4652</v>
      </c>
      <c r="L1346" s="1">
        <v>2020</v>
      </c>
      <c r="AA1346" s="95" t="s">
        <v>2085</v>
      </c>
      <c r="AB1346" s="28" t="s">
        <v>4651</v>
      </c>
      <c r="AC1346" s="109"/>
      <c r="AD1346" s="101"/>
    </row>
    <row r="1347" spans="2:30">
      <c r="B1347" s="84" t="s">
        <v>5035</v>
      </c>
    </row>
    <row r="1348" spans="2:30">
      <c r="B1348" s="84" t="s">
        <v>5082</v>
      </c>
    </row>
    <row r="1349" spans="2:30">
      <c r="B1349" s="95" t="s">
        <v>5187</v>
      </c>
    </row>
    <row r="1350" spans="2:30">
      <c r="B1350" s="95" t="s">
        <v>5223</v>
      </c>
    </row>
    <row r="1351" spans="2:30">
      <c r="B1351" s="95" t="s">
        <v>5225</v>
      </c>
    </row>
  </sheetData>
  <autoFilter ref="A2:L398" xr:uid="{DC9C89C9-C58C-431A-80D5-5C7D568EC13B}"/>
  <hyperlinks>
    <hyperlink ref="A1" location="Main!A1" display="Main" xr:uid="{7DC47930-6FDD-2A40-A215-ADB7D7D212D9}"/>
    <hyperlink ref="M85" r:id="rId1" xr:uid="{37B348D1-62FB-CB42-8FDE-DB2286F85AF4}"/>
    <hyperlink ref="M366" r:id="rId2" xr:uid="{63A7BC90-DBBE-514D-9915-3C6B5CB87487}"/>
    <hyperlink ref="M45" r:id="rId3" xr:uid="{F34DB0AF-F289-024D-AF53-614380091A79}"/>
    <hyperlink ref="AJ4" r:id="rId4" location="gid=503924035" xr:uid="{EB939790-927D-6F49-9F17-5978E943E6F0}"/>
    <hyperlink ref="AJ3" r:id="rId5" xr:uid="{72758097-3595-0D4C-8A1A-A922DD9B3ACA}"/>
    <hyperlink ref="AB283" r:id="rId6" xr:uid="{ED4C4901-26B0-DD47-8A57-E9851FDE4E45}"/>
    <hyperlink ref="AB312" r:id="rId7" xr:uid="{2DAB4514-E808-DB40-9A64-A8C67F3ECD93}"/>
    <hyperlink ref="AB112" r:id="rId8" xr:uid="{AB3930FA-F679-A344-BA29-64D2D2FEC47E}"/>
    <hyperlink ref="AB113" r:id="rId9" xr:uid="{6CE92E7C-8B8B-A342-AB1F-A673F4460D55}"/>
    <hyperlink ref="AB282" r:id="rId10" xr:uid="{E179990D-B264-E64C-8A3F-16A0D4E9B53C}"/>
    <hyperlink ref="AB77" r:id="rId11" xr:uid="{8C90E27D-4F9D-5D4E-8EA0-BE3C7413319F}"/>
    <hyperlink ref="AB284" r:id="rId12" xr:uid="{B959BFB5-FA17-4049-9F1C-D181B14C9BAC}"/>
    <hyperlink ref="AB19" r:id="rId13" xr:uid="{D3F3CAAC-B165-8641-B49B-D1D231AC1BB5}"/>
    <hyperlink ref="AB24" r:id="rId14" xr:uid="{0D93FA7F-DF31-464B-B7DB-6643E2D277F9}"/>
    <hyperlink ref="AB31" r:id="rId15" xr:uid="{764D5E85-2FA7-3F4A-847E-36641C8801B6}"/>
    <hyperlink ref="AB34" r:id="rId16" xr:uid="{920F94BA-DE8E-5146-98C8-1B194655CBEE}"/>
    <hyperlink ref="AB23" r:id="rId17" xr:uid="{E93BB48A-3B55-A94A-BF1D-F1DB95DB5FE8}"/>
    <hyperlink ref="AB38" r:id="rId18" xr:uid="{031CC666-5E7E-9B40-9CDA-8EDFDCC1E307}"/>
    <hyperlink ref="AB29" r:id="rId19" xr:uid="{72FD1EF1-B4ED-0941-9B52-50EE94060A4E}"/>
    <hyperlink ref="AB18" r:id="rId20" xr:uid="{5ED8BADD-3E21-1647-B238-2661DB750F6A}"/>
    <hyperlink ref="AB32" r:id="rId21" xr:uid="{BFBA0651-87AB-954B-9475-1E4DBB347C42}"/>
    <hyperlink ref="AB352" r:id="rId22" xr:uid="{A8B20ECF-8056-E242-9021-7197D22C0B38}"/>
    <hyperlink ref="AB333" r:id="rId23" xr:uid="{2D8D9379-6E23-AD4C-A876-0968872143E5}"/>
    <hyperlink ref="AB345" r:id="rId24" xr:uid="{022F52CA-9B2E-1044-A61A-10BCCE89F5FA}"/>
    <hyperlink ref="AB339" r:id="rId25" xr:uid="{C6B6BF51-25A9-D149-ADD8-8643DC8033F2}"/>
    <hyperlink ref="AB388" r:id="rId26" xr:uid="{58B96F6A-4A47-594B-AA9F-64985A0568AD}"/>
    <hyperlink ref="AB84" r:id="rId27" xr:uid="{F6F3BAEB-0D08-9A41-AA5D-8FC4FAEE90C4}"/>
    <hyperlink ref="AB170" r:id="rId28" xr:uid="{AF414F64-2DC8-B34A-A112-4B02EDC8CC31}"/>
    <hyperlink ref="AB342" r:id="rId29" xr:uid="{1443711D-B9DB-714F-ADE4-0E99FF7F5888}"/>
    <hyperlink ref="AB36" r:id="rId30" xr:uid="{0E1B45F4-A047-DC46-BBEA-367B4042C6F5}"/>
    <hyperlink ref="AB384" r:id="rId31" xr:uid="{95F915AF-5880-204B-94D3-5AE3004DEF67}"/>
    <hyperlink ref="AB153" r:id="rId32" xr:uid="{720ED47E-6D0B-9D46-A96E-D501FDBC5DEC}"/>
    <hyperlink ref="AB142" r:id="rId33" xr:uid="{7B645E94-5A15-6D40-AC9E-C5EDCCE27A44}"/>
    <hyperlink ref="AB175" r:id="rId34" xr:uid="{06A5BC78-FA4C-1D4F-AB34-ADA02902E774}"/>
    <hyperlink ref="AB16" r:id="rId35" xr:uid="{F13C139A-0782-844D-B0AD-57F47BFEC853}"/>
    <hyperlink ref="AB313" r:id="rId36" xr:uid="{78942238-C074-2F4E-993D-1790D1BAB63C}"/>
    <hyperlink ref="AB114" r:id="rId37" xr:uid="{171EBBA1-AB06-4341-B724-8DD665D29B80}"/>
    <hyperlink ref="AB9" r:id="rId38" xr:uid="{EBFFA5AE-9580-C441-8CBA-814F45F518A6}"/>
    <hyperlink ref="AB346" r:id="rId39" xr:uid="{0C119BC3-D578-2941-AE8A-3F57B9639DE1}"/>
    <hyperlink ref="AB58" r:id="rId40" xr:uid="{6BF6AEA6-6D03-6B4E-83CE-101A2D8F2EAD}"/>
    <hyperlink ref="AB28" r:id="rId41" xr:uid="{C1FD3CDF-9167-074F-AF1C-4ABFE7C01B56}"/>
    <hyperlink ref="AB66" r:id="rId42" xr:uid="{E81664D1-DEF0-324B-B3FE-7F80B17C89A0}"/>
    <hyperlink ref="AB54" r:id="rId43" xr:uid="{18983DD3-B944-F34D-BD3E-3547A0838F94}"/>
    <hyperlink ref="AB21" r:id="rId44" xr:uid="{4390AFC5-4DA5-5B4F-80CE-6A61C4C29D2F}"/>
    <hyperlink ref="AB26" r:id="rId45" xr:uid="{9C818224-4DC6-D34D-9304-6F79AAEA9CDB}"/>
    <hyperlink ref="AB67" r:id="rId46" xr:uid="{72EBC7D9-5D60-C944-8533-1D90793FF099}"/>
    <hyperlink ref="AB340" r:id="rId47" xr:uid="{4E63B0C1-3987-4D40-9857-B61C3A4446FD}"/>
    <hyperlink ref="AB48" r:id="rId48" xr:uid="{8B81CD89-B13C-E246-A976-CBFA55B11F26}"/>
    <hyperlink ref="AB80" r:id="rId49" xr:uid="{E698049E-CA87-2440-A514-617669A5F2DE}"/>
    <hyperlink ref="AB337" r:id="rId50" xr:uid="{EF08B206-7BC2-B347-B3C3-099A76A6C98B}"/>
    <hyperlink ref="AB39" r:id="rId51" xr:uid="{57F72F8F-C3C2-2340-BB94-064E315D07EA}"/>
    <hyperlink ref="AB78" r:id="rId52" xr:uid="{4FE35350-6B01-CE4D-9AA6-C9547D5251C7}"/>
    <hyperlink ref="AB44" r:id="rId53" xr:uid="{822DE1CE-F100-6140-A115-CC1D7D91EB06}"/>
    <hyperlink ref="AB50" r:id="rId54" xr:uid="{5C527B46-95F8-3949-A59B-0C85E4B8FD01}"/>
    <hyperlink ref="AJ6" r:id="rId55" xr:uid="{B5F71F58-3D63-C446-8E3D-52937BE67F19}"/>
    <hyperlink ref="AB40" r:id="rId56" xr:uid="{786DD53F-75EA-C54E-8222-9C3C805CDED3}"/>
    <hyperlink ref="AB350" r:id="rId57" xr:uid="{CC40D851-813C-B745-BB91-B1FBA1A75411}"/>
    <hyperlink ref="AB322" r:id="rId58" xr:uid="{718F0717-0D80-D749-AFAC-503136FD614D}"/>
    <hyperlink ref="AB49" r:id="rId59" xr:uid="{3B3A7990-C704-2F48-8F13-639726F48493}"/>
    <hyperlink ref="AB57" r:id="rId60" xr:uid="{8D834950-57B6-1C42-9BD8-9A11223A1EE7}"/>
    <hyperlink ref="AB330" r:id="rId61" xr:uid="{6DEE1342-B5DE-8A4A-9202-3E064FA3552E}"/>
    <hyperlink ref="AB317" r:id="rId62" xr:uid="{0F558832-98B6-A04D-9F3E-A9DD31237A57}"/>
    <hyperlink ref="AB83" r:id="rId63" xr:uid="{8432CAA1-9EA3-3445-B38D-B2C1FB98CAFF}"/>
    <hyperlink ref="AB35" r:id="rId64" xr:uid="{D822643C-567F-9B4F-A9B7-4AA9131C4992}"/>
    <hyperlink ref="AB30" r:id="rId65" xr:uid="{8AEC09E9-BAFC-1747-A44C-E3AC8638062E}"/>
    <hyperlink ref="AB51" r:id="rId66" xr:uid="{C049C314-E5E6-124D-986D-B4ABAA8971A5}"/>
    <hyperlink ref="AB53" r:id="rId67" xr:uid="{41E3F6C5-FE57-7F4C-ABC1-0A929B321F55}"/>
    <hyperlink ref="AB79" r:id="rId68" xr:uid="{EF76843A-20C1-0C40-A724-B82D6732F343}"/>
    <hyperlink ref="AB402" r:id="rId69" xr:uid="{2F3CAC6A-88CD-4446-B4C7-33F81E485CD2}"/>
    <hyperlink ref="AB403" r:id="rId70" xr:uid="{B2CA3E12-3DD8-8042-A982-B5CC5EFFFF91}"/>
    <hyperlink ref="AB404" r:id="rId71" xr:uid="{6C539E22-DAF2-5E4E-9D5C-1E03772465DA}"/>
    <hyperlink ref="AB349"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101"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3" r:id="rId108" xr:uid="{21FDF57F-F07F-094B-A2E4-BED4F719F594}"/>
    <hyperlink ref="AB37" r:id="rId109" xr:uid="{AC762AC4-0727-1B4F-B144-DF9EB3F24517}"/>
    <hyperlink ref="AB41" r:id="rId110" xr:uid="{8888E035-8F99-5941-8628-08B4C8962CDB}"/>
    <hyperlink ref="AB42" r:id="rId111" xr:uid="{AD5B981B-F2A5-2145-AC1F-9DDCEB0F8CE2}"/>
    <hyperlink ref="AB43" r:id="rId112" xr:uid="{8216AD65-7A39-F64F-8848-092966213C2C}"/>
    <hyperlink ref="AB45" r:id="rId113" xr:uid="{1BBED3C7-7FB5-F04A-8776-A2610F38ECF5}"/>
    <hyperlink ref="AB209" r:id="rId114" xr:uid="{44EEF2A2-0D97-2340-A353-E6DBC2DA382F}"/>
    <hyperlink ref="AB59" r:id="rId115" xr:uid="{7BE63379-BF9A-7E4B-97DB-FF614886D4FB}"/>
    <hyperlink ref="AB1346" r:id="rId116" xr:uid="{1FE48E92-AC62-274A-893A-145FF5FC4532}"/>
    <hyperlink ref="AB287" r:id="rId117" xr:uid="{8FB42B19-1A8D-F542-9437-186FE8BB6134}"/>
    <hyperlink ref="AB288" r:id="rId118" xr:uid="{FCCC7729-ED5B-3F4E-B1A2-05F6FE381007}"/>
    <hyperlink ref="AB62" r:id="rId119" xr:uid="{990F5320-3B93-42FE-AEFB-F794669BA45D}"/>
    <hyperlink ref="AB285" r:id="rId120" xr:uid="{398B524B-2EF1-45B9-9353-FE15AE719578}"/>
    <hyperlink ref="AB299" r:id="rId121" xr:uid="{3F3503C6-B8FC-493A-B233-C0E80C6B5087}"/>
    <hyperlink ref="AB302" r:id="rId122" xr:uid="{80492207-9DF0-431B-8AC9-0208FAA1BA95}"/>
    <hyperlink ref="AB308" r:id="rId123" xr:uid="{94CCCCD8-53B7-4D82-8980-E75B4AE8658E}"/>
    <hyperlink ref="AB307" r:id="rId124" xr:uid="{8210ED98-C3BC-42F6-B4EB-E990B7F5030E}"/>
    <hyperlink ref="AB292" r:id="rId125" xr:uid="{E1F2E0C9-A428-42BD-BE2F-B6DD4ACD965D}"/>
    <hyperlink ref="AB293" r:id="rId126" xr:uid="{AA82B750-7F33-46A3-8EF1-BAD4E381845A}"/>
    <hyperlink ref="AB297" r:id="rId127" xr:uid="{3DD79ED6-6824-4B66-9AB0-0747EF1570A2}"/>
    <hyperlink ref="AB295" r:id="rId128" xr:uid="{ED72A748-76CA-4959-860E-545788AEC490}"/>
    <hyperlink ref="AB270" r:id="rId129" xr:uid="{2A46D5BC-D2D0-4E9C-9570-2A1AA378909B}"/>
    <hyperlink ref="AB52" r:id="rId130" xr:uid="{0AEAEEA3-1DDA-4713-B310-071B945BF382}"/>
    <hyperlink ref="AB55" r:id="rId131" xr:uid="{F0FE1A7E-AA13-4454-99FA-92546ADBA951}"/>
    <hyperlink ref="AB56" r:id="rId132" xr:uid="{D02EFA09-480E-4E2F-B8E1-C66D33A63C52}"/>
  </hyperlinks>
  <pageMargins left="0.7" right="0.7" top="0.75" bottom="0.75" header="0.3" footer="0.3"/>
  <pageSetup orientation="portrait" r:id="rId133"/>
  <legacyDrawing r:id="rId1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513"/>
  <sheetViews>
    <sheetView zoomScale="130" zoomScaleNormal="130" workbookViewId="0">
      <pane xSplit="2" ySplit="2" topLeftCell="C2052" activePane="bottomRight" state="frozen"/>
      <selection pane="topRight" activeCell="C1" sqref="C1"/>
      <selection pane="bottomLeft" activeCell="A3" sqref="A3"/>
      <selection pane="bottomRight" activeCell="G2067" sqref="G2067"/>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1" t="s">
        <v>1194</v>
      </c>
      <c r="I1" s="1" t="s">
        <v>1193</v>
      </c>
      <c r="J1" s="1" t="s">
        <v>1192</v>
      </c>
      <c r="K1" s="1" t="s">
        <v>1191</v>
      </c>
    </row>
    <row r="2" spans="1:19">
      <c r="B2" s="1" t="s">
        <v>1190</v>
      </c>
      <c r="C2" s="2" t="s">
        <v>1189</v>
      </c>
      <c r="D2" s="2" t="s">
        <v>1188</v>
      </c>
      <c r="E2" s="3" t="s">
        <v>1187</v>
      </c>
      <c r="F2" s="3" t="s">
        <v>1186</v>
      </c>
      <c r="G2" s="2" t="s">
        <v>1185</v>
      </c>
      <c r="I2" s="1" t="s">
        <v>1184</v>
      </c>
      <c r="J2" s="1" t="s">
        <v>1183</v>
      </c>
      <c r="K2" s="1" t="s">
        <v>1182</v>
      </c>
      <c r="L2" s="1" t="s">
        <v>1181</v>
      </c>
      <c r="M2" s="2" t="s">
        <v>285</v>
      </c>
      <c r="N2" s="2" t="s">
        <v>4</v>
      </c>
      <c r="O2" s="2" t="s">
        <v>5</v>
      </c>
      <c r="P2" s="2" t="s">
        <v>7</v>
      </c>
      <c r="Q2" s="2" t="s">
        <v>18</v>
      </c>
      <c r="R2" s="2" t="s">
        <v>1180</v>
      </c>
      <c r="S2" s="1" t="s">
        <v>1179</v>
      </c>
    </row>
    <row r="3" spans="1:19">
      <c r="A3" s="1">
        <v>1</v>
      </c>
      <c r="B3" s="12" t="s">
        <v>1178</v>
      </c>
      <c r="C3" s="13" t="s">
        <v>984</v>
      </c>
      <c r="D3" s="13" t="s">
        <v>983</v>
      </c>
      <c r="E3" s="15"/>
      <c r="F3" s="15">
        <f>SUM(F4:F17)</f>
        <v>1704</v>
      </c>
      <c r="G3" s="14">
        <f>+G6</f>
        <v>44663</v>
      </c>
      <c r="I3" s="24" t="s">
        <v>1</v>
      </c>
      <c r="J3" s="13" t="s">
        <v>1</v>
      </c>
      <c r="K3" s="13" t="s">
        <v>1</v>
      </c>
    </row>
    <row r="4" spans="1:19">
      <c r="C4" s="2" t="s">
        <v>7</v>
      </c>
      <c r="D4" s="2" t="s">
        <v>1177</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1063</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C17" s="96" t="s">
        <v>8</v>
      </c>
      <c r="D17" s="96" t="s">
        <v>2147</v>
      </c>
      <c r="E17" s="3">
        <v>110</v>
      </c>
      <c r="F17" s="6">
        <v>40</v>
      </c>
      <c r="G17" s="4">
        <v>44567</v>
      </c>
      <c r="I17" s="1">
        <v>790</v>
      </c>
      <c r="J17" s="1">
        <v>790</v>
      </c>
    </row>
    <row r="18" spans="1:18">
      <c r="G18" s="4"/>
    </row>
    <row r="19" spans="1:18" s="12" customFormat="1">
      <c r="A19" s="12">
        <v>2</v>
      </c>
      <c r="B19" s="12" t="s">
        <v>1176</v>
      </c>
      <c r="C19" s="13" t="s">
        <v>984</v>
      </c>
      <c r="D19" s="13" t="s">
        <v>983</v>
      </c>
      <c r="E19" s="15"/>
      <c r="F19" s="15">
        <f>SUM(F20:F45)</f>
        <v>1490.5119047619048</v>
      </c>
      <c r="G19" s="14">
        <f>G34</f>
        <v>45090</v>
      </c>
      <c r="I19" s="12" t="s">
        <v>1</v>
      </c>
      <c r="J19" s="12" t="s">
        <v>1</v>
      </c>
      <c r="K19" s="12" t="s">
        <v>1</v>
      </c>
      <c r="M19" s="15">
        <f>SUM(F33)</f>
        <v>1.5</v>
      </c>
      <c r="N19" s="15">
        <f>SUM(F26,F31)</f>
        <v>16</v>
      </c>
      <c r="O19" s="15">
        <f>SUM(F25,F28,F29,F30)</f>
        <v>226</v>
      </c>
      <c r="P19" s="15">
        <f>SUM(F24,F27,F32,F35)</f>
        <v>519.16666666666674</v>
      </c>
      <c r="Q19" s="15">
        <f>SUM(F20,F23,F34)</f>
        <v>81</v>
      </c>
      <c r="R19" s="15">
        <f>SUM(F21,F22)</f>
        <v>375</v>
      </c>
    </row>
    <row r="20" spans="1:18">
      <c r="C20" s="2" t="s">
        <v>18</v>
      </c>
      <c r="D20" s="2" t="s">
        <v>979</v>
      </c>
      <c r="E20" s="3">
        <v>450</v>
      </c>
      <c r="F20" s="3">
        <f>300/5</f>
        <v>60</v>
      </c>
      <c r="G20" s="4">
        <v>45069</v>
      </c>
    </row>
    <row r="21" spans="1:18">
      <c r="C21" s="2" t="s">
        <v>1108</v>
      </c>
      <c r="D21" s="2" t="s">
        <v>979</v>
      </c>
      <c r="E21" s="3">
        <v>300</v>
      </c>
      <c r="F21" s="3">
        <v>300</v>
      </c>
      <c r="G21" s="4">
        <v>44960</v>
      </c>
    </row>
    <row r="22" spans="1:18">
      <c r="C22" s="2" t="s">
        <v>8</v>
      </c>
      <c r="D22" s="2" t="s">
        <v>972</v>
      </c>
      <c r="E22" s="3">
        <v>100</v>
      </c>
      <c r="F22" s="3">
        <v>75</v>
      </c>
      <c r="G22" s="4">
        <v>45051</v>
      </c>
    </row>
    <row r="23" spans="1:18">
      <c r="C23" s="2" t="s">
        <v>18</v>
      </c>
      <c r="D23" s="2" t="s">
        <v>889</v>
      </c>
      <c r="E23" s="3">
        <v>85</v>
      </c>
      <c r="F23" s="3">
        <v>6</v>
      </c>
      <c r="G23" s="4">
        <v>44417</v>
      </c>
    </row>
    <row r="24" spans="1:18">
      <c r="C24" s="2" t="s">
        <v>7</v>
      </c>
      <c r="D24" s="2" t="s">
        <v>889</v>
      </c>
      <c r="E24" s="3">
        <v>35</v>
      </c>
      <c r="F24" s="3">
        <f>25/6</f>
        <v>4.166666666666667</v>
      </c>
      <c r="G24" s="4">
        <v>44293</v>
      </c>
    </row>
    <row r="25" spans="1:18">
      <c r="C25" s="2" t="s">
        <v>5</v>
      </c>
      <c r="D25" s="2" t="s">
        <v>889</v>
      </c>
      <c r="E25" s="3">
        <v>12</v>
      </c>
      <c r="F25" s="3">
        <v>3</v>
      </c>
      <c r="G25" s="4">
        <v>44026</v>
      </c>
    </row>
    <row r="26" spans="1:18">
      <c r="C26" s="2" t="s">
        <v>4</v>
      </c>
      <c r="D26" s="2" t="s">
        <v>889</v>
      </c>
      <c r="E26" s="3">
        <v>3.3</v>
      </c>
      <c r="F26" s="3">
        <v>1</v>
      </c>
      <c r="G26" s="4">
        <v>44026</v>
      </c>
    </row>
    <row r="27" spans="1:18">
      <c r="C27" s="2" t="s">
        <v>7</v>
      </c>
      <c r="D27" s="2" t="s">
        <v>1150</v>
      </c>
      <c r="E27" s="3">
        <v>2500</v>
      </c>
      <c r="F27" s="3">
        <v>500</v>
      </c>
      <c r="G27" s="4">
        <v>44363</v>
      </c>
    </row>
    <row r="28" spans="1:18">
      <c r="C28" s="2" t="s">
        <v>5</v>
      </c>
      <c r="D28" s="2" t="s">
        <v>1150</v>
      </c>
      <c r="E28" s="3">
        <v>3000</v>
      </c>
      <c r="F28" s="3">
        <f>800/4</f>
        <v>200</v>
      </c>
      <c r="G28" s="4">
        <v>43892</v>
      </c>
      <c r="H28" s="4"/>
    </row>
    <row r="29" spans="1:18">
      <c r="C29" s="2" t="s">
        <v>5</v>
      </c>
      <c r="D29" s="2" t="s">
        <v>1079</v>
      </c>
      <c r="E29" s="3">
        <v>65</v>
      </c>
      <c r="F29" s="3">
        <v>10</v>
      </c>
      <c r="G29" s="4">
        <v>44984</v>
      </c>
      <c r="H29" s="4"/>
    </row>
    <row r="30" spans="1:18">
      <c r="C30" s="2" t="s">
        <v>5</v>
      </c>
      <c r="D30" s="2" t="s">
        <v>1010</v>
      </c>
      <c r="E30" s="3">
        <v>23</v>
      </c>
      <c r="F30" s="3">
        <v>13</v>
      </c>
      <c r="G30" s="4">
        <v>44963</v>
      </c>
      <c r="H30" s="4"/>
    </row>
    <row r="31" spans="1:18">
      <c r="C31" s="2" t="s">
        <v>4</v>
      </c>
      <c r="D31" s="2" t="s">
        <v>701</v>
      </c>
      <c r="E31" s="3">
        <v>30</v>
      </c>
      <c r="F31" s="3">
        <v>15</v>
      </c>
      <c r="G31" s="4">
        <v>44742</v>
      </c>
      <c r="H31" s="4"/>
    </row>
    <row r="32" spans="1:18">
      <c r="C32" s="2" t="s">
        <v>7</v>
      </c>
      <c r="D32" s="2" t="s">
        <v>883</v>
      </c>
      <c r="E32" s="3">
        <v>30</v>
      </c>
      <c r="F32" s="3">
        <v>10</v>
      </c>
      <c r="G32" s="4">
        <v>44510</v>
      </c>
      <c r="H32" s="4"/>
    </row>
    <row r="33" spans="1:18">
      <c r="C33" s="2" t="s">
        <v>285</v>
      </c>
      <c r="D33" s="2" t="s">
        <v>788</v>
      </c>
      <c r="E33" s="3">
        <v>4.5</v>
      </c>
      <c r="F33" s="3">
        <v>1.5</v>
      </c>
      <c r="G33" s="4">
        <v>44691</v>
      </c>
      <c r="H33" s="4"/>
    </row>
    <row r="34" spans="1:18">
      <c r="C34" s="2" t="s">
        <v>18</v>
      </c>
      <c r="D34" s="2" t="s">
        <v>411</v>
      </c>
      <c r="E34" s="3">
        <v>90</v>
      </c>
      <c r="F34" s="3">
        <v>15</v>
      </c>
      <c r="G34" s="4">
        <v>45090</v>
      </c>
      <c r="H34" s="4"/>
    </row>
    <row r="35" spans="1:18">
      <c r="C35" s="2" t="s">
        <v>7</v>
      </c>
      <c r="D35" s="2" t="s">
        <v>411</v>
      </c>
      <c r="E35" s="3">
        <v>50</v>
      </c>
      <c r="F35" s="3">
        <v>5</v>
      </c>
      <c r="G35" s="4">
        <v>44538</v>
      </c>
      <c r="H35" s="4"/>
    </row>
    <row r="36" spans="1:18">
      <c r="C36" s="2" t="s">
        <v>7</v>
      </c>
      <c r="D36" s="2" t="s">
        <v>325</v>
      </c>
      <c r="E36" s="3">
        <v>55</v>
      </c>
      <c r="F36" s="3">
        <v>5</v>
      </c>
      <c r="G36" s="4">
        <v>44200</v>
      </c>
      <c r="H36" s="4"/>
    </row>
    <row r="37" spans="1:18">
      <c r="C37" s="2" t="s">
        <v>18</v>
      </c>
      <c r="D37" s="2" t="s">
        <v>325</v>
      </c>
      <c r="E37" s="3">
        <v>91</v>
      </c>
      <c r="F37" s="3">
        <v>8.75</v>
      </c>
      <c r="G37" s="4">
        <v>44867</v>
      </c>
      <c r="H37" s="4"/>
    </row>
    <row r="38" spans="1:18">
      <c r="C38" s="2" t="s">
        <v>18</v>
      </c>
      <c r="D38" s="2" t="s">
        <v>1072</v>
      </c>
      <c r="E38" s="3">
        <v>40</v>
      </c>
      <c r="F38" s="3">
        <f>20/3</f>
        <v>6.666666666666667</v>
      </c>
      <c r="G38" s="4">
        <v>44599</v>
      </c>
      <c r="H38" s="4"/>
    </row>
    <row r="39" spans="1:18">
      <c r="C39" s="2" t="s">
        <v>8</v>
      </c>
      <c r="D39" s="2" t="s">
        <v>260</v>
      </c>
      <c r="E39" s="3">
        <v>600</v>
      </c>
      <c r="F39" s="3">
        <f>500/8</f>
        <v>62.5</v>
      </c>
      <c r="G39" s="4">
        <v>44502</v>
      </c>
      <c r="H39" s="4"/>
    </row>
    <row r="40" spans="1:18">
      <c r="C40" s="2" t="s">
        <v>8</v>
      </c>
      <c r="D40" s="2" t="s">
        <v>215</v>
      </c>
      <c r="E40" s="3">
        <v>676</v>
      </c>
      <c r="F40" s="3">
        <f>500/7</f>
        <v>71.428571428571431</v>
      </c>
      <c r="G40" s="4">
        <v>44299</v>
      </c>
      <c r="H40" s="4"/>
      <c r="I40" s="1">
        <v>4400</v>
      </c>
    </row>
    <row r="41" spans="1:18">
      <c r="C41" s="2" t="s">
        <v>18</v>
      </c>
      <c r="D41" s="2" t="s">
        <v>215</v>
      </c>
      <c r="E41" s="3">
        <v>250</v>
      </c>
      <c r="F41" s="3">
        <f>170/5</f>
        <v>34</v>
      </c>
      <c r="G41" s="4">
        <v>43886</v>
      </c>
      <c r="H41" s="4"/>
      <c r="I41" s="1">
        <v>2300</v>
      </c>
    </row>
    <row r="42" spans="1:18">
      <c r="C42" s="2" t="s">
        <v>7</v>
      </c>
      <c r="D42" s="2" t="s">
        <v>215</v>
      </c>
      <c r="E42" s="3">
        <v>150</v>
      </c>
      <c r="F42" s="3">
        <v>20</v>
      </c>
      <c r="G42" s="4">
        <v>43556</v>
      </c>
      <c r="H42" s="4"/>
    </row>
    <row r="43" spans="1:18">
      <c r="C43" s="2" t="s">
        <v>9</v>
      </c>
      <c r="D43" s="2" t="s">
        <v>159</v>
      </c>
      <c r="E43" s="3">
        <v>400</v>
      </c>
      <c r="F43" s="3">
        <v>36</v>
      </c>
      <c r="G43" s="4">
        <v>44413</v>
      </c>
      <c r="H43" s="4"/>
      <c r="I43" s="1">
        <v>4200</v>
      </c>
    </row>
    <row r="44" spans="1:18">
      <c r="C44" s="2" t="s">
        <v>8</v>
      </c>
      <c r="D44" s="2" t="s">
        <v>159</v>
      </c>
      <c r="E44" s="3">
        <v>100</v>
      </c>
      <c r="F44" s="3">
        <f>75/6</f>
        <v>12.5</v>
      </c>
      <c r="G44" s="4">
        <v>44067</v>
      </c>
      <c r="H44" s="4"/>
    </row>
    <row r="45" spans="1:18">
      <c r="C45" s="2" t="s">
        <v>7</v>
      </c>
      <c r="D45" s="2" t="s">
        <v>1079</v>
      </c>
      <c r="E45" s="3">
        <v>100</v>
      </c>
      <c r="F45" s="3">
        <v>15</v>
      </c>
      <c r="G45" s="4">
        <v>45106</v>
      </c>
      <c r="H45" s="4"/>
    </row>
    <row r="46" spans="1:18">
      <c r="G46" s="4"/>
    </row>
    <row r="47" spans="1:18" s="12" customFormat="1">
      <c r="A47" s="12">
        <v>3</v>
      </c>
      <c r="B47" s="12" t="s">
        <v>1175</v>
      </c>
      <c r="C47" s="13" t="s">
        <v>984</v>
      </c>
      <c r="D47" s="13" t="s">
        <v>983</v>
      </c>
      <c r="E47" s="15"/>
      <c r="F47" s="15">
        <f>SUM(F48:F87)</f>
        <v>1087.0833333333335</v>
      </c>
      <c r="G47" s="14">
        <f>G59</f>
        <v>45062</v>
      </c>
      <c r="I47" s="12">
        <v>32400</v>
      </c>
      <c r="J47" s="22">
        <f>+F47/I47</f>
        <v>3.355195473251029E-2</v>
      </c>
      <c r="K47" s="12">
        <v>2009</v>
      </c>
      <c r="M47" s="13">
        <v>0</v>
      </c>
      <c r="N47" s="15">
        <f>SUM(F55,F59,F63)</f>
        <v>30.5</v>
      </c>
      <c r="O47" s="15">
        <f>SUM(F48,F51,F54,F58,F62,F64,F65)</f>
        <v>342.66666666666669</v>
      </c>
      <c r="P47" s="15">
        <f>SUM(F49,F50,F53,F57,F61,F67)</f>
        <v>357.5</v>
      </c>
      <c r="Q47" s="15">
        <f>SUM(F52,F56,F66)</f>
        <v>45</v>
      </c>
      <c r="R47" s="13">
        <v>0</v>
      </c>
    </row>
    <row r="48" spans="1:18">
      <c r="C48" s="2" t="s">
        <v>5</v>
      </c>
      <c r="D48" s="2" t="s">
        <v>948</v>
      </c>
      <c r="E48" s="3">
        <v>150</v>
      </c>
      <c r="F48" s="3">
        <v>110</v>
      </c>
      <c r="G48" s="4">
        <v>45008</v>
      </c>
    </row>
    <row r="49" spans="3:7">
      <c r="C49" s="2" t="s">
        <v>7</v>
      </c>
      <c r="D49" s="2" t="s">
        <v>1105</v>
      </c>
      <c r="E49" s="3">
        <v>100</v>
      </c>
      <c r="F49" s="3">
        <v>85</v>
      </c>
      <c r="G49" s="4">
        <v>45042</v>
      </c>
    </row>
    <row r="50" spans="3:7">
      <c r="C50" s="2" t="s">
        <v>7</v>
      </c>
      <c r="D50" s="2" t="s">
        <v>1150</v>
      </c>
      <c r="E50" s="3">
        <v>2500</v>
      </c>
      <c r="F50" s="3">
        <v>182</v>
      </c>
      <c r="G50" s="4">
        <v>44363</v>
      </c>
    </row>
    <row r="51" spans="3:7">
      <c r="C51" s="2" t="s">
        <v>5</v>
      </c>
      <c r="D51" s="2" t="s">
        <v>1150</v>
      </c>
      <c r="E51" s="3">
        <v>3000</v>
      </c>
      <c r="F51" s="3">
        <f>800/4</f>
        <v>200</v>
      </c>
      <c r="G51" s="4">
        <v>43892</v>
      </c>
    </row>
    <row r="52" spans="3:7">
      <c r="C52" s="2" t="s">
        <v>18</v>
      </c>
      <c r="D52" s="2" t="s">
        <v>1021</v>
      </c>
      <c r="E52" s="3">
        <v>100</v>
      </c>
      <c r="F52" s="3">
        <v>10</v>
      </c>
      <c r="G52" s="4">
        <v>44754</v>
      </c>
    </row>
    <row r="53" spans="3:7">
      <c r="C53" s="2" t="s">
        <v>7</v>
      </c>
      <c r="D53" s="2" t="s">
        <v>1021</v>
      </c>
      <c r="E53" s="3">
        <v>35</v>
      </c>
      <c r="F53" s="3">
        <f>E53/2</f>
        <v>17.5</v>
      </c>
      <c r="G53" s="4">
        <v>44172</v>
      </c>
    </row>
    <row r="54" spans="3:7">
      <c r="C54" s="2" t="s">
        <v>5</v>
      </c>
      <c r="D54" s="2" t="s">
        <v>1021</v>
      </c>
      <c r="E54" s="3">
        <v>20</v>
      </c>
      <c r="F54" s="3">
        <v>8</v>
      </c>
      <c r="G54" s="4">
        <v>43949</v>
      </c>
    </row>
    <row r="55" spans="3:7">
      <c r="C55" s="2" t="s">
        <v>4</v>
      </c>
      <c r="D55" s="2" t="s">
        <v>1021</v>
      </c>
      <c r="E55" s="3">
        <v>5</v>
      </c>
      <c r="F55" s="3">
        <v>1</v>
      </c>
      <c r="G55" s="4">
        <v>43438</v>
      </c>
    </row>
    <row r="56" spans="3:7">
      <c r="C56" s="2" t="s">
        <v>1136</v>
      </c>
      <c r="D56" s="2" t="s">
        <v>844</v>
      </c>
      <c r="E56" s="3">
        <v>100</v>
      </c>
      <c r="F56" s="3">
        <v>30</v>
      </c>
      <c r="G56" s="4">
        <v>44537</v>
      </c>
    </row>
    <row r="57" spans="3:7">
      <c r="C57" s="2" t="s">
        <v>7</v>
      </c>
      <c r="D57" s="2" t="s">
        <v>844</v>
      </c>
      <c r="E57" s="3">
        <v>40</v>
      </c>
      <c r="F57" s="3">
        <v>8</v>
      </c>
      <c r="G57" s="4">
        <v>44125</v>
      </c>
    </row>
    <row r="58" spans="3:7">
      <c r="C58" s="2" t="s">
        <v>5</v>
      </c>
      <c r="D58" s="2" t="s">
        <v>844</v>
      </c>
      <c r="E58" s="3">
        <v>20</v>
      </c>
      <c r="F58" s="3">
        <v>8</v>
      </c>
      <c r="G58" s="4">
        <v>43816</v>
      </c>
    </row>
    <row r="59" spans="3:7">
      <c r="C59" s="2" t="s">
        <v>4</v>
      </c>
      <c r="D59" s="2" t="s">
        <v>1174</v>
      </c>
      <c r="E59" s="3">
        <v>50</v>
      </c>
      <c r="F59" s="3">
        <v>25</v>
      </c>
      <c r="G59" s="4">
        <v>45062</v>
      </c>
    </row>
    <row r="60" spans="3:7">
      <c r="C60" s="2" t="s">
        <v>5</v>
      </c>
      <c r="D60" s="2" t="s">
        <v>1173</v>
      </c>
      <c r="G60" s="4"/>
    </row>
    <row r="61" spans="3:7">
      <c r="C61" s="2" t="s">
        <v>7</v>
      </c>
      <c r="D61" s="2" t="s">
        <v>920</v>
      </c>
      <c r="E61" s="3">
        <v>97.4</v>
      </c>
      <c r="F61" s="3">
        <v>50</v>
      </c>
      <c r="G61" s="4">
        <v>45041</v>
      </c>
    </row>
    <row r="62" spans="3:7">
      <c r="C62" s="2" t="s">
        <v>5</v>
      </c>
      <c r="D62" s="2" t="s">
        <v>920</v>
      </c>
      <c r="E62" s="3">
        <v>80</v>
      </c>
      <c r="F62" s="3">
        <f>40/6</f>
        <v>6.666666666666667</v>
      </c>
      <c r="G62" s="4">
        <v>44539</v>
      </c>
    </row>
    <row r="63" spans="3:7">
      <c r="C63" s="2" t="s">
        <v>4</v>
      </c>
      <c r="D63" s="2" t="s">
        <v>920</v>
      </c>
      <c r="E63" s="3">
        <v>4.5</v>
      </c>
      <c r="F63" s="3">
        <v>4.5</v>
      </c>
      <c r="G63" s="4">
        <v>43395</v>
      </c>
    </row>
    <row r="64" spans="3:7">
      <c r="C64" s="2" t="s">
        <v>5</v>
      </c>
      <c r="D64" s="2" t="s">
        <v>708</v>
      </c>
      <c r="E64" s="3">
        <v>5.6</v>
      </c>
      <c r="F64" s="3">
        <v>3</v>
      </c>
      <c r="G64" s="4">
        <v>44292</v>
      </c>
    </row>
    <row r="65" spans="3:10">
      <c r="C65" s="2" t="s">
        <v>5</v>
      </c>
      <c r="D65" s="2" t="s">
        <v>1085</v>
      </c>
      <c r="E65" s="3">
        <v>12.5</v>
      </c>
      <c r="F65" s="3">
        <v>7</v>
      </c>
      <c r="G65" s="4">
        <v>44978</v>
      </c>
    </row>
    <row r="66" spans="3:10">
      <c r="C66" s="2" t="s">
        <v>18</v>
      </c>
      <c r="D66" s="2" t="s">
        <v>530</v>
      </c>
      <c r="E66" s="3">
        <v>60</v>
      </c>
      <c r="F66" s="3">
        <v>5</v>
      </c>
      <c r="G66" s="4">
        <v>43606</v>
      </c>
    </row>
    <row r="67" spans="3:10">
      <c r="C67" s="2" t="s">
        <v>7</v>
      </c>
      <c r="D67" s="2" t="s">
        <v>530</v>
      </c>
      <c r="E67" s="3">
        <v>30</v>
      </c>
      <c r="F67" s="3">
        <v>15</v>
      </c>
      <c r="G67" s="4">
        <v>43396</v>
      </c>
    </row>
    <row r="68" spans="3:10">
      <c r="C68" s="2" t="s">
        <v>5</v>
      </c>
      <c r="D68" s="2" t="s">
        <v>296</v>
      </c>
      <c r="E68" s="3">
        <v>30</v>
      </c>
      <c r="F68" s="3">
        <v>4</v>
      </c>
      <c r="G68" s="4">
        <v>44474</v>
      </c>
    </row>
    <row r="69" spans="3:10">
      <c r="C69" s="2" t="s">
        <v>4</v>
      </c>
      <c r="D69" s="2" t="s">
        <v>296</v>
      </c>
      <c r="E69" s="3">
        <v>15</v>
      </c>
      <c r="F69" s="3">
        <f>10/4</f>
        <v>2.5</v>
      </c>
      <c r="G69" s="4">
        <v>43775</v>
      </c>
    </row>
    <row r="70" spans="3:10">
      <c r="C70" s="2" t="s">
        <v>9</v>
      </c>
      <c r="D70" s="2" t="s">
        <v>41</v>
      </c>
      <c r="E70" s="3">
        <v>230</v>
      </c>
      <c r="F70" s="3">
        <v>24</v>
      </c>
      <c r="G70" s="4">
        <v>44984</v>
      </c>
      <c r="I70" s="1">
        <v>2000</v>
      </c>
      <c r="J70" s="1">
        <v>2000</v>
      </c>
    </row>
    <row r="71" spans="3:10">
      <c r="C71" s="2" t="s">
        <v>8</v>
      </c>
      <c r="D71" s="2" t="s">
        <v>41</v>
      </c>
      <c r="E71" s="3">
        <v>170</v>
      </c>
      <c r="F71" s="3">
        <v>60</v>
      </c>
      <c r="G71" s="4">
        <v>44255</v>
      </c>
      <c r="I71" s="1">
        <v>830</v>
      </c>
      <c r="J71" s="1">
        <v>2000</v>
      </c>
    </row>
    <row r="72" spans="3:10">
      <c r="C72" s="2" t="s">
        <v>7</v>
      </c>
      <c r="D72" s="2" t="s">
        <v>41</v>
      </c>
      <c r="E72" s="3">
        <v>42</v>
      </c>
      <c r="F72" s="3">
        <f>22/3</f>
        <v>7.333333333333333</v>
      </c>
      <c r="G72" s="4">
        <v>43144</v>
      </c>
      <c r="J72" s="1">
        <v>2000</v>
      </c>
    </row>
    <row r="73" spans="3:10">
      <c r="C73" s="2" t="s">
        <v>5</v>
      </c>
      <c r="D73" s="2" t="s">
        <v>41</v>
      </c>
      <c r="E73" s="3">
        <v>25</v>
      </c>
      <c r="F73" s="3">
        <v>15</v>
      </c>
      <c r="G73" s="4">
        <v>42374</v>
      </c>
      <c r="J73" s="1">
        <v>2000</v>
      </c>
    </row>
    <row r="74" spans="3:10">
      <c r="C74" s="2" t="s">
        <v>4</v>
      </c>
      <c r="D74" s="2" t="s">
        <v>41</v>
      </c>
      <c r="E74" s="3">
        <v>3</v>
      </c>
      <c r="F74" s="3">
        <v>2</v>
      </c>
      <c r="G74" s="4">
        <v>42019</v>
      </c>
      <c r="J74" s="1">
        <v>2000</v>
      </c>
    </row>
    <row r="75" spans="3:10">
      <c r="C75" s="2" t="s">
        <v>9</v>
      </c>
      <c r="D75" s="2" t="s">
        <v>3</v>
      </c>
      <c r="E75" s="3">
        <v>90</v>
      </c>
      <c r="F75" s="3">
        <v>10</v>
      </c>
      <c r="G75" s="4">
        <v>44721</v>
      </c>
      <c r="I75" s="1">
        <v>2200</v>
      </c>
      <c r="J75" s="1">
        <v>2200</v>
      </c>
    </row>
    <row r="76" spans="3:10">
      <c r="C76" s="2" t="s">
        <v>8</v>
      </c>
      <c r="D76" s="2" t="s">
        <v>3</v>
      </c>
      <c r="E76" s="3">
        <v>210</v>
      </c>
      <c r="F76" s="3">
        <v>33.333333333333336</v>
      </c>
      <c r="G76" s="4">
        <v>44432</v>
      </c>
      <c r="I76" s="1">
        <v>1000</v>
      </c>
      <c r="J76" s="1">
        <v>2200</v>
      </c>
    </row>
    <row r="77" spans="3:10">
      <c r="C77" s="2" t="s">
        <v>7</v>
      </c>
      <c r="D77" s="2" t="s">
        <v>3</v>
      </c>
      <c r="E77" s="3">
        <v>25</v>
      </c>
      <c r="F77" s="3">
        <v>4</v>
      </c>
      <c r="G77" s="4">
        <v>43697</v>
      </c>
      <c r="J77" s="1">
        <v>2200</v>
      </c>
    </row>
    <row r="78" spans="3:10">
      <c r="C78" s="2" t="s">
        <v>5</v>
      </c>
      <c r="D78" s="2" t="s">
        <v>3</v>
      </c>
      <c r="E78" s="3">
        <v>10</v>
      </c>
      <c r="F78" s="3">
        <v>2.5</v>
      </c>
      <c r="G78" s="4">
        <v>43456</v>
      </c>
      <c r="J78" s="1">
        <v>2200</v>
      </c>
    </row>
    <row r="79" spans="3:10">
      <c r="C79" s="2" t="s">
        <v>5</v>
      </c>
      <c r="D79" s="2" t="s">
        <v>3</v>
      </c>
      <c r="E79" s="3">
        <v>10.5</v>
      </c>
      <c r="F79" s="3">
        <v>4.5</v>
      </c>
      <c r="G79" s="4">
        <v>42828</v>
      </c>
      <c r="J79" s="1">
        <v>2200</v>
      </c>
    </row>
    <row r="80" spans="3:10">
      <c r="C80" s="2" t="s">
        <v>1</v>
      </c>
      <c r="D80" s="2" t="s">
        <v>0</v>
      </c>
      <c r="E80" s="3">
        <v>300</v>
      </c>
      <c r="F80" s="3">
        <v>50</v>
      </c>
      <c r="G80" s="4">
        <v>45044</v>
      </c>
      <c r="I80" s="1">
        <v>28700</v>
      </c>
      <c r="J80" s="1">
        <v>28700</v>
      </c>
    </row>
    <row r="81" spans="1:18">
      <c r="C81" s="86" t="s">
        <v>8</v>
      </c>
      <c r="D81" s="86" t="s">
        <v>2155</v>
      </c>
      <c r="E81" s="3">
        <v>175</v>
      </c>
      <c r="F81" s="3">
        <f>75/4</f>
        <v>18.75</v>
      </c>
      <c r="G81" s="4">
        <v>44511</v>
      </c>
      <c r="I81" s="1">
        <v>3400</v>
      </c>
      <c r="J81" s="1">
        <v>3400</v>
      </c>
    </row>
    <row r="82" spans="1:18">
      <c r="C82" s="86" t="s">
        <v>18</v>
      </c>
      <c r="D82" s="86" t="s">
        <v>2155</v>
      </c>
      <c r="E82" s="3">
        <v>125</v>
      </c>
      <c r="F82" s="3">
        <v>35</v>
      </c>
      <c r="G82" s="4">
        <v>44126</v>
      </c>
      <c r="I82" s="1">
        <v>1100</v>
      </c>
      <c r="J82" s="1">
        <v>3400</v>
      </c>
    </row>
    <row r="83" spans="1:18">
      <c r="C83" s="86" t="s">
        <v>7</v>
      </c>
      <c r="D83" s="86" t="s">
        <v>2155</v>
      </c>
      <c r="E83" s="3">
        <v>40</v>
      </c>
      <c r="F83" s="3">
        <v>3</v>
      </c>
      <c r="G83" s="4">
        <v>43720</v>
      </c>
      <c r="J83" s="1">
        <v>3400</v>
      </c>
    </row>
    <row r="84" spans="1:18">
      <c r="C84" s="86" t="s">
        <v>5</v>
      </c>
      <c r="D84" s="86" t="s">
        <v>2155</v>
      </c>
      <c r="E84" s="3">
        <v>11.5</v>
      </c>
      <c r="F84" s="3">
        <v>3</v>
      </c>
      <c r="G84" s="4">
        <v>43355</v>
      </c>
      <c r="J84" s="1">
        <v>3400</v>
      </c>
    </row>
    <row r="85" spans="1:18">
      <c r="C85" s="96" t="s">
        <v>8</v>
      </c>
      <c r="D85" s="96" t="s">
        <v>2147</v>
      </c>
      <c r="E85" s="3">
        <v>110</v>
      </c>
      <c r="F85" s="3">
        <f>70/4</f>
        <v>17.5</v>
      </c>
      <c r="G85" s="4">
        <v>44567</v>
      </c>
      <c r="I85" s="1">
        <v>790</v>
      </c>
      <c r="J85" s="1">
        <v>790</v>
      </c>
    </row>
    <row r="86" spans="1:18">
      <c r="C86" s="96" t="s">
        <v>18</v>
      </c>
      <c r="D86" s="96" t="s">
        <v>2147</v>
      </c>
      <c r="E86" s="3">
        <v>40</v>
      </c>
      <c r="F86" s="3">
        <v>5</v>
      </c>
      <c r="G86" s="4">
        <v>44238</v>
      </c>
      <c r="J86" s="1">
        <v>790</v>
      </c>
    </row>
    <row r="87" spans="1:18">
      <c r="C87" s="96" t="s">
        <v>7</v>
      </c>
      <c r="D87" s="96" t="s">
        <v>2147</v>
      </c>
      <c r="E87" s="3">
        <v>25</v>
      </c>
      <c r="F87" s="3">
        <v>10</v>
      </c>
      <c r="G87" s="4">
        <v>43865</v>
      </c>
      <c r="J87" s="1">
        <v>790</v>
      </c>
    </row>
    <row r="88" spans="1:18">
      <c r="G88" s="4"/>
    </row>
    <row r="89" spans="1:18" s="12" customFormat="1">
      <c r="A89" s="12">
        <v>4</v>
      </c>
      <c r="B89" s="12" t="s">
        <v>1172</v>
      </c>
      <c r="C89" s="13" t="s">
        <v>984</v>
      </c>
      <c r="D89" s="13" t="s">
        <v>983</v>
      </c>
      <c r="E89" s="15"/>
      <c r="F89" s="15">
        <f>SUM(F90:F114)</f>
        <v>928.93722943722946</v>
      </c>
      <c r="G89" s="14">
        <f>G107</f>
        <v>44851</v>
      </c>
      <c r="I89" s="12">
        <v>58000</v>
      </c>
      <c r="J89" s="23">
        <f>+F89/I89</f>
        <v>1.6016159128228093E-2</v>
      </c>
      <c r="K89" s="12">
        <v>2001</v>
      </c>
      <c r="M89" s="13">
        <v>0</v>
      </c>
      <c r="N89" s="13">
        <v>0</v>
      </c>
      <c r="O89" s="15">
        <f>SUM(F93,F100,F101,F103)</f>
        <v>23.333333333333332</v>
      </c>
      <c r="P89" s="15">
        <f>SUM(F92,F95,F98,F99)</f>
        <v>260.81818181818181</v>
      </c>
      <c r="Q89" s="15">
        <f>SUM(F96,F97,F102,F106)</f>
        <v>99.285714285714292</v>
      </c>
      <c r="R89" s="15">
        <f>SUM(F90,F91,F104,F105)</f>
        <v>179</v>
      </c>
    </row>
    <row r="90" spans="1:18">
      <c r="C90" s="2" t="s">
        <v>9</v>
      </c>
      <c r="D90" s="2" t="s">
        <v>815</v>
      </c>
      <c r="E90" s="3">
        <v>325</v>
      </c>
      <c r="F90" s="3">
        <v>65</v>
      </c>
      <c r="G90" s="4">
        <v>44299</v>
      </c>
    </row>
    <row r="91" spans="1:18">
      <c r="C91" s="2" t="s">
        <v>8</v>
      </c>
      <c r="D91" s="2" t="s">
        <v>815</v>
      </c>
      <c r="E91" s="3">
        <v>155</v>
      </c>
      <c r="F91" s="3">
        <v>50</v>
      </c>
      <c r="G91" s="4">
        <v>44166</v>
      </c>
    </row>
    <row r="92" spans="1:18">
      <c r="C92" s="2" t="s">
        <v>7</v>
      </c>
      <c r="D92" s="2" t="s">
        <v>967</v>
      </c>
      <c r="E92" s="3">
        <v>130</v>
      </c>
      <c r="F92" s="3">
        <v>60</v>
      </c>
      <c r="G92" s="4">
        <v>44607</v>
      </c>
    </row>
    <row r="93" spans="1:18">
      <c r="C93" s="2" t="s">
        <v>5</v>
      </c>
      <c r="D93" s="2" t="s">
        <v>1105</v>
      </c>
      <c r="E93" s="3">
        <v>28</v>
      </c>
      <c r="F93" s="3">
        <v>6</v>
      </c>
      <c r="G93" s="4">
        <v>44649</v>
      </c>
    </row>
    <row r="94" spans="1:18">
      <c r="C94" s="2" t="s">
        <v>18</v>
      </c>
      <c r="D94" s="2" t="s">
        <v>1080</v>
      </c>
      <c r="E94" s="3">
        <v>85</v>
      </c>
      <c r="F94" s="3">
        <v>55</v>
      </c>
      <c r="G94" s="4">
        <v>44501</v>
      </c>
    </row>
    <row r="95" spans="1:18">
      <c r="C95" s="2" t="s">
        <v>7</v>
      </c>
      <c r="D95" s="2" t="s">
        <v>1150</v>
      </c>
      <c r="E95" s="3">
        <v>2500</v>
      </c>
      <c r="F95" s="3">
        <f>2000/11</f>
        <v>181.81818181818181</v>
      </c>
      <c r="G95" s="4">
        <v>44363</v>
      </c>
    </row>
    <row r="96" spans="1:18">
      <c r="C96" s="2" t="s">
        <v>18</v>
      </c>
      <c r="D96" s="2" t="s">
        <v>1021</v>
      </c>
      <c r="E96" s="3">
        <v>100</v>
      </c>
      <c r="F96" s="3">
        <v>10</v>
      </c>
      <c r="G96" s="4">
        <v>44754</v>
      </c>
    </row>
    <row r="97" spans="3:10">
      <c r="C97" s="2" t="s">
        <v>18</v>
      </c>
      <c r="D97" s="2" t="s">
        <v>810</v>
      </c>
      <c r="E97" s="3">
        <v>50</v>
      </c>
      <c r="F97" s="3">
        <v>25</v>
      </c>
      <c r="G97" s="4">
        <v>44496</v>
      </c>
    </row>
    <row r="98" spans="3:10">
      <c r="C98" s="2" t="s">
        <v>7</v>
      </c>
      <c r="D98" s="2" t="s">
        <v>876</v>
      </c>
      <c r="E98" s="3">
        <v>50</v>
      </c>
      <c r="F98" s="3">
        <v>7</v>
      </c>
      <c r="G98" s="4">
        <v>44628</v>
      </c>
    </row>
    <row r="99" spans="3:10">
      <c r="C99" s="2" t="s">
        <v>7</v>
      </c>
      <c r="D99" s="2" t="s">
        <v>1024</v>
      </c>
      <c r="E99" s="3">
        <v>30</v>
      </c>
      <c r="F99" s="3">
        <v>12</v>
      </c>
      <c r="G99" s="4">
        <v>44539</v>
      </c>
    </row>
    <row r="100" spans="3:10">
      <c r="C100" s="2" t="s">
        <v>5</v>
      </c>
      <c r="D100" s="2" t="s">
        <v>1001</v>
      </c>
      <c r="E100" s="3">
        <v>25</v>
      </c>
      <c r="F100" s="3">
        <v>10</v>
      </c>
      <c r="G100" s="4">
        <v>44615</v>
      </c>
    </row>
    <row r="101" spans="3:10">
      <c r="C101" s="2" t="s">
        <v>5</v>
      </c>
      <c r="D101" s="2" t="s">
        <v>680</v>
      </c>
      <c r="E101" s="3">
        <v>14</v>
      </c>
      <c r="F101" s="3">
        <v>5</v>
      </c>
      <c r="G101" s="4">
        <v>44705</v>
      </c>
    </row>
    <row r="102" spans="3:10">
      <c r="C102" s="2" t="s">
        <v>18</v>
      </c>
      <c r="D102" s="2" t="s">
        <v>895</v>
      </c>
      <c r="E102" s="3">
        <v>200</v>
      </c>
      <c r="F102" s="3">
        <v>50</v>
      </c>
      <c r="G102" s="4">
        <v>44377</v>
      </c>
    </row>
    <row r="103" spans="3:10">
      <c r="C103" s="2" t="s">
        <v>5</v>
      </c>
      <c r="D103" s="2" t="s">
        <v>731</v>
      </c>
      <c r="E103" s="3">
        <v>11</v>
      </c>
      <c r="F103" s="3">
        <f>7/3</f>
        <v>2.3333333333333335</v>
      </c>
      <c r="G103" s="4">
        <v>44483</v>
      </c>
    </row>
    <row r="104" spans="3:10">
      <c r="C104" s="2" t="s">
        <v>513</v>
      </c>
      <c r="D104" s="2" t="s">
        <v>498</v>
      </c>
      <c r="E104" s="3">
        <v>250</v>
      </c>
      <c r="F104" s="3">
        <v>50</v>
      </c>
      <c r="G104" s="4">
        <v>44376</v>
      </c>
    </row>
    <row r="105" spans="3:10">
      <c r="C105" s="2" t="s">
        <v>9</v>
      </c>
      <c r="D105" s="2" t="s">
        <v>498</v>
      </c>
      <c r="E105" s="3">
        <v>206</v>
      </c>
      <c r="F105" s="3">
        <v>14</v>
      </c>
      <c r="G105" s="4">
        <v>43725</v>
      </c>
    </row>
    <row r="106" spans="3:10">
      <c r="C106" s="2" t="s">
        <v>18</v>
      </c>
      <c r="D106" s="2" t="s">
        <v>381</v>
      </c>
      <c r="E106" s="3">
        <v>130</v>
      </c>
      <c r="F106" s="3">
        <f>100/7</f>
        <v>14.285714285714286</v>
      </c>
      <c r="G106" s="4">
        <v>44323</v>
      </c>
    </row>
    <row r="107" spans="3:10">
      <c r="C107" s="2" t="s">
        <v>5</v>
      </c>
      <c r="D107" s="2" t="s">
        <v>288</v>
      </c>
      <c r="E107" s="3">
        <v>32</v>
      </c>
      <c r="F107" s="3">
        <v>11</v>
      </c>
      <c r="G107" s="4">
        <v>44851</v>
      </c>
    </row>
    <row r="108" spans="3:10">
      <c r="C108" s="2" t="s">
        <v>5</v>
      </c>
      <c r="D108" s="2" t="s">
        <v>288</v>
      </c>
      <c r="E108" s="3">
        <v>26</v>
      </c>
      <c r="F108" s="3">
        <v>13</v>
      </c>
      <c r="G108" s="4">
        <v>44453</v>
      </c>
    </row>
    <row r="109" spans="3:10">
      <c r="C109" s="2" t="s">
        <v>8</v>
      </c>
      <c r="D109" s="2" t="s">
        <v>260</v>
      </c>
      <c r="E109" s="3">
        <v>600</v>
      </c>
      <c r="F109" s="3">
        <v>100</v>
      </c>
      <c r="G109" s="4">
        <v>44502</v>
      </c>
    </row>
    <row r="110" spans="3:10">
      <c r="C110" s="2" t="s">
        <v>9</v>
      </c>
      <c r="D110" s="2" t="s">
        <v>159</v>
      </c>
      <c r="E110" s="3">
        <v>400</v>
      </c>
      <c r="F110" s="3">
        <v>80</v>
      </c>
      <c r="G110" s="4">
        <v>44413</v>
      </c>
    </row>
    <row r="111" spans="3:10">
      <c r="C111" s="2" t="s">
        <v>8</v>
      </c>
      <c r="D111" s="2" t="s">
        <v>159</v>
      </c>
      <c r="E111" s="3">
        <v>100</v>
      </c>
      <c r="F111" s="3">
        <f>75/6</f>
        <v>12.5</v>
      </c>
      <c r="G111" s="4">
        <v>44067</v>
      </c>
    </row>
    <row r="112" spans="3:10">
      <c r="C112" s="2" t="s">
        <v>9</v>
      </c>
      <c r="D112" s="2" t="s">
        <v>57</v>
      </c>
      <c r="E112" s="3">
        <v>250</v>
      </c>
      <c r="F112" s="3">
        <f>150/5</f>
        <v>30</v>
      </c>
      <c r="G112" s="4">
        <v>44350</v>
      </c>
      <c r="I112" s="1">
        <v>7000</v>
      </c>
      <c r="J112" s="1">
        <v>7000</v>
      </c>
    </row>
    <row r="113" spans="1:18">
      <c r="C113" s="86" t="s">
        <v>18</v>
      </c>
      <c r="D113" s="86" t="s">
        <v>2157</v>
      </c>
      <c r="E113" s="3">
        <v>300</v>
      </c>
      <c r="F113" s="3">
        <v>50</v>
      </c>
      <c r="G113" s="4">
        <v>44300</v>
      </c>
      <c r="I113" s="1">
        <v>700</v>
      </c>
      <c r="J113" s="1">
        <v>700</v>
      </c>
    </row>
    <row r="114" spans="1:18">
      <c r="C114" s="86" t="s">
        <v>8</v>
      </c>
      <c r="D114" s="86" t="s">
        <v>5084</v>
      </c>
      <c r="E114" s="3">
        <v>83</v>
      </c>
      <c r="F114" s="3">
        <v>15</v>
      </c>
      <c r="G114" s="4">
        <v>44320</v>
      </c>
      <c r="I114" s="1">
        <v>3600</v>
      </c>
      <c r="J114" s="1">
        <v>3600</v>
      </c>
    </row>
    <row r="115" spans="1:18">
      <c r="G115" s="4"/>
    </row>
    <row r="116" spans="1:18" s="12" customFormat="1">
      <c r="A116" s="12">
        <v>5</v>
      </c>
      <c r="B116" s="12" t="s">
        <v>1171</v>
      </c>
      <c r="C116" s="13" t="s">
        <v>984</v>
      </c>
      <c r="D116" s="13" t="s">
        <v>983</v>
      </c>
      <c r="E116" s="15"/>
      <c r="F116" s="15">
        <f>SUM(F117:F121)</f>
        <v>744.15151515151513</v>
      </c>
      <c r="G116" s="14">
        <f>+G117</f>
        <v>44363</v>
      </c>
      <c r="I116" s="13" t="s">
        <v>1</v>
      </c>
      <c r="J116" s="13" t="s">
        <v>1</v>
      </c>
      <c r="K116" s="13" t="s">
        <v>1</v>
      </c>
      <c r="M116" s="13">
        <v>0</v>
      </c>
      <c r="N116" s="13">
        <v>0</v>
      </c>
      <c r="O116" s="15">
        <f>F118</f>
        <v>500</v>
      </c>
      <c r="P116" s="15">
        <f>F117</f>
        <v>181.81818181818181</v>
      </c>
      <c r="Q116" s="13">
        <v>0</v>
      </c>
      <c r="R116" s="15">
        <f>F119</f>
        <v>25</v>
      </c>
    </row>
    <row r="117" spans="1:18">
      <c r="C117" s="2" t="s">
        <v>7</v>
      </c>
      <c r="D117" s="2" t="s">
        <v>1150</v>
      </c>
      <c r="E117" s="3">
        <v>2500</v>
      </c>
      <c r="F117" s="3">
        <f>2000/11</f>
        <v>181.81818181818181</v>
      </c>
      <c r="G117" s="4">
        <v>44363</v>
      </c>
    </row>
    <row r="118" spans="1:18">
      <c r="C118" s="2" t="s">
        <v>5</v>
      </c>
      <c r="D118" s="2" t="s">
        <v>1150</v>
      </c>
      <c r="E118" s="3">
        <v>3000</v>
      </c>
      <c r="F118" s="3">
        <v>500</v>
      </c>
      <c r="G118" s="4">
        <v>43892</v>
      </c>
    </row>
    <row r="119" spans="1:18">
      <c r="C119" s="2" t="s">
        <v>8</v>
      </c>
      <c r="D119" s="2" t="s">
        <v>530</v>
      </c>
      <c r="E119" s="3">
        <v>100</v>
      </c>
      <c r="F119" s="3">
        <v>25</v>
      </c>
      <c r="G119" s="4">
        <v>44419</v>
      </c>
    </row>
    <row r="120" spans="1:18">
      <c r="C120" s="2" t="s">
        <v>7</v>
      </c>
      <c r="D120" s="2" t="s">
        <v>317</v>
      </c>
      <c r="E120" s="3">
        <v>40</v>
      </c>
      <c r="F120" s="3">
        <v>4</v>
      </c>
      <c r="G120" s="4">
        <v>43419</v>
      </c>
    </row>
    <row r="121" spans="1:18">
      <c r="C121" s="2" t="s">
        <v>8</v>
      </c>
      <c r="D121" s="2" t="s">
        <v>218</v>
      </c>
      <c r="E121" s="3">
        <v>700</v>
      </c>
      <c r="F121" s="3">
        <f>400/12</f>
        <v>33.333333333333336</v>
      </c>
      <c r="G121" s="4">
        <v>44218</v>
      </c>
    </row>
    <row r="122" spans="1:18">
      <c r="G122" s="4"/>
    </row>
    <row r="123" spans="1:18" s="12" customFormat="1">
      <c r="A123" s="12">
        <v>5</v>
      </c>
      <c r="B123" s="12" t="s">
        <v>1170</v>
      </c>
      <c r="C123" s="13" t="s">
        <v>984</v>
      </c>
      <c r="D123" s="13" t="s">
        <v>983</v>
      </c>
      <c r="E123" s="15"/>
      <c r="F123" s="15">
        <f>SUM(F124:F128)</f>
        <v>744.31818181818176</v>
      </c>
      <c r="G123" s="14">
        <f>G126</f>
        <v>44819</v>
      </c>
      <c r="I123" s="12">
        <v>92000</v>
      </c>
      <c r="J123" s="22">
        <f>+F123/I123</f>
        <v>8.090415019762846E-3</v>
      </c>
      <c r="K123" s="12">
        <v>1999</v>
      </c>
      <c r="M123" s="13">
        <v>0</v>
      </c>
      <c r="N123" s="13">
        <v>0</v>
      </c>
      <c r="O123" s="15">
        <f>SUM(F125:F126)</f>
        <v>503</v>
      </c>
      <c r="P123" s="15">
        <f>SUM(F124)</f>
        <v>181.81818181818181</v>
      </c>
      <c r="Q123" s="13">
        <v>0</v>
      </c>
      <c r="R123" s="15">
        <f>SUM(F127)</f>
        <v>22</v>
      </c>
    </row>
    <row r="124" spans="1:18">
      <c r="C124" s="2" t="s">
        <v>7</v>
      </c>
      <c r="D124" s="2" t="s">
        <v>1150</v>
      </c>
      <c r="E124" s="3">
        <v>2500</v>
      </c>
      <c r="F124" s="3">
        <f>2000/11</f>
        <v>181.81818181818181</v>
      </c>
      <c r="G124" s="4">
        <v>44363</v>
      </c>
    </row>
    <row r="125" spans="1:18">
      <c r="C125" s="2" t="s">
        <v>5</v>
      </c>
      <c r="D125" s="2" t="s">
        <v>1150</v>
      </c>
      <c r="E125" s="3">
        <v>3000</v>
      </c>
      <c r="F125" s="3">
        <v>500</v>
      </c>
      <c r="G125" s="4">
        <v>43892</v>
      </c>
    </row>
    <row r="126" spans="1:18">
      <c r="C126" s="2" t="s">
        <v>5</v>
      </c>
      <c r="D126" s="2" t="s">
        <v>1033</v>
      </c>
      <c r="E126" s="3">
        <v>10.6</v>
      </c>
      <c r="F126" s="3">
        <v>3</v>
      </c>
      <c r="G126" s="4">
        <v>44819</v>
      </c>
    </row>
    <row r="127" spans="1:18">
      <c r="C127" s="2" t="s">
        <v>55</v>
      </c>
      <c r="D127" s="2" t="s">
        <v>498</v>
      </c>
      <c r="E127" s="3">
        <v>270</v>
      </c>
      <c r="F127" s="3">
        <v>22</v>
      </c>
      <c r="G127" s="4">
        <v>44152</v>
      </c>
    </row>
    <row r="128" spans="1:18">
      <c r="C128" s="2" t="s">
        <v>9</v>
      </c>
      <c r="D128" s="2" t="s">
        <v>49</v>
      </c>
      <c r="E128" s="3">
        <v>248</v>
      </c>
      <c r="F128" s="3">
        <f>150/4</f>
        <v>37.5</v>
      </c>
      <c r="G128" s="4">
        <v>43678</v>
      </c>
    </row>
    <row r="129" spans="1:18">
      <c r="G129" s="4"/>
    </row>
    <row r="130" spans="1:18" s="12" customFormat="1">
      <c r="A130" s="12">
        <v>6</v>
      </c>
      <c r="B130" s="12" t="s">
        <v>1169</v>
      </c>
      <c r="C130" s="13" t="s">
        <v>984</v>
      </c>
      <c r="D130" s="13" t="s">
        <v>983</v>
      </c>
      <c r="E130" s="15"/>
      <c r="F130" s="15">
        <f>SUM(F131:F135)</f>
        <v>716.31818181818176</v>
      </c>
      <c r="G130" s="14">
        <f>G134</f>
        <v>44502</v>
      </c>
      <c r="I130" s="13" t="s">
        <v>1</v>
      </c>
      <c r="J130" s="13" t="s">
        <v>1</v>
      </c>
      <c r="K130" s="13" t="s">
        <v>1</v>
      </c>
      <c r="M130" s="13">
        <v>0</v>
      </c>
      <c r="N130" s="13">
        <v>0</v>
      </c>
      <c r="O130" s="15">
        <f>F132</f>
        <v>250</v>
      </c>
      <c r="P130" s="15">
        <f>F131</f>
        <v>181.81818181818181</v>
      </c>
      <c r="Q130" s="13">
        <v>0</v>
      </c>
      <c r="R130" s="15">
        <f>F133</f>
        <v>22</v>
      </c>
    </row>
    <row r="131" spans="1:18">
      <c r="C131" s="2" t="s">
        <v>7</v>
      </c>
      <c r="D131" s="2" t="s">
        <v>1150</v>
      </c>
      <c r="E131" s="3">
        <v>2500</v>
      </c>
      <c r="F131" s="3">
        <f>2000/11</f>
        <v>181.81818181818181</v>
      </c>
      <c r="G131" s="4">
        <v>44363</v>
      </c>
    </row>
    <row r="132" spans="1:18">
      <c r="C132" s="2" t="s">
        <v>5</v>
      </c>
      <c r="D132" s="2" t="s">
        <v>1150</v>
      </c>
      <c r="E132" s="3">
        <v>3000</v>
      </c>
      <c r="F132" s="3">
        <v>250</v>
      </c>
      <c r="G132" s="4">
        <v>43963</v>
      </c>
    </row>
    <row r="133" spans="1:18">
      <c r="C133" s="2" t="s">
        <v>55</v>
      </c>
      <c r="D133" s="2" t="s">
        <v>498</v>
      </c>
      <c r="E133" s="3">
        <v>270</v>
      </c>
      <c r="F133" s="3">
        <v>22</v>
      </c>
      <c r="G133" s="4">
        <v>44152</v>
      </c>
    </row>
    <row r="134" spans="1:18">
      <c r="C134" s="2" t="s">
        <v>8</v>
      </c>
      <c r="D134" s="2" t="s">
        <v>260</v>
      </c>
      <c r="E134" s="3">
        <v>600</v>
      </c>
      <c r="F134" s="3">
        <f>500/8</f>
        <v>62.5</v>
      </c>
      <c r="G134" s="4">
        <v>44502</v>
      </c>
    </row>
    <row r="135" spans="1:18">
      <c r="C135" s="2" t="s">
        <v>18</v>
      </c>
      <c r="D135" s="2" t="s">
        <v>260</v>
      </c>
      <c r="E135" s="3">
        <v>500</v>
      </c>
      <c r="F135" s="3">
        <v>200</v>
      </c>
      <c r="G135" s="4">
        <v>44144</v>
      </c>
    </row>
    <row r="136" spans="1:18">
      <c r="G136" s="4"/>
    </row>
    <row r="137" spans="1:18" s="12" customFormat="1">
      <c r="A137" s="12">
        <v>7</v>
      </c>
      <c r="B137" s="12" t="s">
        <v>1168</v>
      </c>
      <c r="C137" s="13" t="s">
        <v>984</v>
      </c>
      <c r="D137" s="13" t="s">
        <v>983</v>
      </c>
      <c r="E137" s="15"/>
      <c r="F137" s="15">
        <f>SUM(F138:F142)</f>
        <v>704.81818181818176</v>
      </c>
      <c r="G137" s="14">
        <f>+G140</f>
        <v>45020</v>
      </c>
      <c r="I137" s="13" t="s">
        <v>1</v>
      </c>
      <c r="J137" s="13" t="s">
        <v>1</v>
      </c>
      <c r="K137" s="13" t="s">
        <v>1</v>
      </c>
      <c r="M137" s="13">
        <v>0</v>
      </c>
      <c r="N137" s="13">
        <v>0</v>
      </c>
      <c r="O137" s="15">
        <f>F139</f>
        <v>500</v>
      </c>
      <c r="P137" s="15">
        <f>F138</f>
        <v>181.81818181818181</v>
      </c>
      <c r="Q137" s="15">
        <f>SUM(F140:F141)</f>
        <v>17</v>
      </c>
      <c r="R137" s="13">
        <v>0</v>
      </c>
    </row>
    <row r="138" spans="1:18">
      <c r="C138" s="2" t="s">
        <v>7</v>
      </c>
      <c r="D138" s="2" t="s">
        <v>1150</v>
      </c>
      <c r="E138" s="3">
        <v>2500</v>
      </c>
      <c r="F138" s="3">
        <f>2000/11</f>
        <v>181.81818181818181</v>
      </c>
      <c r="G138" s="4">
        <v>44363</v>
      </c>
    </row>
    <row r="139" spans="1:18">
      <c r="C139" s="2" t="s">
        <v>5</v>
      </c>
      <c r="D139" s="2" t="s">
        <v>1150</v>
      </c>
      <c r="E139" s="3">
        <v>3000</v>
      </c>
      <c r="F139" s="3">
        <v>500</v>
      </c>
      <c r="G139" s="4">
        <v>43892</v>
      </c>
    </row>
    <row r="140" spans="1:18">
      <c r="C140" s="2" t="s">
        <v>18</v>
      </c>
      <c r="D140" s="2" t="s">
        <v>432</v>
      </c>
      <c r="E140" s="3">
        <v>75</v>
      </c>
      <c r="F140" s="3">
        <v>7</v>
      </c>
      <c r="G140" s="4">
        <v>45020</v>
      </c>
    </row>
    <row r="141" spans="1:18">
      <c r="C141" s="2" t="s">
        <v>18</v>
      </c>
      <c r="D141" s="2" t="s">
        <v>432</v>
      </c>
      <c r="E141" s="3">
        <v>80</v>
      </c>
      <c r="F141" s="3">
        <v>10</v>
      </c>
      <c r="G141" s="4">
        <v>44404</v>
      </c>
    </row>
    <row r="142" spans="1:18">
      <c r="C142" s="2" t="s">
        <v>5</v>
      </c>
      <c r="D142" s="2" t="s">
        <v>320</v>
      </c>
      <c r="E142" s="3">
        <v>57</v>
      </c>
      <c r="F142" s="3">
        <v>6</v>
      </c>
      <c r="G142" s="4">
        <v>44508</v>
      </c>
    </row>
    <row r="143" spans="1:18">
      <c r="G143" s="4"/>
    </row>
    <row r="144" spans="1:18" s="12" customFormat="1">
      <c r="A144" s="12">
        <v>8</v>
      </c>
      <c r="B144" s="12" t="s">
        <v>1167</v>
      </c>
      <c r="C144" s="13" t="s">
        <v>984</v>
      </c>
      <c r="D144" s="13" t="s">
        <v>983</v>
      </c>
      <c r="E144" s="15"/>
      <c r="F144" s="15">
        <f>SUM(F145:F153)</f>
        <v>654.84199134199127</v>
      </c>
      <c r="G144" s="14">
        <f>G147</f>
        <v>44860</v>
      </c>
      <c r="I144" s="2" t="s">
        <v>1</v>
      </c>
      <c r="J144" s="2" t="s">
        <v>1</v>
      </c>
      <c r="K144" s="2" t="s">
        <v>1</v>
      </c>
      <c r="M144" s="13">
        <v>0</v>
      </c>
      <c r="N144" s="13">
        <v>0</v>
      </c>
      <c r="O144" s="15">
        <f>F146</f>
        <v>250</v>
      </c>
      <c r="P144" s="15">
        <f>SUM(F145,F147,F148,F149)</f>
        <v>235.81818181818181</v>
      </c>
      <c r="Q144" s="13">
        <v>0</v>
      </c>
      <c r="R144" s="13">
        <v>0</v>
      </c>
    </row>
    <row r="145" spans="1:11">
      <c r="C145" s="2" t="s">
        <v>7</v>
      </c>
      <c r="D145" s="2" t="s">
        <v>1150</v>
      </c>
      <c r="E145" s="3">
        <v>2500</v>
      </c>
      <c r="F145" s="3">
        <f>2000/11</f>
        <v>181.81818181818181</v>
      </c>
      <c r="G145" s="4">
        <v>44363</v>
      </c>
    </row>
    <row r="146" spans="1:11">
      <c r="C146" s="2" t="s">
        <v>5</v>
      </c>
      <c r="D146" s="2" t="s">
        <v>1150</v>
      </c>
      <c r="E146" s="3">
        <v>3000</v>
      </c>
      <c r="F146" s="3">
        <v>250</v>
      </c>
      <c r="G146" s="4">
        <v>43963</v>
      </c>
    </row>
    <row r="147" spans="1:11">
      <c r="C147" s="2" t="s">
        <v>7</v>
      </c>
      <c r="D147" s="2" t="s">
        <v>1088</v>
      </c>
      <c r="E147" s="3">
        <v>37</v>
      </c>
      <c r="F147" s="3">
        <v>4</v>
      </c>
      <c r="G147" s="4">
        <v>44860</v>
      </c>
    </row>
    <row r="148" spans="1:11">
      <c r="C148" s="2" t="s">
        <v>7</v>
      </c>
      <c r="D148" s="2" t="s">
        <v>1088</v>
      </c>
      <c r="E148" s="3">
        <v>30</v>
      </c>
      <c r="F148" s="3">
        <v>30</v>
      </c>
      <c r="G148" s="4">
        <v>44706</v>
      </c>
    </row>
    <row r="149" spans="1:11">
      <c r="C149" s="2" t="s">
        <v>7</v>
      </c>
      <c r="D149" s="2" t="s">
        <v>1088</v>
      </c>
      <c r="E149" s="3">
        <v>80</v>
      </c>
      <c r="F149" s="3">
        <v>20</v>
      </c>
      <c r="G149" s="4">
        <v>44327</v>
      </c>
    </row>
    <row r="150" spans="1:11">
      <c r="C150" s="2" t="s">
        <v>8</v>
      </c>
      <c r="D150" s="2" t="s">
        <v>260</v>
      </c>
      <c r="E150" s="3">
        <v>600</v>
      </c>
      <c r="F150" s="3">
        <f>500/8</f>
        <v>62.5</v>
      </c>
      <c r="G150" s="4">
        <v>44502</v>
      </c>
    </row>
    <row r="151" spans="1:11">
      <c r="C151" s="2" t="s">
        <v>18</v>
      </c>
      <c r="D151" s="2" t="s">
        <v>260</v>
      </c>
      <c r="E151" s="3">
        <v>500</v>
      </c>
      <c r="F151" s="3">
        <f>300/4</f>
        <v>75</v>
      </c>
      <c r="G151" s="4">
        <v>44144</v>
      </c>
    </row>
    <row r="152" spans="1:11">
      <c r="C152" s="2" t="s">
        <v>8</v>
      </c>
      <c r="D152" s="2" t="s">
        <v>181</v>
      </c>
      <c r="E152" s="3">
        <v>130</v>
      </c>
      <c r="F152" s="3">
        <v>22</v>
      </c>
      <c r="G152" s="4">
        <v>42080</v>
      </c>
      <c r="I152" s="1">
        <v>570</v>
      </c>
    </row>
    <row r="153" spans="1:11">
      <c r="C153" s="2" t="s">
        <v>9</v>
      </c>
      <c r="D153" s="2" t="s">
        <v>23</v>
      </c>
      <c r="E153" s="3">
        <v>222</v>
      </c>
      <c r="F153" s="3">
        <f>200/21</f>
        <v>9.5238095238095237</v>
      </c>
      <c r="G153" s="4">
        <v>44194</v>
      </c>
      <c r="I153" s="1">
        <v>2500</v>
      </c>
      <c r="J153" s="1">
        <v>2500</v>
      </c>
    </row>
    <row r="154" spans="1:11">
      <c r="G154" s="4"/>
    </row>
    <row r="155" spans="1:11">
      <c r="A155" s="1">
        <v>9</v>
      </c>
      <c r="B155" s="12" t="s">
        <v>1166</v>
      </c>
      <c r="C155" s="13" t="s">
        <v>984</v>
      </c>
      <c r="D155" s="13" t="s">
        <v>983</v>
      </c>
      <c r="F155" s="15">
        <f>SUM(F156:F190)</f>
        <v>537.19761904761913</v>
      </c>
      <c r="G155" s="14">
        <f>G163</f>
        <v>45090</v>
      </c>
      <c r="I155" s="12">
        <v>18000</v>
      </c>
      <c r="J155" s="22">
        <f>+F155/I155</f>
        <v>2.9844312169312173E-2</v>
      </c>
      <c r="K155" s="12">
        <v>2000</v>
      </c>
    </row>
    <row r="156" spans="1:11">
      <c r="C156" s="73" t="s">
        <v>4</v>
      </c>
      <c r="D156" s="2" t="s">
        <v>950</v>
      </c>
      <c r="E156" s="3">
        <v>100</v>
      </c>
      <c r="F156" s="3">
        <v>25</v>
      </c>
      <c r="G156" s="4">
        <v>44846</v>
      </c>
    </row>
    <row r="157" spans="1:11">
      <c r="C157" s="2" t="s">
        <v>18</v>
      </c>
      <c r="D157" s="2" t="s">
        <v>889</v>
      </c>
      <c r="E157" s="3">
        <v>85</v>
      </c>
      <c r="F157" s="3">
        <v>6</v>
      </c>
      <c r="G157" s="4">
        <v>44417</v>
      </c>
    </row>
    <row r="158" spans="1:11">
      <c r="C158" s="2" t="s">
        <v>7</v>
      </c>
      <c r="D158" s="2" t="s">
        <v>889</v>
      </c>
      <c r="E158" s="3">
        <v>35</v>
      </c>
      <c r="F158" s="3">
        <v>10</v>
      </c>
      <c r="G158" s="4">
        <v>44293</v>
      </c>
    </row>
    <row r="159" spans="1:11">
      <c r="C159" s="2" t="s">
        <v>18</v>
      </c>
      <c r="D159" s="2" t="s">
        <v>1059</v>
      </c>
      <c r="E159" s="3">
        <v>100</v>
      </c>
      <c r="F159" s="3">
        <v>15</v>
      </c>
      <c r="G159" s="4">
        <v>44699</v>
      </c>
    </row>
    <row r="160" spans="1:11">
      <c r="C160" s="2" t="s">
        <v>7</v>
      </c>
      <c r="D160" s="2" t="s">
        <v>1059</v>
      </c>
      <c r="E160" s="3">
        <v>100</v>
      </c>
      <c r="F160" s="3">
        <f>25/3</f>
        <v>8.3333333333333339</v>
      </c>
      <c r="G160" s="4">
        <v>44286</v>
      </c>
    </row>
    <row r="161" spans="3:12">
      <c r="C161" s="2" t="s">
        <v>5</v>
      </c>
      <c r="D161" s="2" t="s">
        <v>1079</v>
      </c>
      <c r="E161" s="3">
        <v>65</v>
      </c>
      <c r="F161" s="3">
        <v>35</v>
      </c>
      <c r="G161" s="4">
        <v>44984</v>
      </c>
    </row>
    <row r="162" spans="3:12">
      <c r="C162" s="2" t="s">
        <v>7</v>
      </c>
      <c r="D162" s="2" t="s">
        <v>1027</v>
      </c>
      <c r="E162" s="3">
        <v>43</v>
      </c>
      <c r="F162" s="3">
        <v>13</v>
      </c>
      <c r="G162" s="4">
        <v>44978</v>
      </c>
    </row>
    <row r="163" spans="3:12">
      <c r="C163" s="2" t="s">
        <v>4</v>
      </c>
      <c r="D163" s="2" t="s">
        <v>717</v>
      </c>
      <c r="E163" s="3">
        <v>113</v>
      </c>
      <c r="F163" s="3">
        <v>19</v>
      </c>
      <c r="G163" s="4">
        <v>45090</v>
      </c>
    </row>
    <row r="164" spans="3:12">
      <c r="C164" s="2" t="s">
        <v>5</v>
      </c>
      <c r="D164" s="2" t="s">
        <v>693</v>
      </c>
      <c r="E164" s="3">
        <v>15</v>
      </c>
      <c r="F164" s="3">
        <v>3</v>
      </c>
      <c r="G164" s="4">
        <v>44838</v>
      </c>
    </row>
    <row r="165" spans="3:12">
      <c r="C165" s="2" t="s">
        <v>18</v>
      </c>
      <c r="D165" s="2" t="s">
        <v>895</v>
      </c>
      <c r="E165" s="3">
        <v>200</v>
      </c>
      <c r="F165" s="3">
        <v>20</v>
      </c>
      <c r="G165" s="4">
        <v>44377</v>
      </c>
    </row>
    <row r="166" spans="3:12">
      <c r="C166" s="2" t="s">
        <v>7</v>
      </c>
      <c r="D166" s="2" t="s">
        <v>895</v>
      </c>
      <c r="E166" s="3">
        <v>75</v>
      </c>
      <c r="F166" s="3">
        <v>5</v>
      </c>
      <c r="G166" s="4">
        <v>43783</v>
      </c>
    </row>
    <row r="167" spans="3:12">
      <c r="C167" s="2" t="s">
        <v>5</v>
      </c>
      <c r="D167" s="2" t="s">
        <v>895</v>
      </c>
      <c r="E167" s="3">
        <v>30</v>
      </c>
      <c r="F167" s="3">
        <v>10</v>
      </c>
      <c r="G167" s="4">
        <v>43573</v>
      </c>
    </row>
    <row r="168" spans="3:12">
      <c r="C168" s="2" t="s">
        <v>4</v>
      </c>
      <c r="D168" s="2" t="s">
        <v>1033</v>
      </c>
      <c r="E168" s="3">
        <v>1.5</v>
      </c>
      <c r="F168" s="3">
        <v>1</v>
      </c>
      <c r="G168" s="4">
        <v>44098</v>
      </c>
    </row>
    <row r="169" spans="3:12">
      <c r="C169" s="2" t="s">
        <v>8</v>
      </c>
      <c r="D169" s="2" t="s">
        <v>530</v>
      </c>
      <c r="E169" s="3">
        <v>100</v>
      </c>
      <c r="F169" s="3">
        <f>50/4</f>
        <v>12.5</v>
      </c>
      <c r="G169" s="4">
        <v>44419</v>
      </c>
    </row>
    <row r="170" spans="3:12">
      <c r="C170" s="2" t="s">
        <v>18</v>
      </c>
      <c r="D170" s="2" t="s">
        <v>530</v>
      </c>
      <c r="E170" s="3">
        <v>60</v>
      </c>
      <c r="F170" s="3">
        <v>5</v>
      </c>
      <c r="G170" s="4">
        <v>43606</v>
      </c>
    </row>
    <row r="171" spans="3:12">
      <c r="C171" s="2" t="s">
        <v>7</v>
      </c>
      <c r="D171" s="2" t="s">
        <v>530</v>
      </c>
      <c r="E171" s="3">
        <v>30</v>
      </c>
      <c r="F171" s="3">
        <v>5</v>
      </c>
      <c r="G171" s="4">
        <v>43396</v>
      </c>
    </row>
    <row r="172" spans="3:12">
      <c r="C172" s="2" t="s">
        <v>5</v>
      </c>
      <c r="D172" s="2" t="s">
        <v>530</v>
      </c>
      <c r="E172" s="3">
        <v>7</v>
      </c>
      <c r="F172" s="3">
        <v>3</v>
      </c>
      <c r="G172" s="4">
        <v>42885</v>
      </c>
    </row>
    <row r="173" spans="3:12">
      <c r="C173" s="2" t="s">
        <v>7</v>
      </c>
      <c r="D173" s="2" t="s">
        <v>535</v>
      </c>
      <c r="E173" s="3">
        <v>32</v>
      </c>
      <c r="F173" s="3">
        <v>3</v>
      </c>
      <c r="G173" s="4">
        <v>44364</v>
      </c>
    </row>
    <row r="174" spans="3:12">
      <c r="C174" s="2" t="s">
        <v>5</v>
      </c>
      <c r="D174" s="2" t="s">
        <v>535</v>
      </c>
      <c r="E174" s="3">
        <v>10.199999999999999</v>
      </c>
      <c r="F174" s="3">
        <v>3</v>
      </c>
      <c r="G174" s="4">
        <v>43732</v>
      </c>
    </row>
    <row r="175" spans="3:12">
      <c r="C175" s="2" t="s">
        <v>4</v>
      </c>
      <c r="D175" s="2" t="s">
        <v>535</v>
      </c>
      <c r="E175" s="3">
        <v>3</v>
      </c>
      <c r="F175" s="3">
        <v>0.75</v>
      </c>
      <c r="G175" s="4">
        <v>43374</v>
      </c>
    </row>
    <row r="176" spans="3:12">
      <c r="C176" s="2" t="s">
        <v>4</v>
      </c>
      <c r="D176" s="2" t="s">
        <v>354</v>
      </c>
      <c r="E176" s="3">
        <v>3.5</v>
      </c>
      <c r="F176" s="3">
        <f>E176/10</f>
        <v>0.35</v>
      </c>
      <c r="G176" s="4">
        <v>43046</v>
      </c>
      <c r="L176" s="1">
        <v>0</v>
      </c>
    </row>
    <row r="177" spans="3:10">
      <c r="C177" s="2" t="s">
        <v>55</v>
      </c>
      <c r="D177" s="2" t="s">
        <v>49</v>
      </c>
      <c r="E177" s="3">
        <v>100</v>
      </c>
      <c r="F177" s="3">
        <f>75/7</f>
        <v>10.714285714285714</v>
      </c>
      <c r="G177" s="4">
        <v>44515</v>
      </c>
      <c r="I177" s="1">
        <v>4100</v>
      </c>
      <c r="J177" s="1">
        <v>4100</v>
      </c>
    </row>
    <row r="178" spans="3:10">
      <c r="C178" s="2" t="s">
        <v>9</v>
      </c>
      <c r="D178" s="2" t="s">
        <v>49</v>
      </c>
      <c r="E178" s="3">
        <v>248</v>
      </c>
      <c r="F178" s="3">
        <v>98</v>
      </c>
      <c r="G178" s="4">
        <v>43678</v>
      </c>
      <c r="I178" s="5">
        <v>1700</v>
      </c>
      <c r="J178" s="1">
        <v>4100</v>
      </c>
    </row>
    <row r="179" spans="3:10">
      <c r="C179" s="2" t="s">
        <v>8</v>
      </c>
      <c r="D179" s="2" t="s">
        <v>49</v>
      </c>
      <c r="E179" s="3">
        <v>145</v>
      </c>
      <c r="F179" s="3">
        <v>30</v>
      </c>
      <c r="G179" s="4">
        <v>43228</v>
      </c>
      <c r="I179" s="5">
        <v>855</v>
      </c>
      <c r="J179" s="1">
        <v>4100</v>
      </c>
    </row>
    <row r="180" spans="3:10">
      <c r="C180" s="2" t="s">
        <v>18</v>
      </c>
      <c r="D180" s="2" t="s">
        <v>49</v>
      </c>
      <c r="E180" s="3">
        <v>60</v>
      </c>
      <c r="F180" s="3">
        <v>40</v>
      </c>
      <c r="G180" s="4">
        <v>42964</v>
      </c>
      <c r="I180" s="5"/>
      <c r="J180" s="1">
        <v>4100</v>
      </c>
    </row>
    <row r="181" spans="3:10">
      <c r="C181" s="2" t="s">
        <v>18</v>
      </c>
      <c r="D181" s="2" t="s">
        <v>49</v>
      </c>
      <c r="E181" s="3">
        <v>50</v>
      </c>
      <c r="F181" s="3">
        <f>20/2</f>
        <v>10</v>
      </c>
      <c r="G181" s="4">
        <v>42509</v>
      </c>
      <c r="I181" s="5"/>
      <c r="J181" s="1">
        <v>4100</v>
      </c>
    </row>
    <row r="182" spans="3:10">
      <c r="C182" s="2" t="s">
        <v>7</v>
      </c>
      <c r="D182" s="2" t="s">
        <v>49</v>
      </c>
      <c r="E182" s="3">
        <v>30</v>
      </c>
      <c r="F182" s="3">
        <v>10</v>
      </c>
      <c r="G182" s="4">
        <v>41808</v>
      </c>
      <c r="I182" s="5"/>
      <c r="J182" s="1">
        <v>4100</v>
      </c>
    </row>
    <row r="183" spans="3:10">
      <c r="C183" s="2" t="s">
        <v>5</v>
      </c>
      <c r="D183" s="2" t="s">
        <v>49</v>
      </c>
      <c r="E183" s="3">
        <v>10.7</v>
      </c>
      <c r="F183" s="3">
        <v>5.7</v>
      </c>
      <c r="G183" s="4">
        <v>41076</v>
      </c>
      <c r="I183" s="5"/>
      <c r="J183" s="1">
        <v>4100</v>
      </c>
    </row>
    <row r="184" spans="3:10">
      <c r="C184" s="2" t="s">
        <v>18</v>
      </c>
      <c r="D184" s="2" t="s">
        <v>197</v>
      </c>
      <c r="E184" s="3">
        <v>235</v>
      </c>
      <c r="F184" s="3">
        <f>85/2</f>
        <v>42.5</v>
      </c>
      <c r="G184" s="4">
        <v>44384</v>
      </c>
      <c r="I184" s="5"/>
    </row>
    <row r="185" spans="3:10">
      <c r="C185" s="2" t="s">
        <v>7</v>
      </c>
      <c r="D185" s="2" t="s">
        <v>197</v>
      </c>
      <c r="E185" s="3">
        <v>43</v>
      </c>
      <c r="F185" s="3">
        <f>+E185/5</f>
        <v>8.6</v>
      </c>
      <c r="G185" s="4">
        <v>44077</v>
      </c>
      <c r="I185" s="5"/>
    </row>
    <row r="186" spans="3:10">
      <c r="C186" s="2" t="s">
        <v>5</v>
      </c>
      <c r="D186" s="2" t="s">
        <v>197</v>
      </c>
      <c r="E186" s="3">
        <v>15</v>
      </c>
      <c r="F186" s="3">
        <v>10</v>
      </c>
      <c r="G186" s="4">
        <v>43479</v>
      </c>
      <c r="I186" s="5"/>
    </row>
    <row r="187" spans="3:10">
      <c r="C187" s="2" t="s">
        <v>9</v>
      </c>
      <c r="D187" s="2" t="s">
        <v>54</v>
      </c>
      <c r="E187" s="3">
        <v>220</v>
      </c>
      <c r="F187" s="3">
        <v>28</v>
      </c>
      <c r="G187" s="4">
        <v>44357</v>
      </c>
      <c r="I187" s="5">
        <v>1900</v>
      </c>
      <c r="J187" s="5">
        <v>1900</v>
      </c>
    </row>
    <row r="188" spans="3:10">
      <c r="C188" s="2" t="s">
        <v>8</v>
      </c>
      <c r="D188" s="2" t="s">
        <v>54</v>
      </c>
      <c r="E188" s="3">
        <v>125</v>
      </c>
      <c r="F188" s="3">
        <v>18.75</v>
      </c>
      <c r="G188" s="4">
        <v>44131</v>
      </c>
      <c r="I188" s="5">
        <v>875</v>
      </c>
      <c r="J188" s="5">
        <v>1900</v>
      </c>
    </row>
    <row r="189" spans="3:10">
      <c r="C189" s="2" t="s">
        <v>18</v>
      </c>
      <c r="D189" s="2" t="s">
        <v>54</v>
      </c>
      <c r="E189" s="3">
        <v>28</v>
      </c>
      <c r="F189" s="3">
        <v>7</v>
      </c>
      <c r="G189" s="4">
        <v>43579</v>
      </c>
      <c r="I189" s="5"/>
      <c r="J189" s="5">
        <v>1900</v>
      </c>
    </row>
    <row r="190" spans="3:10">
      <c r="C190" s="2" t="s">
        <v>7</v>
      </c>
      <c r="D190" s="2" t="s">
        <v>1079</v>
      </c>
      <c r="E190" s="3">
        <v>100</v>
      </c>
      <c r="F190" s="3">
        <f>60/4</f>
        <v>15</v>
      </c>
      <c r="G190" s="4">
        <v>45106</v>
      </c>
      <c r="I190" s="5"/>
      <c r="J190" s="5"/>
    </row>
    <row r="191" spans="3:10">
      <c r="C191" s="2" t="s">
        <v>8</v>
      </c>
      <c r="D191" s="2" t="s">
        <v>2176</v>
      </c>
      <c r="E191" s="3">
        <v>200</v>
      </c>
      <c r="F191" s="3">
        <v>20</v>
      </c>
      <c r="G191" s="4">
        <v>44237</v>
      </c>
      <c r="I191" s="5"/>
      <c r="J191" s="5"/>
    </row>
    <row r="192" spans="3:10">
      <c r="G192" s="4"/>
    </row>
    <row r="193" spans="1:18" s="12" customFormat="1">
      <c r="A193" s="12">
        <v>10</v>
      </c>
      <c r="B193" s="12" t="s">
        <v>1165</v>
      </c>
      <c r="C193" s="13" t="s">
        <v>984</v>
      </c>
      <c r="D193" s="13" t="s">
        <v>983</v>
      </c>
      <c r="E193" s="15"/>
      <c r="F193" s="15">
        <f>+F194+F195</f>
        <v>431.81818181818181</v>
      </c>
      <c r="G193" s="14">
        <f>+G194</f>
        <v>44363</v>
      </c>
      <c r="I193" s="13" t="s">
        <v>1</v>
      </c>
      <c r="J193" s="13" t="s">
        <v>1</v>
      </c>
      <c r="K193" s="13" t="s">
        <v>1</v>
      </c>
      <c r="M193" s="13"/>
      <c r="N193" s="13"/>
      <c r="O193" s="13"/>
      <c r="P193" s="13"/>
      <c r="Q193" s="13"/>
      <c r="R193" s="13"/>
    </row>
    <row r="194" spans="1:18">
      <c r="C194" s="2" t="s">
        <v>7</v>
      </c>
      <c r="D194" s="2" t="s">
        <v>1150</v>
      </c>
      <c r="E194" s="3">
        <v>2500</v>
      </c>
      <c r="F194" s="3">
        <f>2000/11</f>
        <v>181.81818181818181</v>
      </c>
      <c r="G194" s="4">
        <v>44363</v>
      </c>
    </row>
    <row r="195" spans="1:18">
      <c r="C195" s="2" t="s">
        <v>5</v>
      </c>
      <c r="D195" s="2" t="s">
        <v>1150</v>
      </c>
      <c r="E195" s="3">
        <v>3000</v>
      </c>
      <c r="F195" s="3">
        <v>250</v>
      </c>
      <c r="G195" s="4">
        <v>43963</v>
      </c>
    </row>
    <row r="196" spans="1:18">
      <c r="G196" s="4"/>
    </row>
    <row r="197" spans="1:18">
      <c r="A197" s="1">
        <v>11</v>
      </c>
      <c r="B197" s="12" t="s">
        <v>1164</v>
      </c>
      <c r="C197" s="13" t="s">
        <v>984</v>
      </c>
      <c r="D197" s="13" t="s">
        <v>983</v>
      </c>
      <c r="E197" s="15"/>
      <c r="F197" s="15">
        <f>SUM(F198:F221)</f>
        <v>422.36666666666673</v>
      </c>
      <c r="G197" s="14">
        <f>G205</f>
        <v>45056</v>
      </c>
      <c r="I197" s="12">
        <v>25000</v>
      </c>
      <c r="J197" s="23">
        <f>+F197/I197</f>
        <v>1.6894666666666669E-2</v>
      </c>
      <c r="K197" s="12">
        <v>1977</v>
      </c>
    </row>
    <row r="198" spans="1:18">
      <c r="C198" s="2" t="s">
        <v>1136</v>
      </c>
      <c r="D198" s="2" t="s">
        <v>844</v>
      </c>
      <c r="E198" s="3">
        <v>100</v>
      </c>
      <c r="F198" s="3">
        <f>40/3</f>
        <v>13.333333333333334</v>
      </c>
      <c r="G198" s="4">
        <v>44537</v>
      </c>
    </row>
    <row r="199" spans="1:18">
      <c r="C199" s="2" t="s">
        <v>7</v>
      </c>
      <c r="D199" s="2" t="s">
        <v>844</v>
      </c>
      <c r="E199" s="3">
        <v>40</v>
      </c>
      <c r="F199" s="3">
        <v>20</v>
      </c>
      <c r="G199" s="4">
        <v>44125</v>
      </c>
    </row>
    <row r="200" spans="1:18">
      <c r="C200" s="2" t="s">
        <v>5</v>
      </c>
      <c r="D200" s="2" t="s">
        <v>844</v>
      </c>
      <c r="E200" s="3">
        <v>20</v>
      </c>
      <c r="F200" s="3">
        <f>12/6</f>
        <v>2</v>
      </c>
      <c r="G200" s="4">
        <v>43816</v>
      </c>
    </row>
    <row r="201" spans="1:18">
      <c r="C201" s="2" t="s">
        <v>5</v>
      </c>
      <c r="D201" s="2" t="s">
        <v>1163</v>
      </c>
      <c r="E201" s="3">
        <v>25.6</v>
      </c>
      <c r="F201" s="3">
        <v>20</v>
      </c>
      <c r="G201" s="4">
        <v>45013</v>
      </c>
    </row>
    <row r="202" spans="1:18">
      <c r="C202" s="2" t="s">
        <v>7</v>
      </c>
      <c r="D202" s="2" t="s">
        <v>808</v>
      </c>
      <c r="E202" s="3">
        <v>50</v>
      </c>
      <c r="F202" s="3">
        <f>30/5</f>
        <v>6</v>
      </c>
      <c r="G202" s="4">
        <v>45036</v>
      </c>
    </row>
    <row r="203" spans="1:18">
      <c r="C203" s="2" t="s">
        <v>5</v>
      </c>
      <c r="D203" s="2" t="s">
        <v>808</v>
      </c>
      <c r="E203" s="3">
        <v>16.5</v>
      </c>
      <c r="F203" s="3">
        <v>6</v>
      </c>
      <c r="G203" s="4">
        <v>44614</v>
      </c>
    </row>
    <row r="204" spans="1:18">
      <c r="C204" s="2" t="s">
        <v>4</v>
      </c>
      <c r="D204" s="2" t="s">
        <v>697</v>
      </c>
      <c r="E204" s="3">
        <v>30</v>
      </c>
      <c r="F204" s="3">
        <v>15</v>
      </c>
      <c r="G204" s="4">
        <v>44601</v>
      </c>
    </row>
    <row r="205" spans="1:18">
      <c r="C205" s="2" t="s">
        <v>4</v>
      </c>
      <c r="D205" s="2" t="s">
        <v>841</v>
      </c>
      <c r="E205" s="3">
        <v>4.5</v>
      </c>
      <c r="F205" s="3">
        <v>2</v>
      </c>
      <c r="G205" s="4">
        <v>45056</v>
      </c>
    </row>
    <row r="206" spans="1:18">
      <c r="C206" s="2" t="s">
        <v>285</v>
      </c>
      <c r="D206" s="2" t="s">
        <v>788</v>
      </c>
      <c r="E206" s="3">
        <v>4.5</v>
      </c>
      <c r="F206" s="3">
        <v>1</v>
      </c>
      <c r="G206" s="4">
        <v>44691</v>
      </c>
    </row>
    <row r="207" spans="1:18">
      <c r="C207" s="2" t="s">
        <v>4</v>
      </c>
      <c r="D207" s="2" t="s">
        <v>665</v>
      </c>
      <c r="E207" s="3">
        <v>12.8</v>
      </c>
      <c r="F207" s="3">
        <v>5</v>
      </c>
      <c r="G207" s="4">
        <v>44601</v>
      </c>
    </row>
    <row r="208" spans="1:18">
      <c r="C208" s="2" t="s">
        <v>4</v>
      </c>
      <c r="D208" s="2" t="s">
        <v>783</v>
      </c>
      <c r="E208" s="3">
        <v>10</v>
      </c>
      <c r="F208" s="3">
        <v>1</v>
      </c>
      <c r="G208" s="4">
        <v>44858</v>
      </c>
    </row>
    <row r="209" spans="2:18">
      <c r="C209" s="2" t="s">
        <v>4</v>
      </c>
      <c r="D209" s="2" t="s">
        <v>783</v>
      </c>
      <c r="E209" s="3">
        <v>4.5999999999999996</v>
      </c>
      <c r="F209" s="3">
        <v>2</v>
      </c>
      <c r="G209" s="4">
        <v>44530</v>
      </c>
    </row>
    <row r="210" spans="2:18">
      <c r="C210" s="2" t="s">
        <v>55</v>
      </c>
      <c r="D210" s="2" t="s">
        <v>498</v>
      </c>
      <c r="E210" s="3">
        <v>270</v>
      </c>
      <c r="F210" s="3">
        <v>22</v>
      </c>
      <c r="G210" s="4">
        <v>44152</v>
      </c>
    </row>
    <row r="211" spans="2:18">
      <c r="C211" s="2" t="s">
        <v>9</v>
      </c>
      <c r="D211" s="2" t="s">
        <v>498</v>
      </c>
      <c r="E211" s="3">
        <v>206</v>
      </c>
      <c r="F211" s="3">
        <v>14</v>
      </c>
      <c r="G211" s="4">
        <v>43725</v>
      </c>
    </row>
    <row r="212" spans="2:18">
      <c r="C212" s="2" t="s">
        <v>8</v>
      </c>
      <c r="D212" s="2" t="s">
        <v>498</v>
      </c>
      <c r="E212" s="3">
        <v>100</v>
      </c>
      <c r="F212" s="3">
        <v>15</v>
      </c>
      <c r="G212" s="4">
        <v>43397</v>
      </c>
    </row>
    <row r="213" spans="2:18">
      <c r="C213" s="2" t="s">
        <v>18</v>
      </c>
      <c r="D213" s="2" t="s">
        <v>498</v>
      </c>
      <c r="E213" s="3">
        <v>67.2</v>
      </c>
      <c r="F213" s="3">
        <v>37.200000000000003</v>
      </c>
      <c r="G213" s="4">
        <v>42943</v>
      </c>
    </row>
    <row r="214" spans="2:18">
      <c r="C214" s="2" t="s">
        <v>7</v>
      </c>
      <c r="D214" s="2" t="s">
        <v>484</v>
      </c>
      <c r="E214" s="3">
        <v>90</v>
      </c>
      <c r="F214" s="3">
        <v>6</v>
      </c>
      <c r="G214" s="4">
        <v>44398</v>
      </c>
    </row>
    <row r="215" spans="2:18">
      <c r="C215" s="2" t="s">
        <v>5</v>
      </c>
      <c r="D215" s="2" t="s">
        <v>484</v>
      </c>
      <c r="E215" s="3">
        <v>22.8</v>
      </c>
      <c r="F215" s="3">
        <v>6.4</v>
      </c>
      <c r="G215" s="4">
        <v>43160</v>
      </c>
      <c r="J215" s="5"/>
    </row>
    <row r="216" spans="2:18">
      <c r="C216" s="2" t="s">
        <v>9</v>
      </c>
      <c r="D216" s="2" t="s">
        <v>393</v>
      </c>
      <c r="E216" s="3">
        <v>400</v>
      </c>
      <c r="F216" s="3">
        <v>200</v>
      </c>
      <c r="G216" s="4">
        <v>44608</v>
      </c>
      <c r="J216" s="5"/>
    </row>
    <row r="217" spans="2:18">
      <c r="C217" s="2" t="s">
        <v>5</v>
      </c>
      <c r="D217" s="2" t="s">
        <v>296</v>
      </c>
      <c r="E217" s="3">
        <v>30</v>
      </c>
      <c r="F217" s="3">
        <v>10</v>
      </c>
      <c r="G217" s="4">
        <v>44474</v>
      </c>
      <c r="J217" s="5"/>
    </row>
    <row r="218" spans="2:18">
      <c r="C218" s="2" t="s">
        <v>4</v>
      </c>
      <c r="D218" s="2" t="s">
        <v>296</v>
      </c>
      <c r="E218" s="3">
        <v>15</v>
      </c>
      <c r="F218" s="3">
        <f>10/4</f>
        <v>2.5</v>
      </c>
      <c r="G218" s="4">
        <v>43775</v>
      </c>
      <c r="J218" s="5"/>
    </row>
    <row r="219" spans="2:18">
      <c r="C219" s="2" t="s">
        <v>4</v>
      </c>
      <c r="D219" s="2" t="s">
        <v>1072</v>
      </c>
      <c r="E219" s="3">
        <v>4.3</v>
      </c>
      <c r="F219" s="3">
        <f>E219/3</f>
        <v>1.4333333333333333</v>
      </c>
      <c r="G219" s="4">
        <v>42821</v>
      </c>
      <c r="J219" s="5"/>
    </row>
    <row r="220" spans="2:18">
      <c r="C220" s="2" t="s">
        <v>7</v>
      </c>
      <c r="D220" s="2" t="s">
        <v>133</v>
      </c>
      <c r="E220" s="3">
        <v>23.5</v>
      </c>
      <c r="F220" s="3">
        <f>14/4</f>
        <v>3.5</v>
      </c>
      <c r="G220" s="4">
        <v>45008</v>
      </c>
      <c r="J220" s="5"/>
    </row>
    <row r="221" spans="2:18">
      <c r="C221" s="2" t="s">
        <v>5</v>
      </c>
      <c r="D221" s="2" t="s">
        <v>133</v>
      </c>
      <c r="E221" s="3">
        <v>16</v>
      </c>
      <c r="F221" s="3">
        <v>11</v>
      </c>
      <c r="G221" s="4">
        <v>44434</v>
      </c>
      <c r="J221" s="5"/>
    </row>
    <row r="222" spans="2:18">
      <c r="G222" s="4"/>
    </row>
    <row r="223" spans="2:18" s="12" customFormat="1">
      <c r="B223" s="12" t="s">
        <v>342</v>
      </c>
      <c r="C223" s="13" t="s">
        <v>984</v>
      </c>
      <c r="D223" s="13" t="s">
        <v>983</v>
      </c>
      <c r="E223" s="15"/>
      <c r="F223" s="15">
        <f>SUM(F224:F226)</f>
        <v>401.02</v>
      </c>
      <c r="G223" s="14">
        <f>G225</f>
        <v>44274</v>
      </c>
    </row>
    <row r="224" spans="2:18">
      <c r="C224" s="2" t="s">
        <v>4</v>
      </c>
      <c r="D224" s="2" t="s">
        <v>339</v>
      </c>
      <c r="E224" s="3">
        <v>5.0999999999999996</v>
      </c>
      <c r="F224" s="3">
        <f>E224/5</f>
        <v>1.02</v>
      </c>
      <c r="G224" s="4">
        <v>43990</v>
      </c>
      <c r="M224" s="1"/>
      <c r="N224" s="1"/>
      <c r="O224" s="1"/>
      <c r="P224" s="1"/>
      <c r="Q224" s="1"/>
      <c r="R224" s="1"/>
    </row>
    <row r="225" spans="1:18">
      <c r="C225" s="2" t="s">
        <v>18</v>
      </c>
      <c r="D225" s="2" t="s">
        <v>203</v>
      </c>
      <c r="E225" s="3">
        <v>500</v>
      </c>
      <c r="F225" s="3">
        <v>100</v>
      </c>
      <c r="G225" s="4">
        <v>44274</v>
      </c>
      <c r="M225" s="1"/>
      <c r="N225" s="1"/>
      <c r="O225" s="1"/>
      <c r="P225" s="1"/>
      <c r="Q225" s="1"/>
      <c r="R225" s="1"/>
    </row>
    <row r="226" spans="1:18">
      <c r="C226" s="2" t="s">
        <v>7</v>
      </c>
      <c r="D226" s="2" t="s">
        <v>166</v>
      </c>
      <c r="E226" s="3">
        <v>462</v>
      </c>
      <c r="F226" s="3">
        <v>300</v>
      </c>
      <c r="G226" s="4">
        <v>43886</v>
      </c>
      <c r="I226" s="1">
        <v>2500</v>
      </c>
      <c r="M226" s="1"/>
      <c r="N226" s="1"/>
      <c r="O226" s="1"/>
      <c r="P226" s="1"/>
      <c r="Q226" s="1"/>
      <c r="R226" s="1"/>
    </row>
    <row r="227" spans="1:18">
      <c r="C227" s="2" t="s">
        <v>7</v>
      </c>
      <c r="G227" s="4"/>
      <c r="M227" s="1"/>
      <c r="N227" s="1"/>
      <c r="O227" s="1"/>
      <c r="P227" s="1"/>
      <c r="Q227" s="1"/>
      <c r="R227" s="1"/>
    </row>
    <row r="228" spans="1:18">
      <c r="G228" s="4"/>
      <c r="M228" s="1"/>
      <c r="N228" s="1"/>
      <c r="O228" s="1"/>
      <c r="P228" s="1"/>
      <c r="Q228" s="1"/>
      <c r="R228" s="1"/>
    </row>
    <row r="229" spans="1:18" s="12" customFormat="1">
      <c r="A229" s="12">
        <v>12</v>
      </c>
      <c r="B229" s="12" t="s">
        <v>1162</v>
      </c>
      <c r="C229" s="13" t="s">
        <v>984</v>
      </c>
      <c r="D229" s="13" t="s">
        <v>983</v>
      </c>
      <c r="E229" s="15"/>
      <c r="F229" s="15">
        <f>SUM(F230:F239)</f>
        <v>391.5555555555556</v>
      </c>
      <c r="G229" s="14">
        <f>G232</f>
        <v>44274</v>
      </c>
    </row>
    <row r="230" spans="1:18">
      <c r="C230" s="2" t="s">
        <v>5</v>
      </c>
      <c r="D230" s="2" t="s">
        <v>439</v>
      </c>
      <c r="E230" s="3">
        <v>15</v>
      </c>
      <c r="F230" s="3">
        <v>3</v>
      </c>
      <c r="G230" s="4">
        <v>42690</v>
      </c>
      <c r="M230" s="1"/>
      <c r="N230" s="1"/>
      <c r="O230" s="1"/>
      <c r="P230" s="1"/>
      <c r="Q230" s="1"/>
      <c r="R230" s="1"/>
    </row>
    <row r="231" spans="1:18">
      <c r="C231" s="2" t="s">
        <v>18</v>
      </c>
      <c r="D231" s="2" t="s">
        <v>252</v>
      </c>
      <c r="E231" s="3">
        <v>820</v>
      </c>
      <c r="F231" s="3">
        <v>220</v>
      </c>
      <c r="G231" s="4">
        <v>43223</v>
      </c>
      <c r="M231" s="1"/>
      <c r="N231" s="1"/>
      <c r="O231" s="1"/>
      <c r="P231" s="1"/>
      <c r="Q231" s="1"/>
      <c r="R231" s="1"/>
    </row>
    <row r="232" spans="1:18">
      <c r="C232" s="2" t="s">
        <v>18</v>
      </c>
      <c r="D232" s="2" t="s">
        <v>203</v>
      </c>
      <c r="E232" s="3">
        <v>500</v>
      </c>
      <c r="F232" s="3">
        <f>200/9</f>
        <v>22.222222222222221</v>
      </c>
      <c r="G232" s="4">
        <v>44274</v>
      </c>
      <c r="M232" s="1"/>
      <c r="N232" s="1"/>
      <c r="O232" s="1"/>
      <c r="P232" s="1"/>
      <c r="Q232" s="1"/>
      <c r="R232" s="1"/>
    </row>
    <row r="233" spans="1:18">
      <c r="C233" s="2" t="s">
        <v>7</v>
      </c>
      <c r="D233" s="2" t="s">
        <v>203</v>
      </c>
      <c r="E233" s="3">
        <v>120</v>
      </c>
      <c r="F233" s="3">
        <f>30/3</f>
        <v>10</v>
      </c>
      <c r="G233" s="4">
        <v>43391</v>
      </c>
      <c r="M233" s="1"/>
      <c r="N233" s="1"/>
      <c r="O233" s="1"/>
      <c r="P233" s="1"/>
      <c r="Q233" s="1"/>
      <c r="R233" s="1"/>
    </row>
    <row r="234" spans="1:18">
      <c r="C234" s="2" t="s">
        <v>9</v>
      </c>
      <c r="D234" s="2" t="s">
        <v>153</v>
      </c>
      <c r="E234" s="3">
        <f>300</f>
        <v>300</v>
      </c>
      <c r="F234" s="6" t="s">
        <v>1161</v>
      </c>
      <c r="G234" s="4">
        <v>44271</v>
      </c>
      <c r="M234" s="1"/>
      <c r="N234" s="1"/>
      <c r="O234" s="1"/>
      <c r="P234" s="1"/>
      <c r="Q234" s="1"/>
      <c r="R234" s="1"/>
    </row>
    <row r="235" spans="1:18">
      <c r="C235" s="2" t="s">
        <v>18</v>
      </c>
      <c r="D235" s="2" t="s">
        <v>82</v>
      </c>
      <c r="E235" s="3">
        <v>257</v>
      </c>
      <c r="F235" s="6">
        <f>107/3</f>
        <v>35.666666666666664</v>
      </c>
      <c r="G235" s="4">
        <v>44201</v>
      </c>
      <c r="M235" s="1"/>
      <c r="N235" s="1"/>
      <c r="O235" s="1"/>
      <c r="P235" s="1"/>
      <c r="Q235" s="1"/>
      <c r="R235" s="1"/>
    </row>
    <row r="236" spans="1:18">
      <c r="C236" s="2" t="s">
        <v>7</v>
      </c>
      <c r="D236" s="2" t="s">
        <v>82</v>
      </c>
      <c r="E236" s="3">
        <v>100</v>
      </c>
      <c r="F236" s="6">
        <v>20</v>
      </c>
      <c r="G236" s="4">
        <v>43958</v>
      </c>
      <c r="M236" s="1"/>
      <c r="N236" s="1"/>
      <c r="O236" s="1"/>
      <c r="P236" s="1"/>
      <c r="Q236" s="1"/>
      <c r="R236" s="1"/>
    </row>
    <row r="237" spans="1:18">
      <c r="C237" s="2" t="s">
        <v>5</v>
      </c>
      <c r="D237" s="2" t="s">
        <v>82</v>
      </c>
      <c r="E237" s="3">
        <v>43</v>
      </c>
      <c r="F237" s="6">
        <f>+E237/6</f>
        <v>7.166666666666667</v>
      </c>
      <c r="G237" s="4">
        <v>43622</v>
      </c>
      <c r="M237" s="1"/>
      <c r="N237" s="1"/>
      <c r="O237" s="1"/>
      <c r="P237" s="1"/>
      <c r="Q237" s="1"/>
      <c r="R237" s="1"/>
    </row>
    <row r="238" spans="1:18">
      <c r="C238" s="2" t="s">
        <v>4</v>
      </c>
      <c r="D238" s="2" t="s">
        <v>82</v>
      </c>
      <c r="E238" s="3">
        <v>19</v>
      </c>
      <c r="F238" s="6">
        <v>19</v>
      </c>
      <c r="G238" s="4">
        <v>43319</v>
      </c>
      <c r="M238" s="1"/>
      <c r="N238" s="1"/>
      <c r="O238" s="1"/>
      <c r="P238" s="1"/>
      <c r="Q238" s="1"/>
      <c r="R238" s="1"/>
    </row>
    <row r="239" spans="1:18">
      <c r="C239" s="2" t="s">
        <v>5</v>
      </c>
      <c r="D239" s="2" t="s">
        <v>31</v>
      </c>
      <c r="E239" s="3">
        <f>1600/7</f>
        <v>228.57142857142858</v>
      </c>
      <c r="F239" s="6">
        <f>109/2</f>
        <v>54.5</v>
      </c>
      <c r="G239" s="4">
        <v>45078</v>
      </c>
      <c r="I239" s="1">
        <v>1000</v>
      </c>
      <c r="J239" s="1">
        <v>1000</v>
      </c>
      <c r="M239" s="1"/>
      <c r="N239" s="1"/>
      <c r="O239" s="1"/>
      <c r="P239" s="1"/>
      <c r="Q239" s="1"/>
      <c r="R239" s="1"/>
    </row>
    <row r="240" spans="1:18">
      <c r="G240" s="4"/>
      <c r="M240" s="1"/>
      <c r="N240" s="1"/>
      <c r="O240" s="1"/>
      <c r="P240" s="1"/>
      <c r="Q240" s="1"/>
      <c r="R240" s="1"/>
    </row>
    <row r="241" spans="1:11">
      <c r="A241" s="1">
        <v>13</v>
      </c>
      <c r="B241" s="12" t="s">
        <v>1160</v>
      </c>
      <c r="C241" s="13" t="s">
        <v>984</v>
      </c>
      <c r="D241" s="13" t="s">
        <v>983</v>
      </c>
      <c r="E241" s="15"/>
      <c r="F241" s="15">
        <f>SUM(F242:F261)</f>
        <v>383.59999999999997</v>
      </c>
      <c r="G241" s="14">
        <f>G242</f>
        <v>44999</v>
      </c>
      <c r="I241" s="12">
        <v>3500</v>
      </c>
      <c r="J241" s="22">
        <f>+F241/I241</f>
        <v>0.10959999999999999</v>
      </c>
      <c r="K241" s="12">
        <v>1965</v>
      </c>
    </row>
    <row r="242" spans="1:11">
      <c r="C242" s="2" t="s">
        <v>7</v>
      </c>
      <c r="D242" s="2" t="s">
        <v>964</v>
      </c>
      <c r="E242" s="3">
        <v>350</v>
      </c>
      <c r="F242" s="3">
        <v>20</v>
      </c>
      <c r="G242" s="4">
        <v>44999</v>
      </c>
    </row>
    <row r="243" spans="1:11">
      <c r="C243" s="2" t="s">
        <v>5</v>
      </c>
      <c r="D243" s="2" t="s">
        <v>964</v>
      </c>
      <c r="E243" s="3">
        <v>65</v>
      </c>
      <c r="F243" s="3">
        <v>25</v>
      </c>
      <c r="G243" s="4">
        <v>44679</v>
      </c>
    </row>
    <row r="244" spans="1:11">
      <c r="C244" s="2" t="s">
        <v>4</v>
      </c>
      <c r="D244" s="2" t="s">
        <v>1159</v>
      </c>
      <c r="E244" s="3">
        <v>225</v>
      </c>
      <c r="F244" s="3">
        <v>150</v>
      </c>
      <c r="G244" s="4">
        <v>44694</v>
      </c>
    </row>
    <row r="245" spans="1:11">
      <c r="C245" s="2" t="s">
        <v>18</v>
      </c>
      <c r="D245" s="2" t="s">
        <v>889</v>
      </c>
      <c r="E245" s="3">
        <v>85</v>
      </c>
      <c r="F245" s="3">
        <v>6</v>
      </c>
      <c r="G245" s="4">
        <v>44417</v>
      </c>
    </row>
    <row r="246" spans="1:11">
      <c r="C246" s="2" t="s">
        <v>7</v>
      </c>
      <c r="D246" s="2" t="s">
        <v>889</v>
      </c>
      <c r="E246" s="3">
        <v>35</v>
      </c>
      <c r="F246" s="3">
        <f>25/6</f>
        <v>4.166666666666667</v>
      </c>
      <c r="G246" s="4">
        <v>44293</v>
      </c>
    </row>
    <row r="247" spans="1:11">
      <c r="C247" s="2" t="s">
        <v>5</v>
      </c>
      <c r="D247" s="2" t="s">
        <v>889</v>
      </c>
      <c r="E247" s="3">
        <v>12</v>
      </c>
      <c r="F247" s="3">
        <v>6</v>
      </c>
      <c r="G247" s="4">
        <v>44026</v>
      </c>
    </row>
    <row r="248" spans="1:11">
      <c r="C248" s="2" t="s">
        <v>4</v>
      </c>
      <c r="D248" s="2" t="s">
        <v>889</v>
      </c>
      <c r="E248" s="3">
        <v>3.3</v>
      </c>
      <c r="F248" s="3">
        <v>1</v>
      </c>
      <c r="G248" s="4">
        <v>44026</v>
      </c>
    </row>
    <row r="249" spans="1:11">
      <c r="C249" s="2" t="s">
        <v>7</v>
      </c>
      <c r="D249" s="2" t="s">
        <v>1027</v>
      </c>
      <c r="E249" s="3">
        <v>43</v>
      </c>
      <c r="F249" s="3">
        <v>6</v>
      </c>
      <c r="G249" s="4">
        <v>44978</v>
      </c>
    </row>
    <row r="250" spans="1:11">
      <c r="C250" s="2" t="s">
        <v>5</v>
      </c>
      <c r="D250" s="2" t="s">
        <v>1027</v>
      </c>
      <c r="E250" s="3">
        <v>26</v>
      </c>
      <c r="F250" s="3">
        <f>13/2</f>
        <v>6.5</v>
      </c>
      <c r="G250" s="4">
        <v>44453</v>
      </c>
    </row>
    <row r="251" spans="1:11">
      <c r="C251" s="2" t="s">
        <v>4</v>
      </c>
      <c r="D251" s="2" t="s">
        <v>1027</v>
      </c>
      <c r="E251" s="3">
        <v>6.3</v>
      </c>
      <c r="F251" s="3">
        <v>3</v>
      </c>
      <c r="G251" s="4">
        <v>44217</v>
      </c>
    </row>
    <row r="252" spans="1:11">
      <c r="C252" s="2" t="s">
        <v>4</v>
      </c>
      <c r="D252" s="2" t="s">
        <v>701</v>
      </c>
      <c r="E252" s="3">
        <v>30</v>
      </c>
      <c r="F252" s="3">
        <v>5</v>
      </c>
      <c r="G252" s="4">
        <v>44742</v>
      </c>
    </row>
    <row r="253" spans="1:11">
      <c r="C253" s="2" t="s">
        <v>7</v>
      </c>
      <c r="D253" s="2" t="s">
        <v>872</v>
      </c>
      <c r="E253" s="3">
        <v>25</v>
      </c>
      <c r="F253" s="3">
        <v>3</v>
      </c>
      <c r="G253" s="4">
        <v>44636</v>
      </c>
    </row>
    <row r="254" spans="1:11">
      <c r="C254" s="2" t="s">
        <v>5</v>
      </c>
      <c r="D254" s="2" t="s">
        <v>872</v>
      </c>
      <c r="E254" s="3">
        <v>12.2</v>
      </c>
      <c r="F254" s="3">
        <v>2</v>
      </c>
      <c r="G254" s="4">
        <v>44179</v>
      </c>
    </row>
    <row r="255" spans="1:11">
      <c r="C255" s="2" t="s">
        <v>4</v>
      </c>
      <c r="D255" s="2" t="s">
        <v>872</v>
      </c>
      <c r="E255" s="3">
        <v>5.0999999999999996</v>
      </c>
      <c r="F255" s="3">
        <v>3</v>
      </c>
      <c r="G255" s="4">
        <v>44046</v>
      </c>
    </row>
    <row r="256" spans="1:11">
      <c r="C256" s="2" t="s">
        <v>5</v>
      </c>
      <c r="D256" s="2" t="s">
        <v>901</v>
      </c>
      <c r="E256" s="3">
        <v>20</v>
      </c>
      <c r="F256" s="3">
        <v>7.5</v>
      </c>
      <c r="G256" s="4">
        <v>45009</v>
      </c>
    </row>
    <row r="257" spans="1:11">
      <c r="C257" s="2" t="s">
        <v>5</v>
      </c>
      <c r="D257" s="2" t="s">
        <v>700</v>
      </c>
      <c r="E257" s="3">
        <v>29</v>
      </c>
      <c r="F257" s="3">
        <v>10</v>
      </c>
      <c r="G257" s="4">
        <v>44691</v>
      </c>
    </row>
    <row r="258" spans="1:11">
      <c r="C258" s="2" t="s">
        <v>4</v>
      </c>
      <c r="D258" s="2" t="s">
        <v>660</v>
      </c>
      <c r="E258" s="3">
        <v>8</v>
      </c>
      <c r="F258" s="3">
        <v>3</v>
      </c>
      <c r="G258" s="4">
        <v>44677</v>
      </c>
    </row>
    <row r="259" spans="1:11">
      <c r="C259" s="2" t="s">
        <v>4</v>
      </c>
      <c r="D259" s="2" t="s">
        <v>1072</v>
      </c>
      <c r="E259" s="3">
        <v>4.3</v>
      </c>
      <c r="F259" s="3">
        <f>E259/3</f>
        <v>1.4333333333333333</v>
      </c>
      <c r="G259" s="4">
        <v>42821</v>
      </c>
    </row>
    <row r="260" spans="1:11">
      <c r="C260" s="2" t="s">
        <v>18</v>
      </c>
      <c r="D260" s="2" t="s">
        <v>260</v>
      </c>
      <c r="E260" s="3">
        <v>500</v>
      </c>
      <c r="F260" s="3">
        <v>75</v>
      </c>
      <c r="G260" s="4">
        <v>44144</v>
      </c>
    </row>
    <row r="261" spans="1:11">
      <c r="C261" s="2" t="s">
        <v>5</v>
      </c>
      <c r="D261" s="2" t="s">
        <v>260</v>
      </c>
      <c r="E261" s="3">
        <v>92</v>
      </c>
      <c r="F261" s="3">
        <f>E261/2</f>
        <v>46</v>
      </c>
      <c r="G261" s="4">
        <v>43130</v>
      </c>
    </row>
    <row r="263" spans="1:11">
      <c r="A263" s="1">
        <v>14</v>
      </c>
      <c r="B263" s="12" t="s">
        <v>1158</v>
      </c>
      <c r="C263" s="13" t="s">
        <v>984</v>
      </c>
      <c r="D263" s="13" t="s">
        <v>983</v>
      </c>
      <c r="F263" s="15">
        <f>+F264+F265</f>
        <v>381.81818181818181</v>
      </c>
      <c r="G263" s="14">
        <f>+G264</f>
        <v>44363</v>
      </c>
      <c r="I263" s="2" t="s">
        <v>1</v>
      </c>
      <c r="J263" s="2" t="s">
        <v>1</v>
      </c>
      <c r="K263" s="2" t="s">
        <v>1</v>
      </c>
    </row>
    <row r="264" spans="1:11">
      <c r="C264" s="2" t="s">
        <v>7</v>
      </c>
      <c r="D264" s="2" t="s">
        <v>1150</v>
      </c>
      <c r="E264" s="3">
        <v>2500</v>
      </c>
      <c r="F264" s="3">
        <f>2000/11</f>
        <v>181.81818181818181</v>
      </c>
      <c r="G264" s="4">
        <v>44363</v>
      </c>
    </row>
    <row r="265" spans="1:11">
      <c r="C265" s="2" t="s">
        <v>5</v>
      </c>
      <c r="D265" s="2" t="s">
        <v>1150</v>
      </c>
      <c r="E265" s="3">
        <v>3000</v>
      </c>
      <c r="F265" s="3">
        <f>800/4</f>
        <v>200</v>
      </c>
      <c r="G265" s="4">
        <v>43892</v>
      </c>
    </row>
    <row r="266" spans="1:11">
      <c r="G266" s="4"/>
    </row>
    <row r="267" spans="1:11">
      <c r="A267" s="1">
        <v>15</v>
      </c>
      <c r="B267" s="12" t="s">
        <v>1157</v>
      </c>
      <c r="C267" s="13" t="s">
        <v>984</v>
      </c>
      <c r="D267" s="13" t="s">
        <v>983</v>
      </c>
      <c r="F267" s="15">
        <f>+F268+F269</f>
        <v>381.81818181818181</v>
      </c>
      <c r="G267" s="14">
        <f>+G268</f>
        <v>44363</v>
      </c>
      <c r="I267" s="2" t="s">
        <v>1</v>
      </c>
      <c r="J267" s="2" t="s">
        <v>1</v>
      </c>
      <c r="K267" s="2" t="s">
        <v>1</v>
      </c>
    </row>
    <row r="268" spans="1:11">
      <c r="C268" s="2" t="s">
        <v>7</v>
      </c>
      <c r="D268" s="2" t="s">
        <v>1150</v>
      </c>
      <c r="E268" s="3">
        <v>2500</v>
      </c>
      <c r="F268" s="3">
        <f>2000/11</f>
        <v>181.81818181818181</v>
      </c>
      <c r="G268" s="4">
        <v>44363</v>
      </c>
    </row>
    <row r="269" spans="1:11">
      <c r="C269" s="2" t="s">
        <v>5</v>
      </c>
      <c r="D269" s="2" t="s">
        <v>1150</v>
      </c>
      <c r="E269" s="3">
        <v>3000</v>
      </c>
      <c r="F269" s="3">
        <f>800/4</f>
        <v>200</v>
      </c>
      <c r="G269" s="4">
        <v>43892</v>
      </c>
    </row>
    <row r="270" spans="1:11">
      <c r="G270" s="4"/>
    </row>
    <row r="271" spans="1:11">
      <c r="A271" s="1">
        <v>16</v>
      </c>
      <c r="B271" s="12" t="s">
        <v>1156</v>
      </c>
      <c r="C271" s="13" t="s">
        <v>984</v>
      </c>
      <c r="D271" s="13" t="s">
        <v>983</v>
      </c>
      <c r="E271" s="15"/>
      <c r="F271" s="15">
        <f>SUM(F272:F290)</f>
        <v>435.45833333333331</v>
      </c>
      <c r="G271" s="14">
        <f>G275</f>
        <v>45062</v>
      </c>
      <c r="I271" s="1">
        <v>8600</v>
      </c>
      <c r="J271" s="21">
        <f>+F271/I271</f>
        <v>5.0634689922480616E-2</v>
      </c>
      <c r="K271" s="1">
        <v>2000</v>
      </c>
    </row>
    <row r="272" spans="1:11">
      <c r="C272" s="2" t="s">
        <v>7</v>
      </c>
      <c r="D272" s="2" t="s">
        <v>964</v>
      </c>
      <c r="E272" s="3">
        <v>350</v>
      </c>
      <c r="F272" s="3">
        <v>75</v>
      </c>
      <c r="G272" s="4">
        <v>44999</v>
      </c>
    </row>
    <row r="273" spans="3:10">
      <c r="C273" s="2" t="s">
        <v>18</v>
      </c>
      <c r="D273" s="2" t="s">
        <v>1059</v>
      </c>
      <c r="E273" s="3">
        <v>100</v>
      </c>
      <c r="F273" s="3">
        <v>15</v>
      </c>
      <c r="G273" s="4">
        <v>44699</v>
      </c>
    </row>
    <row r="274" spans="3:10">
      <c r="C274" s="2" t="s">
        <v>7</v>
      </c>
      <c r="D274" s="2" t="s">
        <v>1059</v>
      </c>
      <c r="E274" s="3">
        <v>40</v>
      </c>
      <c r="F274" s="3">
        <v>15</v>
      </c>
      <c r="G274" s="4">
        <v>44286</v>
      </c>
    </row>
    <row r="275" spans="3:10">
      <c r="C275" s="2" t="s">
        <v>4</v>
      </c>
      <c r="D275" s="2" t="s">
        <v>1155</v>
      </c>
      <c r="E275" s="3">
        <v>50</v>
      </c>
      <c r="F275" s="3">
        <v>25</v>
      </c>
      <c r="G275" s="4">
        <v>45062</v>
      </c>
    </row>
    <row r="276" spans="3:10">
      <c r="C276" s="2" t="s">
        <v>5</v>
      </c>
      <c r="D276" s="2" t="s">
        <v>388</v>
      </c>
      <c r="E276" s="3">
        <v>86</v>
      </c>
      <c r="F276" s="3">
        <v>36</v>
      </c>
      <c r="G276" s="4">
        <v>44488</v>
      </c>
    </row>
    <row r="277" spans="3:10">
      <c r="C277" s="2" t="s">
        <v>7</v>
      </c>
      <c r="D277" s="2" t="s">
        <v>367</v>
      </c>
      <c r="E277" s="3">
        <v>27.5</v>
      </c>
      <c r="F277" s="3">
        <f>E277/4</f>
        <v>6.875</v>
      </c>
      <c r="G277" s="4">
        <v>44181</v>
      </c>
    </row>
    <row r="278" spans="3:10">
      <c r="C278" s="2" t="s">
        <v>5</v>
      </c>
      <c r="D278" s="2" t="s">
        <v>367</v>
      </c>
      <c r="E278" s="3">
        <v>10.7</v>
      </c>
      <c r="F278" s="3">
        <v>4</v>
      </c>
      <c r="G278" s="4">
        <v>43250</v>
      </c>
    </row>
    <row r="279" spans="3:10">
      <c r="C279" s="2" t="s">
        <v>55</v>
      </c>
      <c r="D279" s="2" t="s">
        <v>49</v>
      </c>
      <c r="E279" s="3">
        <v>100</v>
      </c>
      <c r="F279" s="3">
        <v>11</v>
      </c>
      <c r="G279" s="4">
        <v>44515</v>
      </c>
      <c r="I279" s="1">
        <v>4100</v>
      </c>
      <c r="J279" s="1">
        <v>4100</v>
      </c>
    </row>
    <row r="280" spans="3:10">
      <c r="C280" s="2" t="s">
        <v>8</v>
      </c>
      <c r="D280" s="2" t="s">
        <v>49</v>
      </c>
      <c r="E280" s="3">
        <v>145</v>
      </c>
      <c r="F280" s="3">
        <v>14.166666666666666</v>
      </c>
      <c r="G280" s="4">
        <v>43228</v>
      </c>
      <c r="I280" s="1">
        <v>855</v>
      </c>
      <c r="J280" s="1">
        <v>4100</v>
      </c>
    </row>
    <row r="281" spans="3:10">
      <c r="C281" s="2" t="s">
        <v>18</v>
      </c>
      <c r="D281" s="2" t="s">
        <v>49</v>
      </c>
      <c r="E281" s="3">
        <v>50</v>
      </c>
      <c r="F281" s="3">
        <v>15</v>
      </c>
      <c r="G281" s="4">
        <v>42509</v>
      </c>
      <c r="J281" s="1">
        <v>4100</v>
      </c>
    </row>
    <row r="282" spans="3:10">
      <c r="C282" s="2" t="s">
        <v>8</v>
      </c>
      <c r="D282" s="2" t="s">
        <v>15</v>
      </c>
      <c r="E282" s="3">
        <v>220</v>
      </c>
      <c r="F282" s="3">
        <v>30</v>
      </c>
      <c r="G282" s="4">
        <v>44502</v>
      </c>
      <c r="I282" s="1">
        <v>794</v>
      </c>
      <c r="J282" s="1">
        <v>794</v>
      </c>
    </row>
    <row r="283" spans="3:10">
      <c r="C283" s="2" t="s">
        <v>8</v>
      </c>
      <c r="D283" s="2" t="s">
        <v>15</v>
      </c>
      <c r="E283" s="3">
        <v>220</v>
      </c>
      <c r="F283" s="3">
        <v>26.666666666666668</v>
      </c>
      <c r="G283" s="4">
        <v>44322</v>
      </c>
      <c r="I283" s="1">
        <v>780</v>
      </c>
      <c r="J283" s="1">
        <v>780</v>
      </c>
    </row>
    <row r="284" spans="3:10">
      <c r="C284" s="2" t="s">
        <v>18</v>
      </c>
      <c r="D284" s="2" t="s">
        <v>15</v>
      </c>
      <c r="E284" s="3">
        <v>60</v>
      </c>
      <c r="F284" s="3">
        <v>10</v>
      </c>
      <c r="G284" s="4">
        <v>43528</v>
      </c>
    </row>
    <row r="285" spans="3:10">
      <c r="C285" s="2" t="s">
        <v>7</v>
      </c>
      <c r="D285" s="2" t="s">
        <v>15</v>
      </c>
      <c r="E285" s="3">
        <v>28</v>
      </c>
      <c r="F285" s="3">
        <v>10</v>
      </c>
      <c r="G285" s="4">
        <v>43031</v>
      </c>
    </row>
    <row r="286" spans="3:10">
      <c r="C286" s="2" t="s">
        <v>9</v>
      </c>
      <c r="D286" s="2" t="s">
        <v>54</v>
      </c>
      <c r="E286" s="3">
        <v>220</v>
      </c>
      <c r="F286" s="3">
        <v>28</v>
      </c>
      <c r="G286" s="4">
        <v>44357</v>
      </c>
      <c r="I286" s="1">
        <v>1900</v>
      </c>
      <c r="J286" s="1">
        <v>1900</v>
      </c>
    </row>
    <row r="287" spans="3:10">
      <c r="C287" s="2" t="s">
        <v>8</v>
      </c>
      <c r="D287" s="2" t="s">
        <v>54</v>
      </c>
      <c r="E287" s="3">
        <v>125</v>
      </c>
      <c r="F287" s="3">
        <v>50</v>
      </c>
      <c r="G287" s="4">
        <v>44131</v>
      </c>
      <c r="I287" s="1">
        <v>875</v>
      </c>
      <c r="J287" s="1">
        <v>1900</v>
      </c>
    </row>
    <row r="288" spans="3:10">
      <c r="C288" s="86" t="s">
        <v>8</v>
      </c>
      <c r="D288" s="86" t="s">
        <v>2155</v>
      </c>
      <c r="E288" s="3">
        <v>175</v>
      </c>
      <c r="F288" s="3">
        <f>75/4</f>
        <v>18.75</v>
      </c>
      <c r="G288" s="4">
        <v>44511</v>
      </c>
      <c r="I288" s="1">
        <v>3400</v>
      </c>
      <c r="J288" s="1">
        <v>3400</v>
      </c>
    </row>
    <row r="289" spans="1:11">
      <c r="C289" s="86" t="s">
        <v>18</v>
      </c>
      <c r="D289" s="86" t="s">
        <v>2155</v>
      </c>
      <c r="E289" s="3">
        <v>125</v>
      </c>
      <c r="F289" s="3">
        <v>35</v>
      </c>
      <c r="G289" s="88">
        <v>44126</v>
      </c>
      <c r="I289" s="1">
        <v>1100</v>
      </c>
      <c r="J289" s="1">
        <v>3400</v>
      </c>
    </row>
    <row r="290" spans="1:11">
      <c r="C290" s="86" t="s">
        <v>7</v>
      </c>
      <c r="D290" s="86" t="s">
        <v>2155</v>
      </c>
      <c r="E290" s="3">
        <v>40</v>
      </c>
      <c r="F290" s="3">
        <v>10</v>
      </c>
      <c r="G290" s="88">
        <v>43720</v>
      </c>
      <c r="J290" s="1">
        <v>3400</v>
      </c>
    </row>
    <row r="291" spans="1:11">
      <c r="G291" s="4"/>
    </row>
    <row r="292" spans="1:11">
      <c r="A292" s="1">
        <v>17</v>
      </c>
      <c r="B292" s="12" t="s">
        <v>1154</v>
      </c>
      <c r="C292" s="13" t="s">
        <v>984</v>
      </c>
      <c r="D292" s="13" t="s">
        <v>983</v>
      </c>
      <c r="E292" s="15"/>
      <c r="F292" s="15">
        <f>SUM(F293:F319)</f>
        <v>457.16666666666669</v>
      </c>
      <c r="G292" s="14">
        <f>G310</f>
        <v>45041</v>
      </c>
      <c r="I292" s="1">
        <v>70000</v>
      </c>
      <c r="J292" s="20">
        <f>+F292/I292</f>
        <v>6.5309523809523812E-3</v>
      </c>
      <c r="K292" s="1">
        <v>1999</v>
      </c>
    </row>
    <row r="293" spans="1:11">
      <c r="C293" s="2" t="s">
        <v>9</v>
      </c>
      <c r="D293" s="2" t="s">
        <v>815</v>
      </c>
      <c r="E293" s="3">
        <v>325</v>
      </c>
      <c r="F293" s="3">
        <v>18.5</v>
      </c>
      <c r="G293" s="4">
        <v>44299</v>
      </c>
    </row>
    <row r="294" spans="1:11">
      <c r="C294" s="2" t="s">
        <v>18</v>
      </c>
      <c r="D294" s="2" t="s">
        <v>815</v>
      </c>
      <c r="E294" s="3">
        <v>100</v>
      </c>
      <c r="F294" s="3">
        <f>65/5</f>
        <v>13</v>
      </c>
      <c r="G294" s="4">
        <v>43682</v>
      </c>
    </row>
    <row r="295" spans="1:11">
      <c r="C295" s="2" t="s">
        <v>4</v>
      </c>
      <c r="D295" s="2" t="s">
        <v>950</v>
      </c>
      <c r="E295" s="3">
        <v>100</v>
      </c>
      <c r="F295" s="3">
        <v>25</v>
      </c>
      <c r="G295" s="4">
        <v>44846</v>
      </c>
      <c r="I295" s="1" t="s">
        <v>4469</v>
      </c>
    </row>
    <row r="296" spans="1:11">
      <c r="C296" s="2" t="s">
        <v>18</v>
      </c>
      <c r="D296" s="2" t="s">
        <v>939</v>
      </c>
      <c r="E296" s="3">
        <v>100</v>
      </c>
      <c r="F296" s="3">
        <v>9</v>
      </c>
      <c r="G296" s="4">
        <v>44690</v>
      </c>
      <c r="I296" s="1" t="s">
        <v>4470</v>
      </c>
      <c r="J296" s="1" t="s">
        <v>4471</v>
      </c>
    </row>
    <row r="297" spans="1:11">
      <c r="C297" s="2" t="s">
        <v>5</v>
      </c>
      <c r="D297" s="2" t="s">
        <v>775</v>
      </c>
      <c r="E297" s="3">
        <v>125</v>
      </c>
      <c r="F297" s="3">
        <v>15</v>
      </c>
      <c r="G297" s="4">
        <v>44852</v>
      </c>
    </row>
    <row r="298" spans="1:11">
      <c r="C298" s="2" t="s">
        <v>18</v>
      </c>
      <c r="D298" s="2" t="s">
        <v>977</v>
      </c>
      <c r="E298" s="3">
        <v>135</v>
      </c>
      <c r="F298" s="3">
        <v>25</v>
      </c>
      <c r="G298" s="4">
        <v>44500</v>
      </c>
    </row>
    <row r="299" spans="1:11">
      <c r="C299" s="2" t="s">
        <v>7</v>
      </c>
      <c r="D299" s="2" t="s">
        <v>977</v>
      </c>
      <c r="E299" s="3">
        <v>45</v>
      </c>
      <c r="F299" s="3">
        <v>10</v>
      </c>
      <c r="G299" s="4">
        <v>44228</v>
      </c>
    </row>
    <row r="300" spans="1:11">
      <c r="C300" s="2" t="s">
        <v>18</v>
      </c>
      <c r="D300" s="2" t="s">
        <v>972</v>
      </c>
      <c r="E300" s="3">
        <v>50</v>
      </c>
      <c r="F300" s="3">
        <v>6</v>
      </c>
      <c r="G300" s="4">
        <v>44900</v>
      </c>
    </row>
    <row r="301" spans="1:11">
      <c r="C301" s="2" t="s">
        <v>7</v>
      </c>
      <c r="D301" s="2" t="s">
        <v>972</v>
      </c>
      <c r="E301" s="3">
        <v>35</v>
      </c>
      <c r="F301" s="3">
        <v>20</v>
      </c>
      <c r="G301" s="4">
        <v>44543</v>
      </c>
    </row>
    <row r="302" spans="1:11">
      <c r="C302" s="2" t="s">
        <v>18</v>
      </c>
      <c r="D302" s="2" t="s">
        <v>810</v>
      </c>
      <c r="E302" s="3">
        <v>50</v>
      </c>
      <c r="F302" s="3">
        <v>8</v>
      </c>
      <c r="G302" s="4">
        <v>44496</v>
      </c>
    </row>
    <row r="303" spans="1:11">
      <c r="C303" s="2" t="s">
        <v>7</v>
      </c>
      <c r="D303" s="2" t="s">
        <v>810</v>
      </c>
      <c r="E303" s="3">
        <v>22</v>
      </c>
      <c r="F303" s="3">
        <v>12</v>
      </c>
      <c r="G303" s="4">
        <v>44153</v>
      </c>
    </row>
    <row r="304" spans="1:11">
      <c r="C304" s="2" t="s">
        <v>7</v>
      </c>
      <c r="D304" s="2" t="s">
        <v>876</v>
      </c>
      <c r="E304" s="3">
        <v>50</v>
      </c>
      <c r="F304" s="3">
        <v>7</v>
      </c>
      <c r="G304" s="4">
        <v>44628</v>
      </c>
    </row>
    <row r="305" spans="3:10">
      <c r="C305" s="2" t="s">
        <v>7</v>
      </c>
      <c r="D305" s="2" t="s">
        <v>1027</v>
      </c>
      <c r="E305" s="3">
        <v>43</v>
      </c>
      <c r="F305" s="3">
        <v>6</v>
      </c>
      <c r="G305" s="4">
        <v>44978</v>
      </c>
    </row>
    <row r="306" spans="3:10">
      <c r="C306" s="2" t="s">
        <v>5</v>
      </c>
      <c r="D306" s="2" t="s">
        <v>1027</v>
      </c>
      <c r="E306" s="3">
        <v>26</v>
      </c>
      <c r="F306" s="3">
        <v>13</v>
      </c>
      <c r="G306" s="4">
        <v>44453</v>
      </c>
    </row>
    <row r="307" spans="3:10">
      <c r="C307" s="2" t="s">
        <v>7</v>
      </c>
      <c r="D307" s="2" t="s">
        <v>907</v>
      </c>
      <c r="E307" s="3">
        <v>40</v>
      </c>
      <c r="F307" s="3">
        <v>20</v>
      </c>
      <c r="G307" s="4">
        <v>44728</v>
      </c>
    </row>
    <row r="308" spans="3:10">
      <c r="C308" s="2" t="s">
        <v>7</v>
      </c>
      <c r="D308" s="2" t="s">
        <v>883</v>
      </c>
      <c r="E308" s="3">
        <v>30</v>
      </c>
      <c r="F308" s="3">
        <f>20/3</f>
        <v>6.666666666666667</v>
      </c>
      <c r="G308" s="4">
        <v>44510</v>
      </c>
    </row>
    <row r="309" spans="3:10">
      <c r="C309" s="2" t="s">
        <v>5</v>
      </c>
      <c r="D309" s="2" t="s">
        <v>883</v>
      </c>
      <c r="E309" s="3">
        <v>21.4</v>
      </c>
      <c r="F309" s="3">
        <v>5</v>
      </c>
      <c r="G309" s="4">
        <v>44232</v>
      </c>
    </row>
    <row r="310" spans="3:10">
      <c r="C310" s="2" t="s">
        <v>7</v>
      </c>
      <c r="D310" s="2" t="s">
        <v>920</v>
      </c>
      <c r="E310" s="3">
        <v>97.4</v>
      </c>
      <c r="F310" s="3">
        <f>47/6</f>
        <v>7.833333333333333</v>
      </c>
      <c r="G310" s="4">
        <v>45041</v>
      </c>
    </row>
    <row r="311" spans="3:10">
      <c r="C311" s="2" t="s">
        <v>7</v>
      </c>
      <c r="D311" s="2" t="s">
        <v>920</v>
      </c>
      <c r="E311" s="3">
        <v>80</v>
      </c>
      <c r="F311" s="3">
        <v>40</v>
      </c>
      <c r="G311" s="4">
        <v>44539</v>
      </c>
    </row>
    <row r="312" spans="3:10">
      <c r="C312" s="2" t="s">
        <v>7</v>
      </c>
      <c r="D312" s="2" t="s">
        <v>293</v>
      </c>
      <c r="E312" s="3">
        <v>35</v>
      </c>
      <c r="F312" s="3">
        <v>5</v>
      </c>
      <c r="G312" s="4">
        <v>44309</v>
      </c>
    </row>
    <row r="313" spans="3:10">
      <c r="C313" s="2" t="s">
        <v>8</v>
      </c>
      <c r="D313" s="2" t="s">
        <v>247</v>
      </c>
      <c r="E313" s="3">
        <v>81</v>
      </c>
      <c r="F313" s="3">
        <f>E313/6</f>
        <v>13.5</v>
      </c>
      <c r="G313" s="4">
        <v>43418</v>
      </c>
      <c r="I313" s="1">
        <v>1700</v>
      </c>
      <c r="J313" s="1">
        <v>3800</v>
      </c>
    </row>
    <row r="314" spans="3:10">
      <c r="C314" s="2" t="s">
        <v>9</v>
      </c>
      <c r="D314" s="2" t="s">
        <v>57</v>
      </c>
      <c r="E314" s="3">
        <v>250</v>
      </c>
      <c r="F314" s="3">
        <v>30</v>
      </c>
      <c r="G314" s="4">
        <v>44350</v>
      </c>
      <c r="I314" s="1">
        <v>7000</v>
      </c>
      <c r="J314" s="1">
        <v>7000</v>
      </c>
    </row>
    <row r="315" spans="3:10">
      <c r="C315" s="2" t="s">
        <v>8</v>
      </c>
      <c r="D315" s="2" t="s">
        <v>57</v>
      </c>
      <c r="E315" s="3">
        <v>200</v>
      </c>
      <c r="F315" s="3">
        <v>50</v>
      </c>
      <c r="G315" s="4">
        <v>44055</v>
      </c>
      <c r="I315" s="1">
        <v>2000</v>
      </c>
      <c r="J315" s="1">
        <v>7000</v>
      </c>
    </row>
    <row r="316" spans="3:10">
      <c r="C316" s="86" t="s">
        <v>8</v>
      </c>
      <c r="D316" s="86" t="s">
        <v>2155</v>
      </c>
      <c r="E316" s="3">
        <v>175</v>
      </c>
      <c r="F316" s="3">
        <v>50</v>
      </c>
      <c r="G316" s="4">
        <v>44511</v>
      </c>
      <c r="I316" s="1">
        <v>3400</v>
      </c>
      <c r="J316" s="1">
        <v>3400</v>
      </c>
    </row>
    <row r="317" spans="3:10">
      <c r="C317" s="96" t="s">
        <v>55</v>
      </c>
      <c r="D317" s="96" t="s">
        <v>5209</v>
      </c>
      <c r="E317" s="3">
        <v>100</v>
      </c>
      <c r="F317" s="3">
        <f>70/5</f>
        <v>14</v>
      </c>
      <c r="G317" s="4">
        <v>44474</v>
      </c>
    </row>
    <row r="318" spans="3:10">
      <c r="C318" s="96" t="s">
        <v>9</v>
      </c>
      <c r="D318" s="96" t="s">
        <v>5209</v>
      </c>
      <c r="E318" s="3">
        <v>43</v>
      </c>
      <c r="F318" s="3">
        <f>23/3</f>
        <v>7.666666666666667</v>
      </c>
      <c r="G318" s="4">
        <v>43992</v>
      </c>
    </row>
    <row r="319" spans="3:10">
      <c r="C319" s="96" t="s">
        <v>8</v>
      </c>
      <c r="D319" s="96" t="s">
        <v>5209</v>
      </c>
      <c r="E319" s="3">
        <v>40</v>
      </c>
      <c r="F319" s="3">
        <v>20</v>
      </c>
      <c r="G319" s="4">
        <v>43320</v>
      </c>
      <c r="I319" s="1">
        <v>210</v>
      </c>
      <c r="J319" s="1">
        <v>210</v>
      </c>
    </row>
    <row r="320" spans="3:10">
      <c r="C320" s="96" t="s">
        <v>18</v>
      </c>
      <c r="D320" s="96" t="s">
        <v>5209</v>
      </c>
      <c r="E320" s="3">
        <v>27</v>
      </c>
      <c r="F320" s="3">
        <v>10</v>
      </c>
      <c r="G320" s="4">
        <v>42851</v>
      </c>
      <c r="J320" s="1">
        <v>210</v>
      </c>
    </row>
    <row r="321" spans="1:11">
      <c r="G321" s="4"/>
      <c r="I321" s="12"/>
      <c r="J321" s="12"/>
      <c r="K321" s="12"/>
    </row>
    <row r="322" spans="1:11">
      <c r="A322" s="1">
        <v>18</v>
      </c>
      <c r="B322" s="12" t="s">
        <v>1153</v>
      </c>
      <c r="C322" s="13" t="s">
        <v>984</v>
      </c>
      <c r="D322" s="13" t="s">
        <v>983</v>
      </c>
      <c r="E322" s="15"/>
      <c r="F322" s="15">
        <f>SUM(F323:F357)</f>
        <v>393.75108225108227</v>
      </c>
      <c r="G322" s="14">
        <f>G341</f>
        <v>45104</v>
      </c>
      <c r="I322" s="12">
        <v>85000</v>
      </c>
      <c r="J322" s="22">
        <f>+F322/I322</f>
        <v>4.6323656735421442E-3</v>
      </c>
      <c r="K322" s="12">
        <v>1972</v>
      </c>
    </row>
    <row r="323" spans="1:11">
      <c r="C323" s="2" t="s">
        <v>18</v>
      </c>
      <c r="D323" s="2" t="s">
        <v>939</v>
      </c>
      <c r="E323" s="3">
        <v>100</v>
      </c>
      <c r="F323" s="3">
        <v>9</v>
      </c>
      <c r="G323" s="4">
        <v>44690</v>
      </c>
    </row>
    <row r="324" spans="1:11">
      <c r="C324" s="2" t="s">
        <v>18</v>
      </c>
      <c r="D324" s="2" t="s">
        <v>1059</v>
      </c>
      <c r="E324" s="3">
        <v>100</v>
      </c>
      <c r="F324" s="3">
        <v>40</v>
      </c>
      <c r="G324" s="4">
        <v>44699</v>
      </c>
    </row>
    <row r="325" spans="1:11">
      <c r="C325" s="2" t="s">
        <v>18</v>
      </c>
      <c r="D325" s="2" t="s">
        <v>1021</v>
      </c>
      <c r="E325" s="3">
        <v>100</v>
      </c>
      <c r="F325" s="3">
        <v>10</v>
      </c>
      <c r="G325" s="4">
        <v>44754</v>
      </c>
      <c r="I325" s="1" t="s">
        <v>4440</v>
      </c>
      <c r="J325" s="33" t="s">
        <v>4443</v>
      </c>
    </row>
    <row r="326" spans="1:11">
      <c r="C326" s="2" t="s">
        <v>7</v>
      </c>
      <c r="D326" s="2" t="s">
        <v>1021</v>
      </c>
      <c r="E326" s="3">
        <v>35</v>
      </c>
      <c r="F326" s="3">
        <f>E326/2</f>
        <v>17.5</v>
      </c>
      <c r="G326" s="4">
        <v>44172</v>
      </c>
      <c r="I326" s="1" t="s">
        <v>4441</v>
      </c>
      <c r="J326" s="33" t="s">
        <v>4442</v>
      </c>
    </row>
    <row r="327" spans="1:11">
      <c r="C327" s="2" t="s">
        <v>5</v>
      </c>
      <c r="D327" s="2" t="s">
        <v>1021</v>
      </c>
      <c r="E327" s="3">
        <v>20</v>
      </c>
      <c r="F327" s="3">
        <v>8</v>
      </c>
      <c r="G327" s="4">
        <v>43949</v>
      </c>
      <c r="I327" s="1" t="s">
        <v>4444</v>
      </c>
      <c r="K327" s="1" t="s">
        <v>4445</v>
      </c>
    </row>
    <row r="328" spans="1:11">
      <c r="C328" s="2" t="s">
        <v>4</v>
      </c>
      <c r="D328" s="2" t="s">
        <v>1021</v>
      </c>
      <c r="E328" s="3">
        <v>5</v>
      </c>
      <c r="F328" s="3">
        <v>1</v>
      </c>
      <c r="G328" s="4">
        <v>43438</v>
      </c>
    </row>
    <row r="329" spans="1:11">
      <c r="C329" s="2" t="s">
        <v>4</v>
      </c>
      <c r="D329" s="2" t="s">
        <v>712</v>
      </c>
      <c r="E329" s="3">
        <v>7.2</v>
      </c>
      <c r="F329" s="3">
        <v>1</v>
      </c>
      <c r="G329" s="4">
        <v>44508</v>
      </c>
    </row>
    <row r="330" spans="1:11">
      <c r="C330" s="2" t="s">
        <v>5</v>
      </c>
      <c r="D330" s="2" t="s">
        <v>695</v>
      </c>
      <c r="E330" s="3">
        <v>21</v>
      </c>
      <c r="F330" s="3">
        <v>10</v>
      </c>
      <c r="G330" s="4">
        <v>45027</v>
      </c>
    </row>
    <row r="331" spans="1:11">
      <c r="C331" s="2" t="s">
        <v>7</v>
      </c>
      <c r="D331" s="2" t="s">
        <v>1024</v>
      </c>
      <c r="E331" s="3">
        <v>30</v>
      </c>
      <c r="F331" s="3">
        <v>6</v>
      </c>
      <c r="G331" s="4">
        <v>44539</v>
      </c>
    </row>
    <row r="332" spans="1:11">
      <c r="C332" s="2" t="s">
        <v>5</v>
      </c>
      <c r="D332" s="2" t="s">
        <v>1024</v>
      </c>
      <c r="E332" s="3">
        <v>11</v>
      </c>
      <c r="F332" s="3">
        <v>6</v>
      </c>
      <c r="G332" s="4">
        <v>43862</v>
      </c>
    </row>
    <row r="333" spans="1:11">
      <c r="C333" s="2" t="s">
        <v>4</v>
      </c>
      <c r="D333" s="2" t="s">
        <v>1024</v>
      </c>
      <c r="E333" s="3">
        <v>3</v>
      </c>
      <c r="F333" s="3">
        <v>1.5</v>
      </c>
      <c r="G333" s="4">
        <v>43525</v>
      </c>
    </row>
    <row r="334" spans="1:11">
      <c r="C334" s="2" t="s">
        <v>5</v>
      </c>
      <c r="D334" s="2" t="s">
        <v>1085</v>
      </c>
      <c r="E334" s="3">
        <v>12.5</v>
      </c>
      <c r="F334" s="3">
        <v>3</v>
      </c>
      <c r="G334" s="4">
        <v>44978</v>
      </c>
    </row>
    <row r="335" spans="1:11">
      <c r="C335" s="2" t="s">
        <v>5</v>
      </c>
      <c r="D335" s="2" t="s">
        <v>1085</v>
      </c>
      <c r="E335" s="3">
        <v>5.3</v>
      </c>
      <c r="F335" s="3">
        <v>2.5</v>
      </c>
      <c r="G335" s="4">
        <v>44978</v>
      </c>
    </row>
    <row r="336" spans="1:11">
      <c r="C336" s="2" t="s">
        <v>4</v>
      </c>
      <c r="D336" s="2" t="s">
        <v>665</v>
      </c>
      <c r="E336" s="3">
        <v>12.8</v>
      </c>
      <c r="F336" s="3">
        <v>2</v>
      </c>
      <c r="G336" s="4">
        <v>44601</v>
      </c>
    </row>
    <row r="337" spans="3:12">
      <c r="C337" s="2" t="s">
        <v>5</v>
      </c>
      <c r="D337" s="2" t="s">
        <v>731</v>
      </c>
      <c r="E337" s="3">
        <v>11</v>
      </c>
      <c r="F337" s="3">
        <f>7/3</f>
        <v>2.3333333333333335</v>
      </c>
      <c r="G337" s="4">
        <v>44483</v>
      </c>
    </row>
    <row r="338" spans="3:12">
      <c r="C338" s="2" t="s">
        <v>4</v>
      </c>
      <c r="D338" s="2" t="s">
        <v>731</v>
      </c>
      <c r="E338" s="3">
        <v>2.9</v>
      </c>
      <c r="F338" s="3">
        <v>0.5</v>
      </c>
      <c r="G338" s="4">
        <v>44272</v>
      </c>
    </row>
    <row r="339" spans="3:12">
      <c r="C339" s="2" t="s">
        <v>7</v>
      </c>
      <c r="D339" s="2" t="s">
        <v>1152</v>
      </c>
      <c r="E339" s="3">
        <v>18</v>
      </c>
      <c r="F339" s="3">
        <v>9</v>
      </c>
      <c r="G339" s="4">
        <v>44831</v>
      </c>
    </row>
    <row r="340" spans="3:12">
      <c r="C340" s="2" t="s">
        <v>5</v>
      </c>
      <c r="D340" s="2" t="s">
        <v>1152</v>
      </c>
      <c r="E340" s="3">
        <v>18.5</v>
      </c>
      <c r="F340" s="3">
        <v>9</v>
      </c>
      <c r="G340" s="4">
        <v>44658</v>
      </c>
    </row>
    <row r="341" spans="3:12">
      <c r="C341" s="2" t="s">
        <v>4</v>
      </c>
      <c r="D341" s="2" t="s">
        <v>478</v>
      </c>
      <c r="E341" s="3">
        <v>6</v>
      </c>
      <c r="F341" s="3">
        <v>2</v>
      </c>
      <c r="G341" s="4">
        <v>45104</v>
      </c>
    </row>
    <row r="342" spans="3:12">
      <c r="C342" s="2" t="s">
        <v>5</v>
      </c>
      <c r="D342" s="2" t="s">
        <v>325</v>
      </c>
      <c r="E342" s="3">
        <v>16</v>
      </c>
      <c r="F342" s="3">
        <v>6</v>
      </c>
      <c r="G342" s="4">
        <v>43783</v>
      </c>
      <c r="L342" s="1">
        <f>+F342*5</f>
        <v>30</v>
      </c>
    </row>
    <row r="343" spans="3:12">
      <c r="C343" s="2" t="s">
        <v>7</v>
      </c>
      <c r="D343" s="2" t="s">
        <v>325</v>
      </c>
      <c r="E343" s="3">
        <v>55</v>
      </c>
      <c r="F343" s="3">
        <v>5</v>
      </c>
      <c r="G343" s="4">
        <v>44200</v>
      </c>
    </row>
    <row r="344" spans="3:12">
      <c r="C344" s="2" t="s">
        <v>18</v>
      </c>
      <c r="D344" s="2" t="s">
        <v>325</v>
      </c>
      <c r="E344" s="3">
        <v>91</v>
      </c>
      <c r="F344" s="3">
        <v>8.75</v>
      </c>
      <c r="G344" s="4">
        <v>44867</v>
      </c>
    </row>
    <row r="345" spans="3:12">
      <c r="C345" s="2" t="s">
        <v>5</v>
      </c>
      <c r="D345" s="2" t="s">
        <v>166</v>
      </c>
      <c r="E345" s="3">
        <v>112</v>
      </c>
      <c r="F345" s="3">
        <v>9</v>
      </c>
      <c r="G345" s="4">
        <v>43115</v>
      </c>
    </row>
    <row r="346" spans="3:12">
      <c r="C346" s="2" t="s">
        <v>18</v>
      </c>
      <c r="D346" s="2" t="s">
        <v>76</v>
      </c>
      <c r="E346" s="3">
        <v>60</v>
      </c>
      <c r="F346" s="3">
        <f>E346/5</f>
        <v>12</v>
      </c>
      <c r="G346" s="4">
        <v>42736</v>
      </c>
      <c r="I346" s="1">
        <v>800</v>
      </c>
      <c r="J346" s="1">
        <v>3800</v>
      </c>
    </row>
    <row r="347" spans="3:12">
      <c r="C347" s="2" t="s">
        <v>9</v>
      </c>
      <c r="D347" s="2" t="s">
        <v>57</v>
      </c>
      <c r="E347" s="3">
        <v>250</v>
      </c>
      <c r="F347" s="3">
        <f>150/5</f>
        <v>30</v>
      </c>
      <c r="G347" s="4">
        <v>44350</v>
      </c>
      <c r="I347" s="1">
        <v>7000</v>
      </c>
      <c r="J347" s="1">
        <v>7000</v>
      </c>
    </row>
    <row r="348" spans="3:12">
      <c r="C348" s="2" t="s">
        <v>8</v>
      </c>
      <c r="D348" s="2" t="s">
        <v>57</v>
      </c>
      <c r="E348" s="3">
        <v>200</v>
      </c>
      <c r="F348" s="3">
        <v>18.75</v>
      </c>
      <c r="G348" s="4">
        <v>44055</v>
      </c>
      <c r="I348" s="1">
        <v>2000</v>
      </c>
      <c r="J348" s="1">
        <v>7000</v>
      </c>
    </row>
    <row r="349" spans="3:12">
      <c r="C349" s="2" t="s">
        <v>18</v>
      </c>
      <c r="D349" s="2" t="s">
        <v>57</v>
      </c>
      <c r="E349" s="3">
        <v>65</v>
      </c>
      <c r="F349" s="3">
        <v>20</v>
      </c>
      <c r="G349" s="4">
        <v>43802</v>
      </c>
      <c r="I349" s="1">
        <v>685</v>
      </c>
      <c r="J349" s="1">
        <v>7000</v>
      </c>
    </row>
    <row r="350" spans="3:12">
      <c r="C350" s="2" t="s">
        <v>9</v>
      </c>
      <c r="D350" s="2" t="s">
        <v>23</v>
      </c>
      <c r="E350" s="3">
        <v>222</v>
      </c>
      <c r="F350" s="3">
        <f>200/21</f>
        <v>9.5238095238095237</v>
      </c>
      <c r="G350" s="4">
        <v>44194</v>
      </c>
      <c r="I350" s="1">
        <v>2500</v>
      </c>
      <c r="J350" s="1">
        <v>0</v>
      </c>
    </row>
    <row r="351" spans="3:12">
      <c r="C351" s="2" t="s">
        <v>8</v>
      </c>
      <c r="D351" s="2" t="s">
        <v>23</v>
      </c>
      <c r="E351" s="3">
        <v>200</v>
      </c>
      <c r="F351" s="3">
        <v>12.727272727272727</v>
      </c>
      <c r="G351" s="4">
        <v>43452</v>
      </c>
      <c r="I351" s="1">
        <v>1500</v>
      </c>
      <c r="J351" s="1">
        <v>0</v>
      </c>
    </row>
    <row r="352" spans="3:12">
      <c r="C352" s="2" t="s">
        <v>18</v>
      </c>
      <c r="D352" s="2" t="s">
        <v>23</v>
      </c>
      <c r="E352" s="3">
        <v>50</v>
      </c>
      <c r="F352" s="3">
        <v>10</v>
      </c>
      <c r="G352" s="4">
        <v>43051</v>
      </c>
      <c r="J352" s="1">
        <v>0</v>
      </c>
    </row>
    <row r="353" spans="1:11">
      <c r="C353" s="2" t="s">
        <v>1</v>
      </c>
      <c r="D353" s="2" t="s">
        <v>0</v>
      </c>
      <c r="E353" s="3">
        <v>300</v>
      </c>
      <c r="F353" s="3">
        <v>50</v>
      </c>
      <c r="G353" s="4">
        <v>45044</v>
      </c>
      <c r="I353" s="1">
        <v>28700</v>
      </c>
      <c r="J353" s="1">
        <v>28700</v>
      </c>
    </row>
    <row r="354" spans="1:11">
      <c r="C354" s="2" t="s">
        <v>8</v>
      </c>
      <c r="D354" s="2" t="s">
        <v>2176</v>
      </c>
      <c r="E354" s="3">
        <v>200</v>
      </c>
      <c r="F354" s="3">
        <v>20</v>
      </c>
      <c r="G354" s="4">
        <v>44237</v>
      </c>
    </row>
    <row r="355" spans="1:11">
      <c r="C355" s="96" t="s">
        <v>55</v>
      </c>
      <c r="D355" s="96" t="s">
        <v>5209</v>
      </c>
      <c r="E355" s="3">
        <v>100</v>
      </c>
      <c r="F355" s="3">
        <f>70/5</f>
        <v>14</v>
      </c>
      <c r="G355" s="4">
        <v>44474</v>
      </c>
    </row>
    <row r="356" spans="1:11">
      <c r="C356" s="96" t="s">
        <v>9</v>
      </c>
      <c r="D356" s="96" t="s">
        <v>5209</v>
      </c>
      <c r="E356" s="3">
        <v>43</v>
      </c>
      <c r="F356" s="3">
        <f>23/3</f>
        <v>7.666666666666667</v>
      </c>
      <c r="G356" s="4">
        <v>43992</v>
      </c>
    </row>
    <row r="357" spans="1:11">
      <c r="C357" s="96" t="s">
        <v>8</v>
      </c>
      <c r="D357" s="96" t="s">
        <v>5209</v>
      </c>
      <c r="E357" s="3">
        <v>40</v>
      </c>
      <c r="F357" s="3">
        <v>20</v>
      </c>
      <c r="G357" s="4">
        <v>43320</v>
      </c>
      <c r="I357" s="1">
        <v>210</v>
      </c>
      <c r="J357" s="1">
        <v>210</v>
      </c>
    </row>
    <row r="358" spans="1:11">
      <c r="C358" s="96" t="s">
        <v>18</v>
      </c>
      <c r="D358" s="96" t="s">
        <v>5209</v>
      </c>
      <c r="E358" s="3">
        <v>27</v>
      </c>
      <c r="F358" s="3">
        <f>17/3</f>
        <v>5.666666666666667</v>
      </c>
      <c r="G358" s="4">
        <v>42851</v>
      </c>
      <c r="J358" s="1">
        <v>210</v>
      </c>
    </row>
    <row r="359" spans="1:11">
      <c r="C359" s="96" t="s">
        <v>7</v>
      </c>
      <c r="D359" s="96" t="s">
        <v>5209</v>
      </c>
      <c r="E359" s="3">
        <v>10.5</v>
      </c>
      <c r="F359" s="3">
        <v>10.5</v>
      </c>
      <c r="G359" s="4">
        <v>42691</v>
      </c>
      <c r="J359" s="1">
        <v>210</v>
      </c>
    </row>
    <row r="360" spans="1:11">
      <c r="G360" s="4"/>
    </row>
    <row r="361" spans="1:11">
      <c r="A361" s="1">
        <v>19</v>
      </c>
      <c r="B361" s="12" t="s">
        <v>1151</v>
      </c>
      <c r="C361" s="13" t="s">
        <v>984</v>
      </c>
      <c r="D361" s="13" t="s">
        <v>983</v>
      </c>
      <c r="E361" s="15"/>
      <c r="F361" s="15">
        <f>SUM(F362:F370)</f>
        <v>324.46897546897549</v>
      </c>
      <c r="G361" s="14">
        <f>+G363</f>
        <v>44893</v>
      </c>
      <c r="I361" s="2" t="s">
        <v>1</v>
      </c>
      <c r="J361" s="2" t="s">
        <v>1</v>
      </c>
      <c r="K361" s="2" t="s">
        <v>1</v>
      </c>
    </row>
    <row r="362" spans="1:11">
      <c r="C362" s="2" t="s">
        <v>7</v>
      </c>
      <c r="D362" s="2" t="s">
        <v>1150</v>
      </c>
      <c r="E362" s="3">
        <v>2500</v>
      </c>
      <c r="F362" s="3">
        <f>2000/11</f>
        <v>181.81818181818181</v>
      </c>
      <c r="G362" s="4">
        <v>44363</v>
      </c>
    </row>
    <row r="363" spans="1:11">
      <c r="C363" s="2" t="s">
        <v>5</v>
      </c>
      <c r="D363" s="2" t="s">
        <v>791</v>
      </c>
      <c r="E363" s="3">
        <v>33</v>
      </c>
      <c r="F363" s="3">
        <v>10</v>
      </c>
      <c r="G363" s="4">
        <v>44893</v>
      </c>
    </row>
    <row r="364" spans="1:11">
      <c r="C364" s="2" t="s">
        <v>7</v>
      </c>
      <c r="D364" s="2" t="s">
        <v>484</v>
      </c>
      <c r="E364" s="3">
        <v>90</v>
      </c>
      <c r="F364" s="3">
        <v>15</v>
      </c>
      <c r="G364" s="4">
        <v>44398</v>
      </c>
    </row>
    <row r="365" spans="1:11">
      <c r="C365" s="2" t="s">
        <v>18</v>
      </c>
      <c r="D365" s="2" t="s">
        <v>432</v>
      </c>
      <c r="E365" s="3">
        <v>80</v>
      </c>
      <c r="F365" s="3">
        <v>10</v>
      </c>
      <c r="G365" s="4">
        <v>44404</v>
      </c>
    </row>
    <row r="366" spans="1:11">
      <c r="C366" s="2" t="s">
        <v>8</v>
      </c>
      <c r="D366" s="2" t="s">
        <v>215</v>
      </c>
      <c r="E366" s="3">
        <v>676</v>
      </c>
      <c r="F366" s="3">
        <f>500/7</f>
        <v>71.428571428571431</v>
      </c>
      <c r="G366" s="4">
        <v>44299</v>
      </c>
      <c r="I366" s="1">
        <v>4400</v>
      </c>
    </row>
    <row r="367" spans="1:11">
      <c r="C367" s="2" t="s">
        <v>18</v>
      </c>
      <c r="D367" s="2" t="s">
        <v>203</v>
      </c>
      <c r="E367" s="3">
        <v>500</v>
      </c>
      <c r="F367" s="3">
        <f>200/9</f>
        <v>22.222222222222221</v>
      </c>
      <c r="G367" s="4">
        <v>44274</v>
      </c>
    </row>
    <row r="368" spans="1:11">
      <c r="C368" s="2" t="s">
        <v>5</v>
      </c>
      <c r="D368" s="2" t="s">
        <v>153</v>
      </c>
      <c r="E368" s="3">
        <v>3</v>
      </c>
      <c r="F368" s="6" t="s">
        <v>1067</v>
      </c>
      <c r="G368" s="4">
        <v>41879</v>
      </c>
      <c r="I368" s="1">
        <v>11</v>
      </c>
    </row>
    <row r="369" spans="1:11">
      <c r="C369" s="2" t="s">
        <v>7</v>
      </c>
      <c r="D369" s="2" t="s">
        <v>113</v>
      </c>
      <c r="E369" s="3">
        <v>37</v>
      </c>
      <c r="F369" s="6">
        <v>6.5</v>
      </c>
      <c r="G369" s="4">
        <v>43783</v>
      </c>
      <c r="I369" s="1">
        <v>113</v>
      </c>
    </row>
    <row r="370" spans="1:11">
      <c r="C370" s="2" t="s">
        <v>5</v>
      </c>
      <c r="D370" s="2" t="s">
        <v>113</v>
      </c>
      <c r="E370" s="3">
        <v>15</v>
      </c>
      <c r="F370" s="6">
        <f>E370/2</f>
        <v>7.5</v>
      </c>
      <c r="G370" s="4">
        <v>43262</v>
      </c>
    </row>
    <row r="371" spans="1:11">
      <c r="G371" s="4"/>
    </row>
    <row r="372" spans="1:11">
      <c r="A372" s="1">
        <v>20</v>
      </c>
      <c r="B372" s="12" t="s">
        <v>1149</v>
      </c>
      <c r="C372" s="13" t="s">
        <v>984</v>
      </c>
      <c r="D372" s="13" t="s">
        <v>983</v>
      </c>
      <c r="E372" s="15"/>
      <c r="F372" s="15">
        <f>SUM(F373:F389)</f>
        <v>310.5</v>
      </c>
      <c r="G372" s="14">
        <f>G373</f>
        <v>44852</v>
      </c>
      <c r="I372" s="12">
        <v>90000</v>
      </c>
      <c r="J372" s="22">
        <f>+F372/I372</f>
        <v>3.4499999999999999E-3</v>
      </c>
      <c r="K372" s="12">
        <v>1995</v>
      </c>
    </row>
    <row r="373" spans="1:11">
      <c r="C373" s="2" t="s">
        <v>5</v>
      </c>
      <c r="D373" s="2" t="s">
        <v>775</v>
      </c>
      <c r="E373" s="3">
        <v>125</v>
      </c>
      <c r="F373" s="3">
        <v>35</v>
      </c>
      <c r="G373" s="4">
        <v>44852</v>
      </c>
    </row>
    <row r="374" spans="1:11">
      <c r="C374" s="2" t="s">
        <v>18</v>
      </c>
      <c r="D374" s="2" t="s">
        <v>977</v>
      </c>
      <c r="E374" s="3">
        <v>135</v>
      </c>
      <c r="F374" s="3">
        <v>25</v>
      </c>
      <c r="G374" s="4">
        <v>44482</v>
      </c>
    </row>
    <row r="375" spans="1:11">
      <c r="C375" s="2" t="s">
        <v>7</v>
      </c>
      <c r="D375" s="2" t="s">
        <v>977</v>
      </c>
      <c r="E375" s="3">
        <v>45</v>
      </c>
      <c r="F375" s="3">
        <v>15</v>
      </c>
      <c r="G375" s="4">
        <v>44228</v>
      </c>
    </row>
    <row r="376" spans="1:11">
      <c r="C376" s="2" t="s">
        <v>5</v>
      </c>
      <c r="D376" s="2" t="s">
        <v>945</v>
      </c>
      <c r="E376" s="3">
        <v>30</v>
      </c>
      <c r="F376" s="3">
        <v>10</v>
      </c>
      <c r="G376" s="4">
        <v>44656</v>
      </c>
    </row>
    <row r="377" spans="1:11">
      <c r="C377" s="2" t="s">
        <v>7</v>
      </c>
      <c r="D377" s="2" t="s">
        <v>747</v>
      </c>
      <c r="E377" s="3">
        <v>25</v>
      </c>
      <c r="F377" s="3">
        <v>10</v>
      </c>
      <c r="G377" s="4">
        <v>44755</v>
      </c>
    </row>
    <row r="378" spans="1:11">
      <c r="C378" s="2" t="s">
        <v>5</v>
      </c>
      <c r="D378" s="2" t="s">
        <v>747</v>
      </c>
      <c r="E378" s="3">
        <v>21</v>
      </c>
      <c r="F378" s="3">
        <v>7</v>
      </c>
      <c r="G378" s="4">
        <v>44489</v>
      </c>
    </row>
    <row r="379" spans="1:11">
      <c r="C379" s="2" t="s">
        <v>5</v>
      </c>
      <c r="D379" s="2" t="s">
        <v>737</v>
      </c>
      <c r="E379" s="3">
        <v>20</v>
      </c>
      <c r="F379" s="3">
        <v>7</v>
      </c>
      <c r="G379" s="4">
        <v>44676</v>
      </c>
    </row>
    <row r="380" spans="1:11">
      <c r="C380" s="2" t="s">
        <v>5</v>
      </c>
      <c r="D380" s="2" t="s">
        <v>837</v>
      </c>
      <c r="E380" s="3">
        <v>20</v>
      </c>
      <c r="F380" s="3">
        <v>5</v>
      </c>
      <c r="G380" s="4">
        <v>44602</v>
      </c>
    </row>
    <row r="381" spans="1:11">
      <c r="C381" s="2" t="s">
        <v>5</v>
      </c>
      <c r="D381" s="2" t="s">
        <v>1148</v>
      </c>
      <c r="E381" s="3">
        <v>20</v>
      </c>
      <c r="F381" s="3">
        <v>10</v>
      </c>
      <c r="G381" s="4">
        <v>44371</v>
      </c>
    </row>
    <row r="382" spans="1:11">
      <c r="C382" s="2" t="s">
        <v>5</v>
      </c>
      <c r="D382" s="2" t="s">
        <v>1147</v>
      </c>
      <c r="E382" s="3">
        <v>15</v>
      </c>
      <c r="F382" s="3">
        <v>5</v>
      </c>
      <c r="G382" s="4">
        <v>44468</v>
      </c>
    </row>
    <row r="383" spans="1:11">
      <c r="C383" s="2" t="s">
        <v>7</v>
      </c>
      <c r="D383" s="2" t="s">
        <v>454</v>
      </c>
      <c r="E383" s="3">
        <v>30</v>
      </c>
      <c r="F383" s="3">
        <v>15</v>
      </c>
      <c r="G383" s="4">
        <v>44756</v>
      </c>
    </row>
    <row r="384" spans="1:11">
      <c r="C384" s="2" t="s">
        <v>7</v>
      </c>
      <c r="D384" s="2" t="s">
        <v>535</v>
      </c>
      <c r="E384" s="3">
        <v>32</v>
      </c>
      <c r="F384" s="3">
        <v>12</v>
      </c>
      <c r="G384" s="4">
        <v>44364</v>
      </c>
    </row>
    <row r="385" spans="1:18">
      <c r="C385" s="2" t="s">
        <v>5</v>
      </c>
      <c r="D385" s="2" t="s">
        <v>320</v>
      </c>
      <c r="E385" s="3">
        <v>57</v>
      </c>
      <c r="F385" s="3">
        <v>6</v>
      </c>
      <c r="G385" s="4">
        <v>44508</v>
      </c>
    </row>
    <row r="386" spans="1:18">
      <c r="C386" s="2" t="s">
        <v>55</v>
      </c>
      <c r="D386" s="2" t="s">
        <v>159</v>
      </c>
      <c r="E386" s="3">
        <v>200</v>
      </c>
      <c r="F386" s="3">
        <v>50</v>
      </c>
      <c r="G386" s="4">
        <v>44907</v>
      </c>
      <c r="I386" s="1">
        <v>3500</v>
      </c>
    </row>
    <row r="387" spans="1:18">
      <c r="C387" s="2" t="s">
        <v>9</v>
      </c>
      <c r="D387" s="2" t="s">
        <v>159</v>
      </c>
      <c r="E387" s="3">
        <v>400</v>
      </c>
      <c r="F387" s="3">
        <v>36</v>
      </c>
      <c r="G387" s="4">
        <v>44413</v>
      </c>
      <c r="I387" s="1">
        <v>4200</v>
      </c>
    </row>
    <row r="388" spans="1:18">
      <c r="C388" s="2" t="s">
        <v>8</v>
      </c>
      <c r="D388" s="2" t="s">
        <v>59</v>
      </c>
      <c r="E388" s="3">
        <v>250</v>
      </c>
      <c r="F388" s="3">
        <f>150/4</f>
        <v>37.5</v>
      </c>
      <c r="G388" s="4">
        <v>45069</v>
      </c>
    </row>
    <row r="389" spans="1:18">
      <c r="C389" s="2" t="s">
        <v>18</v>
      </c>
      <c r="D389" s="2" t="s">
        <v>59</v>
      </c>
      <c r="E389" s="3">
        <v>100</v>
      </c>
      <c r="F389" s="3">
        <v>25</v>
      </c>
      <c r="G389" s="4">
        <v>44650</v>
      </c>
    </row>
    <row r="390" spans="1:18">
      <c r="G390" s="4"/>
    </row>
    <row r="391" spans="1:18" s="12" customFormat="1">
      <c r="B391" s="12" t="s">
        <v>249</v>
      </c>
      <c r="C391" s="13" t="s">
        <v>984</v>
      </c>
      <c r="D391" s="13" t="s">
        <v>983</v>
      </c>
      <c r="E391" s="15"/>
      <c r="F391" s="15">
        <f>SUM(F392:F394)</f>
        <v>302.5</v>
      </c>
      <c r="G391" s="14">
        <f>G394</f>
        <v>44550</v>
      </c>
      <c r="M391" s="13"/>
      <c r="N391" s="13"/>
      <c r="O391" s="13"/>
      <c r="P391" s="13"/>
      <c r="Q391" s="13"/>
      <c r="R391" s="13"/>
    </row>
    <row r="392" spans="1:18">
      <c r="C392" s="2" t="s">
        <v>8</v>
      </c>
      <c r="D392" s="2" t="s">
        <v>239</v>
      </c>
      <c r="E392" s="3">
        <v>750</v>
      </c>
      <c r="F392" s="3">
        <f>450/4</f>
        <v>112.5</v>
      </c>
      <c r="G392" s="4">
        <v>43593</v>
      </c>
    </row>
    <row r="393" spans="1:18">
      <c r="C393" s="2" t="s">
        <v>18</v>
      </c>
      <c r="D393" s="2" t="s">
        <v>239</v>
      </c>
      <c r="E393" s="3">
        <v>460</v>
      </c>
      <c r="F393" s="3">
        <v>150</v>
      </c>
      <c r="G393" s="4">
        <v>43040</v>
      </c>
    </row>
    <row r="394" spans="1:18">
      <c r="C394" s="2" t="s">
        <v>7</v>
      </c>
      <c r="D394" s="2" t="s">
        <v>66</v>
      </c>
      <c r="E394" s="3">
        <f>1600/7</f>
        <v>228.57142857142858</v>
      </c>
      <c r="F394" s="3">
        <v>40</v>
      </c>
      <c r="G394" s="4">
        <v>44550</v>
      </c>
    </row>
    <row r="395" spans="1:18">
      <c r="G395" s="4"/>
    </row>
    <row r="396" spans="1:18" s="12" customFormat="1">
      <c r="A396" s="12">
        <v>21</v>
      </c>
      <c r="B396" s="12" t="s">
        <v>1146</v>
      </c>
      <c r="C396" s="13" t="s">
        <v>984</v>
      </c>
      <c r="D396" s="13" t="s">
        <v>983</v>
      </c>
      <c r="E396" s="15"/>
      <c r="F396" s="15">
        <f>SUM(F397:F413)</f>
        <v>274.58333333333331</v>
      </c>
      <c r="G396" s="14">
        <f>+G408</f>
        <v>45090</v>
      </c>
      <c r="I396" s="12">
        <v>13000</v>
      </c>
      <c r="J396" s="22">
        <f>+F396/I396</f>
        <v>2.1121794871794872E-2</v>
      </c>
      <c r="K396" s="12">
        <v>1996</v>
      </c>
      <c r="M396" s="13"/>
      <c r="N396" s="13"/>
      <c r="O396" s="13"/>
      <c r="P396" s="13"/>
      <c r="Q396" s="13"/>
      <c r="R396" s="13"/>
    </row>
    <row r="397" spans="1:18">
      <c r="C397" s="2" t="s">
        <v>9</v>
      </c>
      <c r="D397" s="2" t="s">
        <v>815</v>
      </c>
      <c r="E397" s="3">
        <v>325</v>
      </c>
      <c r="F397" s="3">
        <v>18.5</v>
      </c>
      <c r="G397" s="4">
        <v>44299</v>
      </c>
    </row>
    <row r="398" spans="1:18">
      <c r="C398" s="2" t="s">
        <v>7</v>
      </c>
      <c r="D398" s="2" t="s">
        <v>815</v>
      </c>
      <c r="E398" s="3">
        <v>18</v>
      </c>
      <c r="F398" s="3">
        <v>12</v>
      </c>
      <c r="G398" s="4">
        <v>43319</v>
      </c>
    </row>
    <row r="399" spans="1:18">
      <c r="C399" s="2" t="s">
        <v>18</v>
      </c>
      <c r="D399" s="2" t="s">
        <v>967</v>
      </c>
      <c r="E399" s="3">
        <v>270</v>
      </c>
      <c r="F399" s="3">
        <v>24</v>
      </c>
      <c r="G399" s="4">
        <v>45048</v>
      </c>
    </row>
    <row r="400" spans="1:18">
      <c r="C400" s="2" t="s">
        <v>7</v>
      </c>
      <c r="D400" s="2" t="s">
        <v>967</v>
      </c>
      <c r="E400" s="3">
        <v>130</v>
      </c>
      <c r="F400" s="3">
        <v>23</v>
      </c>
      <c r="G400" s="4">
        <v>44607</v>
      </c>
    </row>
    <row r="401" spans="1:18">
      <c r="C401" s="2" t="s">
        <v>5</v>
      </c>
      <c r="D401" s="2" t="s">
        <v>967</v>
      </c>
      <c r="E401" s="3">
        <v>40</v>
      </c>
      <c r="F401" s="3">
        <v>20</v>
      </c>
      <c r="G401" s="4">
        <v>44446</v>
      </c>
    </row>
    <row r="402" spans="1:18">
      <c r="C402" s="2" t="s">
        <v>18</v>
      </c>
      <c r="D402" s="2" t="s">
        <v>810</v>
      </c>
      <c r="E402" s="3">
        <v>50</v>
      </c>
      <c r="F402" s="3">
        <f>25/3</f>
        <v>8.3333333333333339</v>
      </c>
      <c r="G402" s="4">
        <v>44496</v>
      </c>
    </row>
    <row r="403" spans="1:18">
      <c r="C403" s="2" t="s">
        <v>7</v>
      </c>
      <c r="D403" s="2" t="s">
        <v>810</v>
      </c>
      <c r="E403" s="3">
        <v>22</v>
      </c>
      <c r="F403" s="3">
        <v>5</v>
      </c>
      <c r="G403" s="4">
        <v>44153</v>
      </c>
    </row>
    <row r="404" spans="1:18">
      <c r="C404" s="2" t="s">
        <v>5</v>
      </c>
      <c r="D404" s="2" t="s">
        <v>810</v>
      </c>
      <c r="E404" s="3">
        <v>13</v>
      </c>
      <c r="F404" s="3">
        <v>10</v>
      </c>
      <c r="G404" s="4">
        <v>44026</v>
      </c>
    </row>
    <row r="405" spans="1:18">
      <c r="C405" s="2" t="s">
        <v>7</v>
      </c>
      <c r="D405" s="2" t="s">
        <v>808</v>
      </c>
      <c r="E405" s="3">
        <v>50</v>
      </c>
      <c r="F405" s="3">
        <v>20</v>
      </c>
      <c r="G405" s="4">
        <v>45036</v>
      </c>
    </row>
    <row r="406" spans="1:18">
      <c r="C406" s="2" t="s">
        <v>7</v>
      </c>
      <c r="D406" s="2" t="s">
        <v>907</v>
      </c>
      <c r="E406" s="3">
        <v>40</v>
      </c>
      <c r="F406" s="3">
        <v>5</v>
      </c>
      <c r="G406" s="4">
        <v>44728</v>
      </c>
    </row>
    <row r="407" spans="1:18">
      <c r="C407" s="2" t="s">
        <v>5</v>
      </c>
      <c r="D407" s="2" t="s">
        <v>907</v>
      </c>
      <c r="E407" s="3">
        <v>18.600000000000001</v>
      </c>
      <c r="F407" s="3">
        <v>10</v>
      </c>
      <c r="G407" s="4">
        <v>44112</v>
      </c>
    </row>
    <row r="408" spans="1:18">
      <c r="C408" s="2" t="s">
        <v>4</v>
      </c>
      <c r="D408" s="2" t="s">
        <v>717</v>
      </c>
      <c r="E408" s="3">
        <v>113</v>
      </c>
      <c r="F408" s="3">
        <v>19</v>
      </c>
      <c r="G408" s="4">
        <v>45090</v>
      </c>
    </row>
    <row r="409" spans="1:18">
      <c r="C409" s="2" t="s">
        <v>5</v>
      </c>
      <c r="D409" s="2" t="s">
        <v>530</v>
      </c>
      <c r="E409" s="3">
        <v>7</v>
      </c>
      <c r="F409" s="3">
        <v>1</v>
      </c>
      <c r="G409" s="4">
        <v>42885</v>
      </c>
    </row>
    <row r="410" spans="1:18">
      <c r="C410" s="2" t="s">
        <v>18</v>
      </c>
      <c r="D410" s="2" t="s">
        <v>432</v>
      </c>
      <c r="E410" s="3">
        <v>75</v>
      </c>
      <c r="F410" s="3">
        <v>20</v>
      </c>
      <c r="G410" s="4">
        <v>45020</v>
      </c>
    </row>
    <row r="411" spans="1:18">
      <c r="C411" s="2" t="s">
        <v>18</v>
      </c>
      <c r="D411" s="2" t="s">
        <v>432</v>
      </c>
      <c r="E411" s="3">
        <v>80</v>
      </c>
      <c r="F411" s="3">
        <v>40</v>
      </c>
      <c r="G411" s="4">
        <v>44404</v>
      </c>
    </row>
    <row r="412" spans="1:18">
      <c r="C412" s="2" t="s">
        <v>7</v>
      </c>
      <c r="D412" s="2" t="s">
        <v>432</v>
      </c>
      <c r="E412" s="3">
        <v>40</v>
      </c>
      <c r="F412" s="3">
        <v>20</v>
      </c>
      <c r="G412" s="4">
        <v>43957</v>
      </c>
    </row>
    <row r="413" spans="1:18">
      <c r="C413" s="2" t="s">
        <v>8</v>
      </c>
      <c r="D413" s="2" t="s">
        <v>57</v>
      </c>
      <c r="E413" s="3">
        <v>200</v>
      </c>
      <c r="F413" s="3">
        <f>150/8</f>
        <v>18.75</v>
      </c>
      <c r="G413" s="4">
        <v>44055</v>
      </c>
      <c r="I413" s="1">
        <v>2000</v>
      </c>
      <c r="J413" s="1">
        <v>7000</v>
      </c>
    </row>
    <row r="414" spans="1:18">
      <c r="G414" s="4"/>
    </row>
    <row r="415" spans="1:18" s="12" customFormat="1">
      <c r="A415" s="12">
        <v>22</v>
      </c>
      <c r="B415" s="12" t="s">
        <v>1145</v>
      </c>
      <c r="C415" s="13" t="s">
        <v>984</v>
      </c>
      <c r="D415" s="13" t="s">
        <v>983</v>
      </c>
      <c r="E415" s="15"/>
      <c r="F415" s="15">
        <f>SUM(F416:F419)</f>
        <v>268</v>
      </c>
      <c r="G415" s="14">
        <f>+G416</f>
        <v>45069</v>
      </c>
      <c r="I415" s="12">
        <v>3800</v>
      </c>
      <c r="J415" s="22">
        <f>+F415/I415</f>
        <v>7.0526315789473687E-2</v>
      </c>
      <c r="K415" s="12">
        <v>2005</v>
      </c>
      <c r="M415" s="13"/>
      <c r="N415" s="13"/>
      <c r="O415" s="13"/>
      <c r="P415" s="13"/>
      <c r="Q415" s="13"/>
      <c r="R415" s="13"/>
    </row>
    <row r="416" spans="1:18">
      <c r="C416" s="2" t="s">
        <v>18</v>
      </c>
      <c r="D416" s="2" t="s">
        <v>979</v>
      </c>
      <c r="E416" s="3">
        <v>450</v>
      </c>
      <c r="F416" s="3">
        <v>150</v>
      </c>
      <c r="G416" s="4">
        <v>45069</v>
      </c>
    </row>
    <row r="417" spans="1:11">
      <c r="C417" s="2" t="s">
        <v>7</v>
      </c>
      <c r="D417" s="2" t="s">
        <v>964</v>
      </c>
      <c r="E417" s="3">
        <v>350</v>
      </c>
      <c r="F417" s="3">
        <v>75</v>
      </c>
      <c r="G417" s="4">
        <v>44999</v>
      </c>
    </row>
    <row r="418" spans="1:11">
      <c r="C418" s="2" t="s">
        <v>18</v>
      </c>
      <c r="D418" s="2" t="s">
        <v>815</v>
      </c>
      <c r="E418" s="3">
        <v>100</v>
      </c>
      <c r="F418" s="3">
        <v>13</v>
      </c>
      <c r="G418" s="4">
        <v>43682</v>
      </c>
    </row>
    <row r="419" spans="1:11">
      <c r="C419" s="2" t="s">
        <v>18</v>
      </c>
      <c r="D419" s="2" t="s">
        <v>381</v>
      </c>
      <c r="E419" s="3">
        <v>130</v>
      </c>
      <c r="F419" s="3">
        <v>30</v>
      </c>
      <c r="G419" s="4">
        <v>44323</v>
      </c>
    </row>
    <row r="420" spans="1:11">
      <c r="G420" s="4"/>
    </row>
    <row r="421" spans="1:11">
      <c r="A421" s="1">
        <v>23</v>
      </c>
      <c r="B421" s="12" t="s">
        <v>1144</v>
      </c>
      <c r="C421" s="13" t="s">
        <v>984</v>
      </c>
      <c r="D421" s="13" t="s">
        <v>983</v>
      </c>
      <c r="E421" s="15"/>
      <c r="F421" s="15">
        <f>SUM(F422:F434)</f>
        <v>323.28571428571428</v>
      </c>
      <c r="G421" s="14">
        <f>G431</f>
        <v>45091</v>
      </c>
      <c r="I421" s="12">
        <v>6500</v>
      </c>
      <c r="J421" s="22">
        <f>+F421/I421</f>
        <v>4.9736263736263733E-2</v>
      </c>
      <c r="K421" s="12">
        <v>2020</v>
      </c>
    </row>
    <row r="422" spans="1:11">
      <c r="B422" s="12"/>
      <c r="C422" s="2" t="s">
        <v>7</v>
      </c>
      <c r="D422" s="2" t="s">
        <v>964</v>
      </c>
      <c r="E422" s="3">
        <v>350</v>
      </c>
      <c r="F422" s="3">
        <v>20</v>
      </c>
      <c r="G422" s="4">
        <v>44999</v>
      </c>
    </row>
    <row r="423" spans="1:11">
      <c r="B423" s="12"/>
      <c r="C423" s="2" t="s">
        <v>5</v>
      </c>
      <c r="D423" s="2" t="s">
        <v>964</v>
      </c>
      <c r="E423" s="3">
        <v>65</v>
      </c>
      <c r="F423" s="3">
        <v>25</v>
      </c>
      <c r="G423" s="4">
        <v>44679</v>
      </c>
    </row>
    <row r="424" spans="1:11">
      <c r="C424" s="2" t="s">
        <v>18</v>
      </c>
      <c r="D424" s="2" t="s">
        <v>939</v>
      </c>
      <c r="E424" s="3">
        <v>100</v>
      </c>
      <c r="F424" s="3">
        <v>9</v>
      </c>
      <c r="G424" s="4">
        <v>44690</v>
      </c>
    </row>
    <row r="425" spans="1:11">
      <c r="C425" s="2" t="s">
        <v>7</v>
      </c>
      <c r="D425" s="2" t="s">
        <v>939</v>
      </c>
      <c r="E425" s="3">
        <v>40</v>
      </c>
      <c r="F425" s="3">
        <v>7</v>
      </c>
      <c r="G425" s="4">
        <v>44327</v>
      </c>
    </row>
    <row r="426" spans="1:11">
      <c r="C426" s="2" t="s">
        <v>18</v>
      </c>
      <c r="D426" s="2" t="s">
        <v>1080</v>
      </c>
      <c r="E426" s="3">
        <v>85</v>
      </c>
      <c r="F426" s="3">
        <v>10</v>
      </c>
      <c r="G426" s="4">
        <v>44501</v>
      </c>
    </row>
    <row r="427" spans="1:11">
      <c r="C427" s="2" t="s">
        <v>7</v>
      </c>
      <c r="D427" s="2" t="s">
        <v>1080</v>
      </c>
      <c r="E427" s="3">
        <v>28</v>
      </c>
      <c r="F427" s="3">
        <v>18</v>
      </c>
      <c r="G427" s="4">
        <v>44272</v>
      </c>
    </row>
    <row r="428" spans="1:11">
      <c r="C428" s="2" t="s">
        <v>18</v>
      </c>
      <c r="D428" s="2" t="s">
        <v>889</v>
      </c>
      <c r="E428" s="3">
        <v>85</v>
      </c>
      <c r="F428" s="3">
        <v>20</v>
      </c>
      <c r="G428" s="4">
        <v>44417</v>
      </c>
    </row>
    <row r="429" spans="1:11">
      <c r="C429" s="2" t="s">
        <v>1056</v>
      </c>
      <c r="D429" s="2" t="s">
        <v>844</v>
      </c>
      <c r="E429" s="3">
        <v>99</v>
      </c>
      <c r="F429" s="3">
        <v>30</v>
      </c>
      <c r="G429" s="4">
        <v>44796</v>
      </c>
    </row>
    <row r="430" spans="1:11">
      <c r="C430" s="2" t="s">
        <v>1136</v>
      </c>
      <c r="D430" s="2" t="s">
        <v>844</v>
      </c>
      <c r="E430" s="3">
        <v>100</v>
      </c>
      <c r="F430" s="3">
        <v>30</v>
      </c>
      <c r="G430" s="4">
        <v>44537</v>
      </c>
    </row>
    <row r="431" spans="1:11">
      <c r="C431" s="2" t="s">
        <v>8</v>
      </c>
      <c r="D431" s="2" t="s">
        <v>317</v>
      </c>
      <c r="E431" s="3">
        <v>69</v>
      </c>
      <c r="F431" s="3">
        <v>50</v>
      </c>
      <c r="G431" s="4">
        <v>45091</v>
      </c>
    </row>
    <row r="432" spans="1:11">
      <c r="C432" s="2" t="s">
        <v>18</v>
      </c>
      <c r="D432" s="2" t="s">
        <v>317</v>
      </c>
      <c r="E432" s="3">
        <v>110</v>
      </c>
      <c r="F432" s="3">
        <v>40</v>
      </c>
      <c r="G432" s="4">
        <v>44369</v>
      </c>
    </row>
    <row r="433" spans="1:9">
      <c r="C433" s="86" t="s">
        <v>18</v>
      </c>
      <c r="D433" s="86" t="s">
        <v>2157</v>
      </c>
      <c r="E433" s="3">
        <v>300</v>
      </c>
      <c r="F433" s="3">
        <v>14.285714285714286</v>
      </c>
      <c r="G433" s="4">
        <v>44300</v>
      </c>
    </row>
    <row r="434" spans="1:9">
      <c r="C434" s="86" t="s">
        <v>8</v>
      </c>
      <c r="D434" s="86" t="s">
        <v>2155</v>
      </c>
      <c r="E434" s="3">
        <v>175</v>
      </c>
      <c r="F434" s="3">
        <v>50</v>
      </c>
      <c r="G434" s="4">
        <v>44511</v>
      </c>
    </row>
    <row r="435" spans="1:9">
      <c r="G435" s="4"/>
    </row>
    <row r="436" spans="1:9">
      <c r="A436" s="1">
        <v>24</v>
      </c>
      <c r="B436" s="12" t="s">
        <v>1143</v>
      </c>
      <c r="C436" s="13" t="s">
        <v>984</v>
      </c>
      <c r="D436" s="13" t="s">
        <v>983</v>
      </c>
      <c r="F436" s="15">
        <f>SUM(F437:F449)</f>
        <v>256.42857142857144</v>
      </c>
      <c r="G436" s="14">
        <f>G437</f>
        <v>44796</v>
      </c>
    </row>
    <row r="437" spans="1:9">
      <c r="C437" s="2" t="s">
        <v>1056</v>
      </c>
      <c r="D437" s="2" t="s">
        <v>844</v>
      </c>
      <c r="E437" s="3">
        <v>99</v>
      </c>
      <c r="F437" s="3">
        <v>30</v>
      </c>
      <c r="G437" s="4">
        <v>44796</v>
      </c>
    </row>
    <row r="438" spans="1:9">
      <c r="C438" s="2" t="s">
        <v>1136</v>
      </c>
      <c r="D438" s="2" t="s">
        <v>844</v>
      </c>
      <c r="E438" s="3">
        <v>100</v>
      </c>
      <c r="F438" s="3">
        <f>40/3</f>
        <v>13.333333333333334</v>
      </c>
      <c r="G438" s="4">
        <v>44537</v>
      </c>
    </row>
    <row r="439" spans="1:9">
      <c r="C439" s="2" t="s">
        <v>7</v>
      </c>
      <c r="D439" s="2" t="s">
        <v>844</v>
      </c>
      <c r="E439" s="3">
        <v>40</v>
      </c>
      <c r="F439" s="3">
        <f>20/3</f>
        <v>6.666666666666667</v>
      </c>
      <c r="G439" s="4">
        <v>44125</v>
      </c>
    </row>
    <row r="440" spans="1:9">
      <c r="C440" s="2" t="s">
        <v>5</v>
      </c>
      <c r="D440" s="2" t="s">
        <v>844</v>
      </c>
      <c r="E440" s="3">
        <v>20</v>
      </c>
      <c r="F440" s="3">
        <f>12/6</f>
        <v>2</v>
      </c>
      <c r="G440" s="4">
        <v>43816</v>
      </c>
    </row>
    <row r="441" spans="1:9">
      <c r="C441" s="2" t="s">
        <v>5</v>
      </c>
      <c r="D441" s="2" t="s">
        <v>712</v>
      </c>
      <c r="E441" s="3">
        <v>50</v>
      </c>
      <c r="F441" s="3">
        <v>10</v>
      </c>
      <c r="G441" s="4">
        <v>44796</v>
      </c>
    </row>
    <row r="442" spans="1:9">
      <c r="C442" s="2" t="s">
        <v>5</v>
      </c>
      <c r="D442" s="2" t="s">
        <v>526</v>
      </c>
      <c r="E442" s="3">
        <v>14.5</v>
      </c>
      <c r="F442" s="3">
        <v>3</v>
      </c>
      <c r="G442" s="4">
        <v>43389</v>
      </c>
    </row>
    <row r="443" spans="1:9">
      <c r="C443" s="2" t="s">
        <v>9</v>
      </c>
      <c r="D443" s="2" t="s">
        <v>498</v>
      </c>
      <c r="E443" s="3">
        <v>206</v>
      </c>
      <c r="F443" s="3">
        <v>14</v>
      </c>
      <c r="G443" s="4">
        <v>43725</v>
      </c>
    </row>
    <row r="444" spans="1:9">
      <c r="C444" s="2" t="s">
        <v>8</v>
      </c>
      <c r="D444" s="2" t="s">
        <v>498</v>
      </c>
      <c r="E444" s="3">
        <v>100</v>
      </c>
      <c r="F444" s="3">
        <v>15</v>
      </c>
      <c r="G444" s="4">
        <v>43397</v>
      </c>
    </row>
    <row r="445" spans="1:9">
      <c r="C445" s="2" t="s">
        <v>4</v>
      </c>
      <c r="D445" s="2" t="s">
        <v>339</v>
      </c>
      <c r="E445" s="3">
        <v>5</v>
      </c>
      <c r="F445" s="3">
        <v>1</v>
      </c>
      <c r="G445" s="4">
        <v>43990</v>
      </c>
    </row>
    <row r="446" spans="1:9">
      <c r="C446" s="2" t="s">
        <v>5</v>
      </c>
      <c r="D446" s="2" t="s">
        <v>320</v>
      </c>
      <c r="E446" s="3">
        <v>57</v>
      </c>
      <c r="F446" s="3">
        <v>6</v>
      </c>
      <c r="G446" s="4">
        <v>44508</v>
      </c>
    </row>
    <row r="447" spans="1:9">
      <c r="C447" s="2" t="s">
        <v>8</v>
      </c>
      <c r="D447" s="2" t="s">
        <v>215</v>
      </c>
      <c r="E447" s="3">
        <v>676</v>
      </c>
      <c r="F447" s="3">
        <f>500/7</f>
        <v>71.428571428571431</v>
      </c>
      <c r="G447" s="4">
        <v>44299</v>
      </c>
      <c r="I447" s="1">
        <v>4400</v>
      </c>
    </row>
    <row r="448" spans="1:9">
      <c r="C448" s="2" t="s">
        <v>18</v>
      </c>
      <c r="D448" s="2" t="s">
        <v>215</v>
      </c>
      <c r="E448" s="3">
        <v>250</v>
      </c>
      <c r="F448" s="3">
        <f>170/5</f>
        <v>34</v>
      </c>
      <c r="G448" s="4">
        <v>43886</v>
      </c>
      <c r="I448" s="1">
        <v>2300</v>
      </c>
    </row>
    <row r="449" spans="1:18">
      <c r="C449" s="2" t="s">
        <v>7</v>
      </c>
      <c r="D449" s="2" t="s">
        <v>215</v>
      </c>
      <c r="E449" s="3">
        <v>150</v>
      </c>
      <c r="F449" s="3">
        <v>50</v>
      </c>
      <c r="G449" s="4">
        <v>43556</v>
      </c>
    </row>
    <row r="450" spans="1:18">
      <c r="G450" s="4"/>
    </row>
    <row r="451" spans="1:18">
      <c r="G451" s="4"/>
    </row>
    <row r="452" spans="1:18" s="12" customFormat="1">
      <c r="A452" s="12">
        <v>28</v>
      </c>
      <c r="B452" s="12" t="s">
        <v>1138</v>
      </c>
      <c r="C452" s="13" t="s">
        <v>984</v>
      </c>
      <c r="D452" s="13" t="s">
        <v>983</v>
      </c>
      <c r="E452" s="15"/>
      <c r="F452" s="15">
        <f>SUM(F453:F461)</f>
        <v>226.21428571428572</v>
      </c>
      <c r="G452" s="14">
        <f>G458</f>
        <v>44515</v>
      </c>
    </row>
    <row r="453" spans="1:18">
      <c r="C453" s="2" t="s">
        <v>18</v>
      </c>
      <c r="D453" s="2" t="s">
        <v>895</v>
      </c>
      <c r="E453" s="3">
        <v>200</v>
      </c>
      <c r="F453" s="3">
        <f>100/5</f>
        <v>20</v>
      </c>
      <c r="G453" s="4">
        <v>44377</v>
      </c>
      <c r="M453" s="1"/>
      <c r="N453" s="1"/>
      <c r="O453" s="1"/>
      <c r="P453" s="1"/>
      <c r="Q453" s="1"/>
      <c r="R453" s="1"/>
    </row>
    <row r="454" spans="1:18">
      <c r="C454" s="2" t="s">
        <v>7</v>
      </c>
      <c r="D454" s="2" t="s">
        <v>895</v>
      </c>
      <c r="E454" s="3">
        <v>75</v>
      </c>
      <c r="F454" s="3">
        <v>20</v>
      </c>
      <c r="G454" s="4">
        <v>43783</v>
      </c>
      <c r="M454" s="1"/>
      <c r="N454" s="1"/>
      <c r="O454" s="1"/>
      <c r="P454" s="1"/>
      <c r="Q454" s="1"/>
      <c r="R454" s="1"/>
    </row>
    <row r="455" spans="1:18">
      <c r="C455" s="2" t="s">
        <v>55</v>
      </c>
      <c r="D455" s="2" t="s">
        <v>498</v>
      </c>
      <c r="E455" s="3">
        <v>270</v>
      </c>
      <c r="F455" s="3">
        <v>22</v>
      </c>
      <c r="G455" s="4">
        <v>44152</v>
      </c>
      <c r="M455" s="1"/>
      <c r="N455" s="1"/>
      <c r="O455" s="1"/>
      <c r="P455" s="1"/>
      <c r="Q455" s="1"/>
      <c r="R455" s="1"/>
    </row>
    <row r="456" spans="1:18">
      <c r="C456" s="2" t="s">
        <v>9</v>
      </c>
      <c r="D456" s="2" t="s">
        <v>498</v>
      </c>
      <c r="E456" s="3">
        <v>206</v>
      </c>
      <c r="F456" s="3">
        <v>36</v>
      </c>
      <c r="G456" s="4">
        <v>43725</v>
      </c>
      <c r="M456" s="1"/>
      <c r="N456" s="1"/>
      <c r="O456" s="1"/>
      <c r="P456" s="1"/>
      <c r="Q456" s="1"/>
      <c r="R456" s="1"/>
    </row>
    <row r="457" spans="1:18">
      <c r="C457" s="2" t="s">
        <v>8</v>
      </c>
      <c r="D457" s="2" t="s">
        <v>498</v>
      </c>
      <c r="E457" s="3">
        <v>100</v>
      </c>
      <c r="F457" s="3">
        <v>20</v>
      </c>
      <c r="G457" s="4">
        <v>43397</v>
      </c>
      <c r="M457" s="1"/>
      <c r="N457" s="1"/>
      <c r="O457" s="1"/>
      <c r="P457" s="1"/>
      <c r="Q457" s="1"/>
      <c r="R457" s="1"/>
    </row>
    <row r="458" spans="1:18">
      <c r="C458" s="2" t="s">
        <v>55</v>
      </c>
      <c r="D458" s="2" t="s">
        <v>49</v>
      </c>
      <c r="E458" s="3">
        <v>100</v>
      </c>
      <c r="F458" s="3">
        <f>75/7</f>
        <v>10.714285714285714</v>
      </c>
      <c r="G458" s="4">
        <v>44515</v>
      </c>
      <c r="I458" s="1">
        <v>4100</v>
      </c>
      <c r="J458" s="1">
        <v>4100</v>
      </c>
      <c r="M458" s="1"/>
      <c r="N458" s="1"/>
      <c r="O458" s="1"/>
      <c r="P458" s="1"/>
      <c r="Q458" s="1"/>
      <c r="R458" s="1"/>
    </row>
    <row r="459" spans="1:18">
      <c r="C459" s="2" t="s">
        <v>9</v>
      </c>
      <c r="D459" s="2" t="s">
        <v>49</v>
      </c>
      <c r="E459" s="3">
        <v>248</v>
      </c>
      <c r="F459" s="3">
        <v>37.5</v>
      </c>
      <c r="G459" s="4">
        <v>43678</v>
      </c>
      <c r="I459" s="1">
        <v>1700</v>
      </c>
      <c r="J459" s="1">
        <v>4100</v>
      </c>
      <c r="M459" s="1"/>
      <c r="N459" s="1"/>
      <c r="O459" s="1"/>
      <c r="P459" s="1"/>
      <c r="Q459" s="1"/>
      <c r="R459" s="1"/>
    </row>
    <row r="460" spans="1:18">
      <c r="C460" s="2" t="s">
        <v>8</v>
      </c>
      <c r="D460" s="2" t="s">
        <v>49</v>
      </c>
      <c r="E460" s="3">
        <v>145</v>
      </c>
      <c r="F460" s="3">
        <v>30</v>
      </c>
      <c r="G460" s="4">
        <v>43228</v>
      </c>
      <c r="I460" s="1">
        <v>855</v>
      </c>
      <c r="J460" s="1">
        <v>4100</v>
      </c>
      <c r="M460" s="1"/>
      <c r="N460" s="1"/>
      <c r="O460" s="1"/>
      <c r="P460" s="1"/>
      <c r="Q460" s="1"/>
      <c r="R460" s="1"/>
    </row>
    <row r="461" spans="1:18">
      <c r="C461" s="2" t="s">
        <v>18</v>
      </c>
      <c r="D461" s="2" t="s">
        <v>2168</v>
      </c>
      <c r="E461" s="3">
        <v>200</v>
      </c>
      <c r="F461" s="3">
        <v>30</v>
      </c>
      <c r="G461" s="4">
        <v>44557</v>
      </c>
      <c r="M461" s="1"/>
      <c r="N461" s="1"/>
      <c r="O461" s="1"/>
      <c r="P461" s="1"/>
      <c r="Q461" s="1"/>
      <c r="R461" s="1"/>
    </row>
    <row r="462" spans="1:18">
      <c r="G462" s="4"/>
      <c r="M462" s="1"/>
      <c r="N462" s="1"/>
      <c r="O462" s="1"/>
      <c r="P462" s="1"/>
      <c r="Q462" s="1"/>
      <c r="R462" s="1"/>
    </row>
    <row r="463" spans="1:18">
      <c r="B463" s="12" t="s">
        <v>1101</v>
      </c>
      <c r="C463" s="13" t="s">
        <v>984</v>
      </c>
      <c r="D463" s="13" t="s">
        <v>983</v>
      </c>
      <c r="E463" s="15"/>
      <c r="F463" s="15">
        <f>SUM(F464:F471)</f>
        <v>220.25</v>
      </c>
      <c r="G463" s="14">
        <f>G464</f>
        <v>44299</v>
      </c>
    </row>
    <row r="464" spans="1:18">
      <c r="C464" s="2" t="s">
        <v>9</v>
      </c>
      <c r="D464" s="2" t="s">
        <v>815</v>
      </c>
      <c r="E464" s="3">
        <v>325</v>
      </c>
      <c r="F464" s="3">
        <v>18.5</v>
      </c>
      <c r="G464" s="4">
        <v>44299</v>
      </c>
    </row>
    <row r="465" spans="2:18">
      <c r="C465" s="2" t="s">
        <v>18</v>
      </c>
      <c r="D465" s="2" t="s">
        <v>815</v>
      </c>
      <c r="E465" s="3">
        <v>100</v>
      </c>
      <c r="F465" s="3">
        <v>35</v>
      </c>
      <c r="G465" s="4">
        <v>43682</v>
      </c>
    </row>
    <row r="466" spans="2:18">
      <c r="C466" s="2" t="s">
        <v>5</v>
      </c>
      <c r="D466" s="2" t="s">
        <v>712</v>
      </c>
      <c r="E466" s="3">
        <v>50</v>
      </c>
      <c r="F466" s="3">
        <f>30/12</f>
        <v>2.5</v>
      </c>
      <c r="G466" s="4">
        <v>44796</v>
      </c>
    </row>
    <row r="467" spans="2:18">
      <c r="C467" s="2" t="s">
        <v>5</v>
      </c>
      <c r="D467" s="2" t="s">
        <v>1100</v>
      </c>
      <c r="E467" s="3">
        <v>25</v>
      </c>
      <c r="F467" s="3">
        <v>10</v>
      </c>
      <c r="G467" s="4">
        <v>44679</v>
      </c>
    </row>
    <row r="468" spans="2:18">
      <c r="C468" s="2" t="s">
        <v>4</v>
      </c>
      <c r="D468" s="2" t="s">
        <v>1100</v>
      </c>
      <c r="E468" s="3">
        <v>3</v>
      </c>
      <c r="F468" s="3">
        <v>1</v>
      </c>
      <c r="G468" s="4">
        <v>44197</v>
      </c>
    </row>
    <row r="469" spans="2:18">
      <c r="C469" s="2" t="s">
        <v>7</v>
      </c>
      <c r="D469" s="2" t="s">
        <v>822</v>
      </c>
      <c r="E469" s="3">
        <v>27</v>
      </c>
      <c r="F469" s="3">
        <v>10</v>
      </c>
      <c r="G469" s="4">
        <v>44882</v>
      </c>
    </row>
    <row r="470" spans="2:18">
      <c r="C470" s="2" t="s">
        <v>8</v>
      </c>
      <c r="D470" s="2" t="s">
        <v>4031</v>
      </c>
      <c r="E470" s="3">
        <v>90</v>
      </c>
      <c r="F470" s="3">
        <v>45</v>
      </c>
      <c r="G470" s="4">
        <v>40354</v>
      </c>
      <c r="I470" s="1">
        <v>645</v>
      </c>
      <c r="J470" s="1">
        <v>32500</v>
      </c>
    </row>
    <row r="471" spans="2:18">
      <c r="C471" s="2" t="s">
        <v>2529</v>
      </c>
      <c r="D471" s="2" t="s">
        <v>4031</v>
      </c>
      <c r="E471" s="3">
        <v>196.5</v>
      </c>
      <c r="F471" s="3">
        <f>E471/2</f>
        <v>98.25</v>
      </c>
      <c r="G471" s="4">
        <v>41544</v>
      </c>
      <c r="I471" s="1">
        <v>8000</v>
      </c>
      <c r="J471" s="1">
        <v>32500</v>
      </c>
    </row>
    <row r="472" spans="2:18">
      <c r="G472" s="4"/>
    </row>
    <row r="473" spans="2:18" s="12" customFormat="1">
      <c r="B473" s="12" t="s">
        <v>1142</v>
      </c>
      <c r="C473" s="13" t="s">
        <v>984</v>
      </c>
      <c r="D473" s="13" t="s">
        <v>983</v>
      </c>
      <c r="E473" s="15"/>
      <c r="F473" s="15">
        <f>SUM(F474:F484)</f>
        <v>218.75</v>
      </c>
      <c r="G473" s="14">
        <f>G474</f>
        <v>44852</v>
      </c>
      <c r="M473" s="13"/>
      <c r="N473" s="13"/>
      <c r="O473" s="13"/>
      <c r="P473" s="13"/>
      <c r="Q473" s="13"/>
      <c r="R473" s="13"/>
    </row>
    <row r="474" spans="2:18">
      <c r="C474" s="2" t="s">
        <v>5</v>
      </c>
      <c r="D474" s="2" t="s">
        <v>775</v>
      </c>
      <c r="E474" s="3">
        <v>125</v>
      </c>
      <c r="F474" s="3">
        <v>15</v>
      </c>
      <c r="G474" s="4">
        <v>44852</v>
      </c>
    </row>
    <row r="475" spans="2:18">
      <c r="C475" s="2" t="s">
        <v>55</v>
      </c>
      <c r="D475" s="2" t="s">
        <v>181</v>
      </c>
      <c r="E475" s="3">
        <v>475</v>
      </c>
      <c r="F475" s="3">
        <v>40</v>
      </c>
      <c r="G475" s="4">
        <v>44278</v>
      </c>
    </row>
    <row r="476" spans="2:18">
      <c r="C476" s="2" t="s">
        <v>8</v>
      </c>
      <c r="D476" s="2" t="s">
        <v>181</v>
      </c>
      <c r="E476" s="3">
        <v>130</v>
      </c>
      <c r="F476" s="3">
        <v>12</v>
      </c>
      <c r="G476" s="4">
        <v>42080</v>
      </c>
      <c r="I476" s="1">
        <v>570</v>
      </c>
    </row>
    <row r="477" spans="2:18">
      <c r="C477" s="2" t="s">
        <v>18</v>
      </c>
      <c r="D477" s="2" t="s">
        <v>181</v>
      </c>
      <c r="E477" s="3">
        <v>34</v>
      </c>
      <c r="F477" s="3">
        <v>20</v>
      </c>
      <c r="G477" s="4">
        <v>41437</v>
      </c>
    </row>
    <row r="478" spans="2:18">
      <c r="C478" s="2" t="s">
        <v>9</v>
      </c>
      <c r="D478" s="2" t="s">
        <v>41</v>
      </c>
      <c r="E478" s="3">
        <v>230</v>
      </c>
      <c r="F478" s="3">
        <v>24</v>
      </c>
      <c r="G478" s="4">
        <v>44984</v>
      </c>
      <c r="I478" s="1">
        <v>2000</v>
      </c>
      <c r="J478" s="1">
        <v>2000</v>
      </c>
    </row>
    <row r="479" spans="2:18">
      <c r="C479" s="2" t="s">
        <v>8</v>
      </c>
      <c r="D479" s="2" t="s">
        <v>41</v>
      </c>
      <c r="E479" s="3">
        <v>170</v>
      </c>
      <c r="F479" s="3">
        <v>22</v>
      </c>
      <c r="G479" s="4">
        <v>44255</v>
      </c>
      <c r="I479" s="1">
        <v>830</v>
      </c>
      <c r="J479" s="1">
        <v>2000</v>
      </c>
    </row>
    <row r="480" spans="2:18">
      <c r="C480" s="2" t="s">
        <v>18</v>
      </c>
      <c r="D480" s="2" t="s">
        <v>41</v>
      </c>
      <c r="E480" s="3">
        <v>100</v>
      </c>
      <c r="F480" s="3">
        <v>15</v>
      </c>
      <c r="G480" s="4">
        <v>44025</v>
      </c>
      <c r="J480" s="1">
        <v>2000</v>
      </c>
    </row>
    <row r="481" spans="1:18">
      <c r="C481" s="2" t="s">
        <v>7</v>
      </c>
      <c r="D481" s="2" t="s">
        <v>41</v>
      </c>
      <c r="E481" s="3">
        <v>42</v>
      </c>
      <c r="F481" s="3">
        <v>10</v>
      </c>
      <c r="G481" s="4">
        <v>43144</v>
      </c>
      <c r="J481" s="1">
        <v>2000</v>
      </c>
    </row>
    <row r="482" spans="1:18">
      <c r="C482" s="2" t="s">
        <v>9</v>
      </c>
      <c r="D482" s="2" t="s">
        <v>54</v>
      </c>
      <c r="E482" s="3">
        <v>220</v>
      </c>
      <c r="F482" s="3">
        <v>28</v>
      </c>
      <c r="G482" s="4">
        <v>44357</v>
      </c>
      <c r="I482" s="1">
        <v>1900</v>
      </c>
      <c r="J482" s="1">
        <v>1900</v>
      </c>
    </row>
    <row r="483" spans="1:18">
      <c r="C483" s="2" t="s">
        <v>8</v>
      </c>
      <c r="D483" s="2" t="s">
        <v>54</v>
      </c>
      <c r="E483" s="3">
        <v>125</v>
      </c>
      <c r="F483" s="3">
        <v>18.75</v>
      </c>
      <c r="G483" s="4">
        <v>44131</v>
      </c>
      <c r="I483" s="1">
        <v>875</v>
      </c>
      <c r="J483" s="1">
        <v>1900</v>
      </c>
    </row>
    <row r="484" spans="1:18">
      <c r="C484" s="2" t="s">
        <v>18</v>
      </c>
      <c r="D484" s="2" t="s">
        <v>54</v>
      </c>
      <c r="E484" s="3">
        <v>28</v>
      </c>
      <c r="F484" s="3">
        <v>14</v>
      </c>
      <c r="G484" s="4">
        <v>43579</v>
      </c>
      <c r="J484" s="1">
        <v>1900</v>
      </c>
    </row>
    <row r="485" spans="1:18">
      <c r="G485" s="4"/>
    </row>
    <row r="486" spans="1:18" s="12" customFormat="1">
      <c r="A486" s="12">
        <v>25</v>
      </c>
      <c r="B486" s="12" t="s">
        <v>1141</v>
      </c>
      <c r="C486" s="13" t="s">
        <v>984</v>
      </c>
      <c r="D486" s="13" t="s">
        <v>983</v>
      </c>
      <c r="E486" s="15"/>
      <c r="F486" s="15">
        <f>SUM(F487:F494)</f>
        <v>216.19444444444446</v>
      </c>
      <c r="G486" s="14">
        <f>G487</f>
        <v>45069</v>
      </c>
      <c r="I486" s="13" t="s">
        <v>1</v>
      </c>
      <c r="J486" s="13" t="s">
        <v>1</v>
      </c>
      <c r="K486" s="13" t="s">
        <v>1</v>
      </c>
      <c r="M486" s="13"/>
      <c r="N486" s="13"/>
      <c r="O486" s="13"/>
      <c r="P486" s="13"/>
      <c r="Q486" s="13"/>
      <c r="R486" s="13"/>
    </row>
    <row r="487" spans="1:18">
      <c r="C487" s="2" t="s">
        <v>18</v>
      </c>
      <c r="D487" s="2" t="s">
        <v>979</v>
      </c>
      <c r="E487" s="3">
        <v>450</v>
      </c>
      <c r="F487" s="3">
        <f>300/5</f>
        <v>60</v>
      </c>
      <c r="G487" s="4">
        <v>45069</v>
      </c>
    </row>
    <row r="488" spans="1:18">
      <c r="C488" s="2" t="s">
        <v>18</v>
      </c>
      <c r="D488" s="2" t="s">
        <v>967</v>
      </c>
      <c r="E488" s="3">
        <v>270</v>
      </c>
      <c r="F488" s="3">
        <f>220/9</f>
        <v>24.444444444444443</v>
      </c>
      <c r="G488" s="4">
        <v>45048</v>
      </c>
    </row>
    <row r="489" spans="1:18">
      <c r="C489" s="2" t="s">
        <v>4</v>
      </c>
      <c r="D489" s="2" t="s">
        <v>662</v>
      </c>
      <c r="E489" s="3">
        <v>12.3</v>
      </c>
      <c r="F489" s="3">
        <v>3</v>
      </c>
      <c r="G489" s="4">
        <v>44622</v>
      </c>
    </row>
    <row r="490" spans="1:18">
      <c r="C490" s="2" t="s">
        <v>513</v>
      </c>
      <c r="D490" s="2" t="s">
        <v>498</v>
      </c>
      <c r="E490" s="3">
        <v>250</v>
      </c>
      <c r="F490" s="3">
        <v>30</v>
      </c>
      <c r="G490" s="4">
        <v>44376</v>
      </c>
    </row>
    <row r="491" spans="1:18">
      <c r="C491" s="2" t="s">
        <v>55</v>
      </c>
      <c r="D491" s="2" t="s">
        <v>498</v>
      </c>
      <c r="E491" s="3">
        <v>50</v>
      </c>
      <c r="F491" s="3">
        <v>10</v>
      </c>
      <c r="G491" s="4">
        <v>44174</v>
      </c>
    </row>
    <row r="492" spans="1:18">
      <c r="C492" s="2" t="s">
        <v>9</v>
      </c>
      <c r="D492" s="2" t="s">
        <v>57</v>
      </c>
      <c r="E492" s="3">
        <v>250</v>
      </c>
      <c r="F492" s="3">
        <v>30</v>
      </c>
      <c r="G492" s="4">
        <v>44350</v>
      </c>
      <c r="I492" s="1">
        <v>7000</v>
      </c>
      <c r="J492" s="1">
        <v>7000</v>
      </c>
    </row>
    <row r="493" spans="1:18">
      <c r="C493" s="2" t="s">
        <v>8</v>
      </c>
      <c r="D493" s="2" t="s">
        <v>57</v>
      </c>
      <c r="E493" s="3">
        <v>200</v>
      </c>
      <c r="F493" s="3">
        <v>18.75</v>
      </c>
      <c r="G493" s="4">
        <v>44055</v>
      </c>
      <c r="I493" s="1">
        <v>2000</v>
      </c>
      <c r="J493" s="1">
        <v>7000</v>
      </c>
    </row>
    <row r="494" spans="1:18">
      <c r="C494" s="2" t="s">
        <v>7</v>
      </c>
      <c r="D494" s="2" t="s">
        <v>1079</v>
      </c>
      <c r="E494" s="3">
        <v>100</v>
      </c>
      <c r="F494" s="3">
        <v>40</v>
      </c>
      <c r="G494" s="4">
        <v>45106</v>
      </c>
    </row>
    <row r="495" spans="1:18">
      <c r="G495" s="4"/>
    </row>
    <row r="496" spans="1:18">
      <c r="A496" s="1">
        <v>26</v>
      </c>
      <c r="B496" s="12" t="s">
        <v>1140</v>
      </c>
      <c r="C496" s="13" t="s">
        <v>984</v>
      </c>
      <c r="D496" s="13" t="s">
        <v>983</v>
      </c>
      <c r="E496" s="15"/>
      <c r="F496" s="15">
        <f>SUM(F497:F503)</f>
        <v>210.5952380952381</v>
      </c>
      <c r="G496" s="14">
        <f>G497</f>
        <v>44417</v>
      </c>
      <c r="I496" s="1" t="s">
        <v>1</v>
      </c>
      <c r="J496" s="1" t="s">
        <v>1</v>
      </c>
      <c r="K496" s="1" t="s">
        <v>1</v>
      </c>
    </row>
    <row r="497" spans="1:18">
      <c r="C497" s="2" t="s">
        <v>18</v>
      </c>
      <c r="D497" s="2" t="s">
        <v>889</v>
      </c>
      <c r="E497" s="3">
        <v>85</v>
      </c>
      <c r="F497" s="3">
        <v>20</v>
      </c>
      <c r="G497" s="4">
        <v>44417</v>
      </c>
    </row>
    <row r="498" spans="1:18">
      <c r="C498" s="2" t="s">
        <v>7</v>
      </c>
      <c r="D498" s="2" t="s">
        <v>889</v>
      </c>
      <c r="E498" s="3">
        <v>35</v>
      </c>
      <c r="F498" s="3">
        <f>25/6</f>
        <v>4.166666666666667</v>
      </c>
      <c r="G498" s="4">
        <v>44293</v>
      </c>
    </row>
    <row r="499" spans="1:18">
      <c r="C499" s="2" t="s">
        <v>55</v>
      </c>
      <c r="D499" s="2" t="s">
        <v>498</v>
      </c>
      <c r="E499" s="3">
        <v>270</v>
      </c>
      <c r="F499" s="3">
        <v>22</v>
      </c>
      <c r="G499" s="4">
        <v>44152</v>
      </c>
    </row>
    <row r="500" spans="1:18">
      <c r="C500" s="2" t="s">
        <v>7</v>
      </c>
      <c r="D500" s="2" t="s">
        <v>484</v>
      </c>
      <c r="E500" s="3">
        <v>90</v>
      </c>
      <c r="F500" s="3">
        <v>6</v>
      </c>
      <c r="G500" s="4">
        <v>44398</v>
      </c>
    </row>
    <row r="501" spans="1:18">
      <c r="C501" s="2" t="s">
        <v>8</v>
      </c>
      <c r="D501" s="2" t="s">
        <v>265</v>
      </c>
      <c r="E501" s="3">
        <v>111</v>
      </c>
      <c r="F501" s="3">
        <v>7</v>
      </c>
      <c r="G501" s="4">
        <v>44622</v>
      </c>
    </row>
    <row r="502" spans="1:18">
      <c r="C502" s="2" t="s">
        <v>8</v>
      </c>
      <c r="D502" s="2" t="s">
        <v>215</v>
      </c>
      <c r="E502" s="3">
        <v>676</v>
      </c>
      <c r="F502" s="3">
        <f>500/7</f>
        <v>71.428571428571431</v>
      </c>
      <c r="G502" s="4">
        <v>44299</v>
      </c>
      <c r="I502" s="1">
        <v>4400</v>
      </c>
    </row>
    <row r="503" spans="1:18">
      <c r="C503" s="2" t="s">
        <v>18</v>
      </c>
      <c r="D503" s="2" t="s">
        <v>215</v>
      </c>
      <c r="E503" s="3">
        <v>250</v>
      </c>
      <c r="F503" s="3">
        <v>80</v>
      </c>
      <c r="G503" s="4">
        <v>43886</v>
      </c>
      <c r="I503" s="1">
        <v>2300</v>
      </c>
    </row>
    <row r="504" spans="1:18">
      <c r="G504" s="4"/>
    </row>
    <row r="505" spans="1:18" s="12" customFormat="1">
      <c r="B505" s="12" t="s">
        <v>210</v>
      </c>
      <c r="C505" s="13" t="s">
        <v>984</v>
      </c>
      <c r="D505" s="13" t="s">
        <v>983</v>
      </c>
      <c r="E505" s="15"/>
      <c r="F505" s="15">
        <f>SUM(F506:F507)</f>
        <v>209</v>
      </c>
      <c r="G505" s="14">
        <f>G506</f>
        <v>44504</v>
      </c>
      <c r="M505" s="13"/>
      <c r="N505" s="13"/>
      <c r="O505" s="13"/>
      <c r="P505" s="13"/>
      <c r="Q505" s="13"/>
      <c r="R505" s="13"/>
    </row>
    <row r="506" spans="1:18">
      <c r="C506" s="2" t="s">
        <v>18</v>
      </c>
      <c r="D506" s="2" t="s">
        <v>203</v>
      </c>
      <c r="E506" s="3">
        <v>200</v>
      </c>
      <c r="F506" s="3">
        <v>200</v>
      </c>
      <c r="G506" s="4">
        <v>44504</v>
      </c>
    </row>
    <row r="507" spans="1:18">
      <c r="C507" s="2" t="s">
        <v>5</v>
      </c>
      <c r="D507" s="2" t="s">
        <v>166</v>
      </c>
      <c r="E507" s="3">
        <v>112</v>
      </c>
      <c r="F507" s="3">
        <v>9</v>
      </c>
      <c r="G507" s="4">
        <v>43115</v>
      </c>
    </row>
    <row r="508" spans="1:18">
      <c r="G508" s="4"/>
    </row>
    <row r="509" spans="1:18">
      <c r="A509" s="1">
        <v>27</v>
      </c>
      <c r="B509" s="12" t="s">
        <v>1139</v>
      </c>
      <c r="C509" s="13" t="s">
        <v>984</v>
      </c>
      <c r="D509" s="13" t="s">
        <v>983</v>
      </c>
      <c r="E509" s="15"/>
      <c r="F509" s="15">
        <f>SUM(F510:F518)</f>
        <v>204.5</v>
      </c>
      <c r="G509" s="14">
        <f>G510</f>
        <v>45042</v>
      </c>
    </row>
    <row r="510" spans="1:18">
      <c r="C510" s="2" t="s">
        <v>7</v>
      </c>
      <c r="D510" s="2" t="s">
        <v>1105</v>
      </c>
      <c r="E510" s="3">
        <v>100</v>
      </c>
      <c r="F510" s="3">
        <v>5</v>
      </c>
      <c r="G510" s="4">
        <v>45042</v>
      </c>
    </row>
    <row r="511" spans="1:18">
      <c r="C511" s="2" t="s">
        <v>18</v>
      </c>
      <c r="D511" s="2" t="s">
        <v>895</v>
      </c>
      <c r="E511" s="3">
        <v>200</v>
      </c>
      <c r="F511" s="3">
        <v>20</v>
      </c>
      <c r="G511" s="4">
        <v>44377</v>
      </c>
    </row>
    <row r="512" spans="1:18">
      <c r="C512" s="2" t="s">
        <v>7</v>
      </c>
      <c r="D512" s="2" t="s">
        <v>895</v>
      </c>
      <c r="E512" s="3">
        <v>75</v>
      </c>
      <c r="F512" s="3">
        <v>20</v>
      </c>
      <c r="G512" s="4">
        <v>43783</v>
      </c>
    </row>
    <row r="513" spans="2:18">
      <c r="C513" s="2" t="s">
        <v>8</v>
      </c>
      <c r="D513" s="2" t="s">
        <v>530</v>
      </c>
      <c r="E513" s="3">
        <v>100</v>
      </c>
      <c r="F513" s="3">
        <f>50/4</f>
        <v>12.5</v>
      </c>
      <c r="G513" s="4">
        <v>44419</v>
      </c>
    </row>
    <row r="514" spans="2:18">
      <c r="C514" s="2" t="s">
        <v>18</v>
      </c>
      <c r="D514" s="2" t="s">
        <v>530</v>
      </c>
      <c r="E514" s="3">
        <v>60</v>
      </c>
      <c r="F514" s="3">
        <v>20</v>
      </c>
      <c r="G514" s="4">
        <v>43606</v>
      </c>
    </row>
    <row r="515" spans="2:18">
      <c r="C515" s="2" t="s">
        <v>9</v>
      </c>
      <c r="D515" s="2" t="s">
        <v>159</v>
      </c>
      <c r="E515" s="3">
        <v>400</v>
      </c>
      <c r="F515" s="3">
        <v>36</v>
      </c>
      <c r="G515" s="4">
        <v>44413</v>
      </c>
    </row>
    <row r="516" spans="2:18">
      <c r="C516" s="2" t="s">
        <v>8</v>
      </c>
      <c r="D516" s="2" t="s">
        <v>159</v>
      </c>
      <c r="E516" s="3">
        <v>100</v>
      </c>
      <c r="F516" s="3">
        <f>75/6</f>
        <v>12.5</v>
      </c>
      <c r="G516" s="4">
        <v>44067</v>
      </c>
    </row>
    <row r="517" spans="2:18">
      <c r="C517" s="2" t="s">
        <v>18</v>
      </c>
      <c r="D517" s="2" t="s">
        <v>159</v>
      </c>
      <c r="E517" s="3">
        <v>101</v>
      </c>
      <c r="F517" s="3">
        <v>41</v>
      </c>
      <c r="G517" s="4">
        <v>43453</v>
      </c>
    </row>
    <row r="518" spans="2:18">
      <c r="C518" s="2" t="s">
        <v>8</v>
      </c>
      <c r="D518" s="2" t="s">
        <v>59</v>
      </c>
      <c r="E518" s="3">
        <v>250</v>
      </c>
      <c r="F518" s="3">
        <f>150/4</f>
        <v>37.5</v>
      </c>
      <c r="G518" s="4">
        <v>45069</v>
      </c>
    </row>
    <row r="519" spans="2:18">
      <c r="G519" s="4"/>
    </row>
    <row r="520" spans="2:18" s="12" customFormat="1">
      <c r="B520" s="12" t="s">
        <v>634</v>
      </c>
      <c r="C520" s="13" t="s">
        <v>984</v>
      </c>
      <c r="D520" s="13" t="s">
        <v>983</v>
      </c>
      <c r="E520" s="15"/>
      <c r="F520" s="15">
        <f>SUM(F521:F522)</f>
        <v>201.5</v>
      </c>
      <c r="G520" s="14">
        <f>G521</f>
        <v>44727</v>
      </c>
    </row>
    <row r="521" spans="2:18">
      <c r="C521" s="2" t="s">
        <v>18</v>
      </c>
      <c r="D521" s="2" t="s">
        <v>633</v>
      </c>
      <c r="E521" s="3">
        <v>169</v>
      </c>
      <c r="F521" s="3">
        <v>169</v>
      </c>
      <c r="G521" s="4">
        <v>44727</v>
      </c>
      <c r="M521" s="1"/>
      <c r="N521" s="1"/>
      <c r="O521" s="1"/>
      <c r="P521" s="1"/>
      <c r="Q521" s="1"/>
      <c r="R521" s="1"/>
    </row>
    <row r="522" spans="2:18">
      <c r="C522" s="2" t="s">
        <v>18</v>
      </c>
      <c r="D522" s="2" t="s">
        <v>422</v>
      </c>
      <c r="E522" s="3">
        <v>65</v>
      </c>
      <c r="F522" s="3">
        <v>32.5</v>
      </c>
      <c r="G522" s="4">
        <v>43789</v>
      </c>
      <c r="M522" s="1"/>
      <c r="N522" s="1"/>
      <c r="O522" s="1"/>
      <c r="P522" s="1"/>
      <c r="Q522" s="1"/>
      <c r="R522" s="1"/>
    </row>
    <row r="523" spans="2:18">
      <c r="G523" s="4"/>
      <c r="M523" s="1"/>
      <c r="N523" s="1"/>
      <c r="O523" s="1"/>
      <c r="P523" s="1"/>
      <c r="Q523" s="1"/>
      <c r="R523" s="1"/>
    </row>
    <row r="524" spans="2:18">
      <c r="B524" s="12" t="s">
        <v>1137</v>
      </c>
      <c r="C524" s="13" t="s">
        <v>984</v>
      </c>
      <c r="D524" s="13" t="s">
        <v>983</v>
      </c>
      <c r="F524" s="15">
        <f>SUM(F525:F544)</f>
        <v>195.2876984126984</v>
      </c>
      <c r="G524" s="14">
        <f>G525</f>
        <v>44852</v>
      </c>
    </row>
    <row r="525" spans="2:18">
      <c r="C525" s="2" t="s">
        <v>5</v>
      </c>
      <c r="D525" s="2" t="s">
        <v>775</v>
      </c>
      <c r="E525" s="3">
        <v>125</v>
      </c>
      <c r="F525" s="3">
        <v>15</v>
      </c>
      <c r="G525" s="4">
        <v>44852</v>
      </c>
    </row>
    <row r="526" spans="2:18">
      <c r="C526" s="2" t="s">
        <v>4</v>
      </c>
      <c r="D526" s="2" t="s">
        <v>775</v>
      </c>
      <c r="E526" s="3">
        <v>6</v>
      </c>
      <c r="F526" s="3">
        <v>4</v>
      </c>
      <c r="G526" s="4">
        <v>44352</v>
      </c>
    </row>
    <row r="527" spans="2:18">
      <c r="C527" s="2" t="s">
        <v>1056</v>
      </c>
      <c r="D527" s="2" t="s">
        <v>844</v>
      </c>
      <c r="E527" s="3">
        <v>99</v>
      </c>
      <c r="F527" s="3">
        <v>20</v>
      </c>
      <c r="G527" s="4">
        <v>44796</v>
      </c>
    </row>
    <row r="528" spans="2:18">
      <c r="C528" s="2" t="s">
        <v>1136</v>
      </c>
      <c r="D528" s="2" t="s">
        <v>844</v>
      </c>
      <c r="E528" s="3">
        <v>100</v>
      </c>
      <c r="F528" s="3">
        <f>40/3</f>
        <v>13.333333333333334</v>
      </c>
      <c r="G528" s="4">
        <v>44537</v>
      </c>
    </row>
    <row r="529" spans="3:10">
      <c r="C529" s="2" t="s">
        <v>7</v>
      </c>
      <c r="D529" s="2" t="s">
        <v>844</v>
      </c>
      <c r="E529" s="3">
        <v>40</v>
      </c>
      <c r="F529" s="3">
        <v>8</v>
      </c>
      <c r="G529" s="4">
        <v>44125</v>
      </c>
    </row>
    <row r="530" spans="3:10">
      <c r="C530" s="2" t="s">
        <v>7</v>
      </c>
      <c r="D530" s="2" t="s">
        <v>999</v>
      </c>
      <c r="E530" s="3">
        <v>38</v>
      </c>
      <c r="F530" s="3">
        <f>20/3</f>
        <v>6.666666666666667</v>
      </c>
      <c r="G530" s="4">
        <v>44812</v>
      </c>
    </row>
    <row r="531" spans="3:10">
      <c r="C531" s="2" t="s">
        <v>5</v>
      </c>
      <c r="D531" s="2" t="s">
        <v>999</v>
      </c>
      <c r="E531" s="3">
        <v>19</v>
      </c>
      <c r="F531" s="3">
        <v>3.5</v>
      </c>
      <c r="G531" s="4">
        <v>44467</v>
      </c>
    </row>
    <row r="532" spans="3:10">
      <c r="C532" s="2" t="s">
        <v>4</v>
      </c>
      <c r="D532" s="2" t="s">
        <v>999</v>
      </c>
      <c r="E532" s="3">
        <v>4</v>
      </c>
      <c r="F532" s="3">
        <v>2</v>
      </c>
      <c r="G532" s="4">
        <v>43873</v>
      </c>
    </row>
    <row r="533" spans="3:10">
      <c r="C533" s="2" t="s">
        <v>4</v>
      </c>
      <c r="D533" s="2" t="s">
        <v>265</v>
      </c>
      <c r="E533" s="3">
        <v>3.5</v>
      </c>
      <c r="F533" s="3">
        <f>+E533/9</f>
        <v>0.3888888888888889</v>
      </c>
      <c r="G533" s="4">
        <v>42979</v>
      </c>
    </row>
    <row r="534" spans="3:10">
      <c r="C534" s="2" t="s">
        <v>4</v>
      </c>
      <c r="D534" s="2" t="s">
        <v>89</v>
      </c>
      <c r="E534" s="3">
        <v>4</v>
      </c>
      <c r="F534" s="3">
        <f>2.5/4</f>
        <v>0.625</v>
      </c>
      <c r="G534" s="4">
        <v>43122</v>
      </c>
    </row>
    <row r="535" spans="3:10">
      <c r="C535" s="2" t="s">
        <v>8</v>
      </c>
      <c r="D535" s="2" t="s">
        <v>247</v>
      </c>
      <c r="E535" s="3">
        <v>81</v>
      </c>
      <c r="F535" s="3">
        <f>E535/6</f>
        <v>13.5</v>
      </c>
      <c r="G535" s="4">
        <v>43418</v>
      </c>
      <c r="I535" s="1">
        <v>1700</v>
      </c>
      <c r="J535" s="1">
        <v>3800</v>
      </c>
    </row>
    <row r="536" spans="3:10">
      <c r="C536" s="2" t="s">
        <v>18</v>
      </c>
      <c r="D536" s="2" t="s">
        <v>247</v>
      </c>
      <c r="E536" s="3">
        <v>60</v>
      </c>
      <c r="F536" s="3">
        <f>+E536/5</f>
        <v>12</v>
      </c>
      <c r="G536" s="4">
        <v>42736</v>
      </c>
      <c r="I536" s="1">
        <v>800</v>
      </c>
      <c r="J536" s="1">
        <v>3800</v>
      </c>
    </row>
    <row r="537" spans="3:10">
      <c r="C537" s="2" t="s">
        <v>9</v>
      </c>
      <c r="D537" s="2" t="s">
        <v>23</v>
      </c>
      <c r="E537" s="3">
        <v>222</v>
      </c>
      <c r="F537" s="3">
        <f>200/21</f>
        <v>9.5238095238095237</v>
      </c>
      <c r="G537" s="4">
        <v>44194</v>
      </c>
      <c r="I537" s="1">
        <v>2500</v>
      </c>
      <c r="J537" s="1">
        <v>2500</v>
      </c>
    </row>
    <row r="538" spans="3:10">
      <c r="C538" s="2" t="s">
        <v>8</v>
      </c>
      <c r="D538" s="2" t="s">
        <v>23</v>
      </c>
      <c r="E538" s="3">
        <v>200</v>
      </c>
      <c r="F538" s="3">
        <v>13</v>
      </c>
      <c r="G538" s="4">
        <v>43452</v>
      </c>
      <c r="I538" s="1">
        <v>1500</v>
      </c>
      <c r="J538" s="1">
        <v>2500</v>
      </c>
    </row>
    <row r="539" spans="3:10">
      <c r="C539" s="2" t="s">
        <v>18</v>
      </c>
      <c r="D539" s="2" t="s">
        <v>23</v>
      </c>
      <c r="E539" s="3">
        <v>50</v>
      </c>
      <c r="F539" s="3">
        <v>5</v>
      </c>
      <c r="G539" s="4">
        <v>43051</v>
      </c>
      <c r="J539" s="1">
        <v>2500</v>
      </c>
    </row>
    <row r="540" spans="3:10">
      <c r="C540" s="2" t="s">
        <v>7</v>
      </c>
      <c r="D540" s="2" t="s">
        <v>23</v>
      </c>
      <c r="E540" s="3">
        <v>30</v>
      </c>
      <c r="F540" s="3">
        <v>3</v>
      </c>
      <c r="G540" s="4">
        <v>42936</v>
      </c>
      <c r="J540" s="1">
        <v>2500</v>
      </c>
    </row>
    <row r="541" spans="3:10">
      <c r="C541" s="2" t="s">
        <v>9</v>
      </c>
      <c r="D541" s="2" t="s">
        <v>54</v>
      </c>
      <c r="E541" s="3">
        <v>220</v>
      </c>
      <c r="F541" s="3">
        <v>28</v>
      </c>
      <c r="G541" s="4">
        <v>44357</v>
      </c>
      <c r="I541" s="1">
        <v>1900</v>
      </c>
      <c r="J541" s="1">
        <v>1900</v>
      </c>
    </row>
    <row r="542" spans="3:10">
      <c r="C542" s="2" t="s">
        <v>8</v>
      </c>
      <c r="D542" s="2" t="s">
        <v>54</v>
      </c>
      <c r="E542" s="3">
        <v>125</v>
      </c>
      <c r="F542" s="3">
        <v>18.75</v>
      </c>
      <c r="G542" s="4">
        <v>44131</v>
      </c>
      <c r="I542" s="1">
        <v>875</v>
      </c>
      <c r="J542" s="1">
        <v>1900</v>
      </c>
    </row>
    <row r="543" spans="3:10">
      <c r="C543" s="2" t="s">
        <v>18</v>
      </c>
      <c r="D543" s="2" t="s">
        <v>54</v>
      </c>
      <c r="E543" s="3">
        <v>28</v>
      </c>
      <c r="F543" s="3">
        <v>7</v>
      </c>
      <c r="G543" s="4">
        <v>43579</v>
      </c>
      <c r="J543" s="1">
        <v>1900</v>
      </c>
    </row>
    <row r="544" spans="3:10">
      <c r="C544" s="2" t="s">
        <v>7</v>
      </c>
      <c r="D544" s="2" t="s">
        <v>54</v>
      </c>
      <c r="E544" s="3">
        <v>18</v>
      </c>
      <c r="F544" s="3">
        <v>12</v>
      </c>
      <c r="G544" s="4">
        <v>43207</v>
      </c>
    </row>
    <row r="545" spans="1:18">
      <c r="G545" s="4"/>
    </row>
    <row r="546" spans="1:18" s="12" customFormat="1">
      <c r="A546" s="12">
        <v>29</v>
      </c>
      <c r="B546" s="12" t="s">
        <v>1135</v>
      </c>
      <c r="C546" s="13" t="s">
        <v>984</v>
      </c>
      <c r="D546" s="13" t="s">
        <v>983</v>
      </c>
      <c r="E546" s="15"/>
      <c r="F546" s="15">
        <f>SUM(F547:F558)</f>
        <v>191.96055555555554</v>
      </c>
      <c r="G546" s="14">
        <f>G550</f>
        <v>44274</v>
      </c>
      <c r="M546" s="13"/>
      <c r="N546" s="13"/>
      <c r="O546" s="13"/>
      <c r="P546" s="13"/>
      <c r="Q546" s="13"/>
      <c r="R546" s="13"/>
    </row>
    <row r="547" spans="1:18">
      <c r="C547" s="2" t="s">
        <v>18</v>
      </c>
      <c r="D547" s="2" t="s">
        <v>299</v>
      </c>
      <c r="E547" s="3">
        <v>38</v>
      </c>
      <c r="F547" s="3">
        <f>20/6</f>
        <v>3.3333333333333335</v>
      </c>
      <c r="G547" s="4">
        <v>43104</v>
      </c>
    </row>
    <row r="548" spans="1:18">
      <c r="C548" s="2" t="s">
        <v>7</v>
      </c>
      <c r="D548" s="2" t="s">
        <v>299</v>
      </c>
      <c r="E548" s="3">
        <v>6.9</v>
      </c>
      <c r="F548" s="3">
        <f>E548/5</f>
        <v>1.3800000000000001</v>
      </c>
      <c r="G548" s="4">
        <v>42458</v>
      </c>
    </row>
    <row r="549" spans="1:18">
      <c r="C549" s="2" t="s">
        <v>5</v>
      </c>
      <c r="D549" s="2" t="s">
        <v>299</v>
      </c>
      <c r="E549" s="3">
        <v>2.7</v>
      </c>
      <c r="F549" s="3">
        <f>1.7/4</f>
        <v>0.42499999999999999</v>
      </c>
      <c r="G549" s="4">
        <v>42139</v>
      </c>
    </row>
    <row r="550" spans="1:18">
      <c r="C550" s="2" t="s">
        <v>18</v>
      </c>
      <c r="D550" s="2" t="s">
        <v>203</v>
      </c>
      <c r="E550" s="3">
        <v>500</v>
      </c>
      <c r="F550" s="3">
        <v>100</v>
      </c>
      <c r="G550" s="4">
        <v>44274</v>
      </c>
    </row>
    <row r="551" spans="1:18">
      <c r="C551" s="2" t="s">
        <v>18</v>
      </c>
      <c r="D551" s="2" t="s">
        <v>203</v>
      </c>
      <c r="E551" s="3">
        <v>500</v>
      </c>
      <c r="F551" s="3">
        <f>200/9</f>
        <v>22.222222222222221</v>
      </c>
      <c r="G551" s="4">
        <v>44274</v>
      </c>
    </row>
    <row r="552" spans="1:18">
      <c r="C552" s="2" t="s">
        <v>7</v>
      </c>
      <c r="D552" s="2" t="s">
        <v>197</v>
      </c>
      <c r="E552" s="3">
        <v>43</v>
      </c>
      <c r="F552" s="3">
        <f>E552/5</f>
        <v>8.6</v>
      </c>
      <c r="G552" s="4">
        <v>44077</v>
      </c>
    </row>
    <row r="553" spans="1:18">
      <c r="C553" s="2" t="s">
        <v>5</v>
      </c>
      <c r="D553" s="2" t="s">
        <v>197</v>
      </c>
      <c r="E553" s="3">
        <v>28</v>
      </c>
      <c r="F553" s="3">
        <v>20</v>
      </c>
      <c r="G553" s="4">
        <v>43271</v>
      </c>
    </row>
    <row r="554" spans="1:18">
      <c r="C554" s="2" t="s">
        <v>9</v>
      </c>
      <c r="D554" s="2" t="s">
        <v>23</v>
      </c>
      <c r="E554" s="3">
        <v>222</v>
      </c>
      <c r="F554" s="3">
        <v>10</v>
      </c>
      <c r="G554" s="4">
        <v>44194</v>
      </c>
      <c r="I554" s="1">
        <v>2500</v>
      </c>
      <c r="J554" s="1">
        <v>2500</v>
      </c>
    </row>
    <row r="555" spans="1:18">
      <c r="C555" s="2" t="s">
        <v>8</v>
      </c>
      <c r="D555" s="2" t="s">
        <v>23</v>
      </c>
      <c r="E555" s="3">
        <v>200</v>
      </c>
      <c r="F555" s="3">
        <v>13</v>
      </c>
      <c r="G555" s="4">
        <v>43452</v>
      </c>
      <c r="I555" s="1">
        <v>1500</v>
      </c>
      <c r="J555" s="1">
        <v>2500</v>
      </c>
    </row>
    <row r="556" spans="1:18">
      <c r="C556" s="2" t="s">
        <v>18</v>
      </c>
      <c r="D556" s="2" t="s">
        <v>23</v>
      </c>
      <c r="E556" s="3">
        <v>50</v>
      </c>
      <c r="F556" s="3">
        <v>5</v>
      </c>
      <c r="G556" s="4">
        <v>43051</v>
      </c>
      <c r="J556" s="1">
        <v>2500</v>
      </c>
    </row>
    <row r="557" spans="1:18">
      <c r="C557" s="2" t="s">
        <v>7</v>
      </c>
      <c r="D557" s="2" t="s">
        <v>23</v>
      </c>
      <c r="E557" s="3">
        <v>30</v>
      </c>
      <c r="F557" s="3">
        <v>3</v>
      </c>
      <c r="G557" s="4">
        <v>42936</v>
      </c>
      <c r="J557" s="1">
        <v>2500</v>
      </c>
    </row>
    <row r="558" spans="1:18">
      <c r="C558" s="2" t="s">
        <v>5</v>
      </c>
      <c r="D558" s="2" t="s">
        <v>23</v>
      </c>
      <c r="E558" s="3">
        <v>30</v>
      </c>
      <c r="F558" s="3">
        <v>5</v>
      </c>
      <c r="G558" s="4">
        <v>42674</v>
      </c>
      <c r="J558" s="1">
        <v>2500</v>
      </c>
    </row>
    <row r="559" spans="1:18">
      <c r="G559" s="4"/>
    </row>
    <row r="560" spans="1:18" s="12" customFormat="1">
      <c r="A560" s="12">
        <v>30</v>
      </c>
      <c r="B560" s="12" t="s">
        <v>1134</v>
      </c>
      <c r="C560" s="13" t="s">
        <v>984</v>
      </c>
      <c r="D560" s="13" t="s">
        <v>983</v>
      </c>
      <c r="E560" s="15"/>
      <c r="F560" s="15">
        <f>SUM(F561:F580)</f>
        <v>190.08571428571432</v>
      </c>
      <c r="G560" s="14">
        <f>G568</f>
        <v>45090</v>
      </c>
      <c r="M560" s="13"/>
      <c r="N560" s="13"/>
      <c r="O560" s="13"/>
      <c r="P560" s="13"/>
      <c r="Q560" s="13"/>
      <c r="R560" s="13"/>
    </row>
    <row r="561" spans="3:10">
      <c r="C561" s="2" t="s">
        <v>18</v>
      </c>
      <c r="D561" s="2" t="s">
        <v>815</v>
      </c>
      <c r="E561" s="3">
        <v>100</v>
      </c>
      <c r="F561" s="3">
        <v>13</v>
      </c>
      <c r="G561" s="4">
        <v>43682</v>
      </c>
    </row>
    <row r="562" spans="3:10">
      <c r="C562" s="2" t="s">
        <v>7</v>
      </c>
      <c r="D562" s="2" t="s">
        <v>815</v>
      </c>
      <c r="E562" s="3">
        <v>18</v>
      </c>
      <c r="F562" s="3">
        <v>3</v>
      </c>
      <c r="G562" s="4">
        <v>43319</v>
      </c>
    </row>
    <row r="563" spans="3:10">
      <c r="C563" s="2" t="s">
        <v>5</v>
      </c>
      <c r="D563" s="2" t="s">
        <v>815</v>
      </c>
      <c r="E563" s="3">
        <v>4.5</v>
      </c>
      <c r="F563" s="3">
        <f>E563/3</f>
        <v>1.5</v>
      </c>
      <c r="G563" s="4">
        <v>42878</v>
      </c>
    </row>
    <row r="564" spans="3:10">
      <c r="C564" s="2" t="s">
        <v>4</v>
      </c>
      <c r="D564" s="2" t="s">
        <v>889</v>
      </c>
      <c r="E564" s="3">
        <v>3.3</v>
      </c>
      <c r="F564" s="3">
        <v>0.5</v>
      </c>
      <c r="G564" s="4">
        <v>44026</v>
      </c>
    </row>
    <row r="565" spans="3:10">
      <c r="C565" s="2" t="s">
        <v>5</v>
      </c>
      <c r="D565" s="2" t="s">
        <v>492</v>
      </c>
      <c r="E565" s="3">
        <v>13</v>
      </c>
      <c r="F565" s="3">
        <v>1.4</v>
      </c>
      <c r="G565" s="4">
        <v>44516</v>
      </c>
    </row>
    <row r="566" spans="3:10">
      <c r="C566" s="2" t="s">
        <v>7</v>
      </c>
      <c r="D566" s="2" t="s">
        <v>454</v>
      </c>
      <c r="E566" s="3">
        <v>30</v>
      </c>
      <c r="F566" s="3">
        <v>5</v>
      </c>
      <c r="G566" s="4">
        <v>44756</v>
      </c>
    </row>
    <row r="567" spans="3:10">
      <c r="C567" s="2" t="s">
        <v>5</v>
      </c>
      <c r="D567" s="2" t="s">
        <v>454</v>
      </c>
      <c r="E567" s="3">
        <v>28</v>
      </c>
      <c r="F567" s="3">
        <v>13</v>
      </c>
      <c r="G567" s="4">
        <v>44624</v>
      </c>
    </row>
    <row r="568" spans="3:10">
      <c r="C568" s="2" t="s">
        <v>18</v>
      </c>
      <c r="D568" s="2" t="s">
        <v>411</v>
      </c>
      <c r="E568" s="3">
        <v>90</v>
      </c>
      <c r="F568" s="3">
        <v>30</v>
      </c>
      <c r="G568" s="4">
        <v>45090</v>
      </c>
    </row>
    <row r="569" spans="3:10">
      <c r="C569" s="2" t="s">
        <v>18</v>
      </c>
      <c r="D569" s="2" t="s">
        <v>381</v>
      </c>
      <c r="E569" s="3">
        <v>130</v>
      </c>
      <c r="F569" s="3">
        <f>100/7</f>
        <v>14.285714285714286</v>
      </c>
      <c r="G569" s="4">
        <v>44323</v>
      </c>
    </row>
    <row r="570" spans="3:10">
      <c r="C570" s="2" t="s">
        <v>7</v>
      </c>
      <c r="D570" s="2" t="s">
        <v>381</v>
      </c>
      <c r="E570" s="3">
        <v>44</v>
      </c>
      <c r="F570" s="3">
        <v>14</v>
      </c>
      <c r="G570" s="4">
        <v>43909</v>
      </c>
    </row>
    <row r="571" spans="3:10">
      <c r="C571" s="2" t="s">
        <v>5</v>
      </c>
      <c r="D571" s="2" t="s">
        <v>153</v>
      </c>
      <c r="E571" s="3">
        <v>3</v>
      </c>
      <c r="F571" s="6" t="s">
        <v>1067</v>
      </c>
      <c r="G571" s="4">
        <v>41879</v>
      </c>
      <c r="I571" s="1">
        <v>11</v>
      </c>
    </row>
    <row r="572" spans="3:10">
      <c r="C572" s="2" t="s">
        <v>7</v>
      </c>
      <c r="D572" s="2" t="s">
        <v>41</v>
      </c>
      <c r="E572" s="3">
        <v>42</v>
      </c>
      <c r="F572" s="6">
        <v>7</v>
      </c>
      <c r="G572" s="4">
        <v>43144</v>
      </c>
      <c r="J572" s="1">
        <v>2000</v>
      </c>
    </row>
    <row r="573" spans="3:10">
      <c r="C573" s="2" t="s">
        <v>5</v>
      </c>
      <c r="D573" s="2" t="s">
        <v>41</v>
      </c>
      <c r="E573" s="3">
        <v>25</v>
      </c>
      <c r="F573" s="6">
        <v>5</v>
      </c>
      <c r="G573" s="4">
        <v>42374</v>
      </c>
      <c r="J573" s="1">
        <v>2000</v>
      </c>
    </row>
    <row r="574" spans="3:10">
      <c r="C574" s="2" t="s">
        <v>4</v>
      </c>
      <c r="D574" s="2" t="s">
        <v>41</v>
      </c>
      <c r="E574" s="3">
        <v>3</v>
      </c>
      <c r="F574" s="6">
        <v>1</v>
      </c>
      <c r="G574" s="4">
        <v>42019</v>
      </c>
      <c r="J574" s="1">
        <v>2000</v>
      </c>
    </row>
    <row r="575" spans="3:10">
      <c r="C575" s="2" t="s">
        <v>8</v>
      </c>
      <c r="D575" s="2" t="s">
        <v>15</v>
      </c>
      <c r="E575" s="3">
        <v>220</v>
      </c>
      <c r="F575" s="6">
        <v>30</v>
      </c>
      <c r="G575" s="4">
        <v>44502</v>
      </c>
      <c r="I575" s="1">
        <v>794</v>
      </c>
      <c r="J575" s="1">
        <v>794</v>
      </c>
    </row>
    <row r="576" spans="3:10">
      <c r="C576" s="2" t="s">
        <v>8</v>
      </c>
      <c r="D576" s="2" t="s">
        <v>15</v>
      </c>
      <c r="E576" s="3">
        <v>220</v>
      </c>
      <c r="F576" s="6">
        <v>27</v>
      </c>
      <c r="G576" s="4">
        <v>44322</v>
      </c>
      <c r="I576" s="1">
        <v>780</v>
      </c>
      <c r="J576" s="1">
        <v>780</v>
      </c>
    </row>
    <row r="577" spans="2:18">
      <c r="C577" s="2" t="s">
        <v>18</v>
      </c>
      <c r="D577" s="2" t="s">
        <v>15</v>
      </c>
      <c r="E577" s="3">
        <v>60</v>
      </c>
      <c r="F577" s="6">
        <v>10</v>
      </c>
      <c r="G577" s="4">
        <v>43528</v>
      </c>
    </row>
    <row r="578" spans="2:18">
      <c r="C578" s="2" t="s">
        <v>7</v>
      </c>
      <c r="D578" s="2" t="s">
        <v>15</v>
      </c>
      <c r="E578" s="3">
        <v>28</v>
      </c>
      <c r="F578" s="6">
        <v>10</v>
      </c>
      <c r="G578" s="4">
        <v>43031</v>
      </c>
    </row>
    <row r="579" spans="2:18">
      <c r="C579" s="2" t="s">
        <v>5</v>
      </c>
      <c r="D579" s="2" t="s">
        <v>15</v>
      </c>
      <c r="E579" s="3">
        <v>10</v>
      </c>
      <c r="F579" s="6">
        <v>4</v>
      </c>
      <c r="G579" s="4">
        <v>42508</v>
      </c>
    </row>
    <row r="580" spans="2:18">
      <c r="C580" s="2" t="s">
        <v>4</v>
      </c>
      <c r="D580" s="2" t="s">
        <v>15</v>
      </c>
      <c r="E580" s="3">
        <v>1.8</v>
      </c>
      <c r="F580" s="6">
        <v>0.4</v>
      </c>
      <c r="G580" s="4">
        <v>41976</v>
      </c>
    </row>
    <row r="581" spans="2:18">
      <c r="G581" s="4"/>
    </row>
    <row r="582" spans="2:18" s="12" customFormat="1">
      <c r="B582" s="12" t="s">
        <v>262</v>
      </c>
      <c r="C582" s="13" t="s">
        <v>984</v>
      </c>
      <c r="D582" s="13" t="s">
        <v>983</v>
      </c>
      <c r="E582" s="15"/>
      <c r="F582" s="15">
        <f>SUM(F583:F587)</f>
        <v>177.16666666666666</v>
      </c>
      <c r="G582" s="14">
        <f>G587</f>
        <v>44578</v>
      </c>
      <c r="M582" s="13"/>
      <c r="N582" s="13"/>
      <c r="O582" s="13"/>
      <c r="P582" s="13"/>
      <c r="Q582" s="13"/>
      <c r="R582" s="13"/>
    </row>
    <row r="583" spans="2:18">
      <c r="C583" s="2" t="s">
        <v>8</v>
      </c>
      <c r="D583" s="2" t="s">
        <v>260</v>
      </c>
      <c r="E583" s="3">
        <v>600</v>
      </c>
      <c r="F583" s="3">
        <f>500/8</f>
        <v>62.5</v>
      </c>
      <c r="G583" s="4">
        <v>44502</v>
      </c>
    </row>
    <row r="584" spans="2:18">
      <c r="C584" s="2" t="s">
        <v>18</v>
      </c>
      <c r="D584" s="2" t="s">
        <v>260</v>
      </c>
      <c r="E584" s="3">
        <v>500</v>
      </c>
      <c r="F584" s="3">
        <v>75</v>
      </c>
      <c r="G584" s="4">
        <v>44144</v>
      </c>
    </row>
    <row r="585" spans="2:18">
      <c r="C585" s="2" t="s">
        <v>9</v>
      </c>
      <c r="D585" s="2" t="s">
        <v>23</v>
      </c>
      <c r="E585" s="3">
        <v>222</v>
      </c>
      <c r="F585" s="3">
        <v>10</v>
      </c>
      <c r="G585" s="4">
        <v>44194</v>
      </c>
      <c r="I585" s="1">
        <v>2500</v>
      </c>
      <c r="J585" s="1">
        <v>2500</v>
      </c>
    </row>
    <row r="586" spans="2:18">
      <c r="C586" s="2" t="s">
        <v>8</v>
      </c>
      <c r="D586" s="2" t="s">
        <v>23</v>
      </c>
      <c r="E586" s="3">
        <v>150</v>
      </c>
      <c r="F586" s="3">
        <v>16.666666666666668</v>
      </c>
      <c r="G586" s="4">
        <v>43885</v>
      </c>
      <c r="I586" s="1">
        <v>1800</v>
      </c>
      <c r="J586" s="1">
        <v>2500</v>
      </c>
    </row>
    <row r="587" spans="2:18">
      <c r="C587" s="2" t="s">
        <v>7</v>
      </c>
      <c r="D587" s="2" t="s">
        <v>2170</v>
      </c>
      <c r="E587" s="3">
        <v>176</v>
      </c>
      <c r="F587" s="3">
        <v>13</v>
      </c>
      <c r="G587" s="4">
        <v>44578</v>
      </c>
    </row>
    <row r="588" spans="2:18">
      <c r="G588" s="4"/>
    </row>
    <row r="589" spans="2:18" s="12" customFormat="1">
      <c r="B589" s="12" t="s">
        <v>1133</v>
      </c>
      <c r="C589" s="13" t="s">
        <v>984</v>
      </c>
      <c r="D589" s="13" t="s">
        <v>983</v>
      </c>
      <c r="E589" s="15"/>
      <c r="F589" s="15">
        <f>SUM(F590:F593)</f>
        <v>175</v>
      </c>
      <c r="G589" s="14">
        <f>G590</f>
        <v>44608</v>
      </c>
      <c r="K589" s="12">
        <v>2014</v>
      </c>
    </row>
    <row r="590" spans="2:18">
      <c r="C590" s="2" t="s">
        <v>9</v>
      </c>
      <c r="D590" s="2" t="s">
        <v>393</v>
      </c>
      <c r="E590" s="3">
        <v>400</v>
      </c>
      <c r="F590" s="3">
        <v>100</v>
      </c>
      <c r="G590" s="4">
        <v>44608</v>
      </c>
      <c r="M590" s="1"/>
      <c r="N590" s="1"/>
      <c r="O590" s="1"/>
      <c r="P590" s="1"/>
      <c r="Q590" s="1"/>
      <c r="R590" s="1"/>
    </row>
    <row r="591" spans="2:18">
      <c r="C591" s="2" t="s">
        <v>8</v>
      </c>
      <c r="D591" s="2" t="s">
        <v>393</v>
      </c>
      <c r="E591" s="3">
        <v>140</v>
      </c>
      <c r="F591" s="3">
        <v>10</v>
      </c>
      <c r="G591" s="4">
        <v>44286</v>
      </c>
      <c r="M591" s="1"/>
      <c r="N591" s="1"/>
      <c r="O591" s="1"/>
      <c r="P591" s="1"/>
      <c r="Q591" s="1"/>
      <c r="R591" s="1"/>
    </row>
    <row r="592" spans="2:18">
      <c r="C592" s="2" t="s">
        <v>18</v>
      </c>
      <c r="D592" s="2" t="s">
        <v>393</v>
      </c>
      <c r="E592" s="3">
        <v>110</v>
      </c>
      <c r="F592" s="3">
        <v>40</v>
      </c>
      <c r="G592" s="4">
        <v>43690</v>
      </c>
      <c r="M592" s="1"/>
      <c r="N592" s="1"/>
      <c r="O592" s="1"/>
      <c r="P592" s="1"/>
      <c r="Q592" s="1"/>
      <c r="R592" s="1"/>
    </row>
    <row r="593" spans="2:18">
      <c r="C593" s="2" t="s">
        <v>55</v>
      </c>
      <c r="D593" s="2" t="s">
        <v>49</v>
      </c>
      <c r="E593" s="3">
        <v>100</v>
      </c>
      <c r="F593" s="3">
        <v>25</v>
      </c>
      <c r="G593" s="4">
        <v>44515</v>
      </c>
      <c r="I593" s="1">
        <v>4100</v>
      </c>
      <c r="J593" s="1">
        <v>4100</v>
      </c>
      <c r="M593" s="1"/>
      <c r="N593" s="1"/>
      <c r="O593" s="1"/>
      <c r="P593" s="1"/>
      <c r="Q593" s="1"/>
      <c r="R593" s="1"/>
    </row>
    <row r="594" spans="2:18">
      <c r="G594" s="4"/>
      <c r="M594" s="1"/>
      <c r="N594" s="1"/>
      <c r="O594" s="1"/>
      <c r="P594" s="1"/>
      <c r="Q594" s="1"/>
      <c r="R594" s="1"/>
    </row>
    <row r="595" spans="2:18">
      <c r="B595" s="12" t="s">
        <v>1115</v>
      </c>
      <c r="C595" s="13" t="s">
        <v>984</v>
      </c>
      <c r="D595" s="13" t="s">
        <v>983</v>
      </c>
      <c r="F595" s="15">
        <f>SUM(F596:F619)</f>
        <v>172.33531746031747</v>
      </c>
      <c r="G595" s="14">
        <f>+G599</f>
        <v>44900</v>
      </c>
    </row>
    <row r="596" spans="2:18">
      <c r="C596" s="2" t="s">
        <v>18</v>
      </c>
      <c r="D596" s="2" t="s">
        <v>939</v>
      </c>
      <c r="E596" s="3">
        <v>100</v>
      </c>
      <c r="F596" s="3">
        <v>20</v>
      </c>
      <c r="G596" s="4">
        <v>44690</v>
      </c>
    </row>
    <row r="597" spans="2:18">
      <c r="C597" s="2" t="s">
        <v>7</v>
      </c>
      <c r="D597" s="2" t="s">
        <v>939</v>
      </c>
      <c r="E597" s="3">
        <v>40</v>
      </c>
      <c r="F597" s="3">
        <v>20</v>
      </c>
      <c r="G597" s="4">
        <v>44327</v>
      </c>
    </row>
    <row r="598" spans="2:18">
      <c r="C598" s="2" t="s">
        <v>5</v>
      </c>
      <c r="D598" s="2" t="s">
        <v>939</v>
      </c>
      <c r="E598" s="3">
        <v>15</v>
      </c>
      <c r="F598" s="3">
        <v>5</v>
      </c>
      <c r="G598" s="4">
        <v>43816</v>
      </c>
    </row>
    <row r="599" spans="2:18">
      <c r="C599" s="2" t="s">
        <v>18</v>
      </c>
      <c r="D599" s="2" t="s">
        <v>972</v>
      </c>
      <c r="E599" s="3">
        <v>50</v>
      </c>
      <c r="F599" s="3">
        <v>6</v>
      </c>
      <c r="G599" s="4">
        <v>44900</v>
      </c>
    </row>
    <row r="600" spans="2:18">
      <c r="C600" s="2" t="s">
        <v>7</v>
      </c>
      <c r="D600" s="2" t="s">
        <v>972</v>
      </c>
      <c r="E600" s="3">
        <v>35</v>
      </c>
      <c r="F600" s="3">
        <v>5</v>
      </c>
      <c r="G600" s="4">
        <v>44543</v>
      </c>
    </row>
    <row r="601" spans="2:18">
      <c r="C601" s="2" t="s">
        <v>5</v>
      </c>
      <c r="D601" s="2" t="s">
        <v>972</v>
      </c>
      <c r="E601" s="3">
        <v>8.5</v>
      </c>
      <c r="F601" s="3">
        <v>1</v>
      </c>
      <c r="G601" s="4">
        <v>44181</v>
      </c>
    </row>
    <row r="602" spans="2:18">
      <c r="C602" s="2" t="s">
        <v>4</v>
      </c>
      <c r="D602" s="2" t="s">
        <v>972</v>
      </c>
      <c r="E602" s="3">
        <v>2</v>
      </c>
      <c r="F602" s="3">
        <v>2</v>
      </c>
      <c r="G602" s="4">
        <v>43435</v>
      </c>
    </row>
    <row r="603" spans="2:18">
      <c r="C603" s="2" t="s">
        <v>5</v>
      </c>
      <c r="D603" s="2" t="s">
        <v>1021</v>
      </c>
      <c r="E603" s="3">
        <v>20</v>
      </c>
      <c r="F603" s="3">
        <v>4</v>
      </c>
      <c r="G603" s="4">
        <v>43949</v>
      </c>
    </row>
    <row r="604" spans="2:18">
      <c r="C604" s="2" t="s">
        <v>4</v>
      </c>
      <c r="D604" s="2" t="s">
        <v>1021</v>
      </c>
      <c r="E604" s="3">
        <v>5</v>
      </c>
      <c r="F604" s="3">
        <v>1</v>
      </c>
      <c r="G604" s="4">
        <v>43438</v>
      </c>
    </row>
    <row r="605" spans="2:18">
      <c r="C605" s="2" t="s">
        <v>4</v>
      </c>
      <c r="D605" s="2" t="s">
        <v>432</v>
      </c>
      <c r="E605" s="3">
        <v>7</v>
      </c>
      <c r="F605" s="3">
        <v>0.7142857142857143</v>
      </c>
      <c r="G605" s="4">
        <v>43046</v>
      </c>
    </row>
    <row r="606" spans="2:18">
      <c r="C606" s="2" t="s">
        <v>7</v>
      </c>
      <c r="D606" s="2" t="s">
        <v>535</v>
      </c>
      <c r="E606" s="3">
        <v>32</v>
      </c>
      <c r="F606" s="3">
        <f>20/7</f>
        <v>2.8571428571428572</v>
      </c>
      <c r="G606" s="4">
        <v>44364</v>
      </c>
    </row>
    <row r="607" spans="2:18">
      <c r="C607" s="2" t="s">
        <v>7</v>
      </c>
      <c r="D607" s="2" t="s">
        <v>535</v>
      </c>
      <c r="E607" s="3">
        <v>10.199999999999999</v>
      </c>
      <c r="F607" s="3">
        <v>3</v>
      </c>
      <c r="G607" s="4">
        <v>43732</v>
      </c>
    </row>
    <row r="608" spans="2:18">
      <c r="C608" s="2" t="s">
        <v>18</v>
      </c>
      <c r="D608" s="2" t="s">
        <v>317</v>
      </c>
      <c r="E608" s="3">
        <v>110</v>
      </c>
      <c r="F608" s="3">
        <f>70/5</f>
        <v>14</v>
      </c>
      <c r="G608" s="4">
        <v>44369</v>
      </c>
    </row>
    <row r="609" spans="2:18">
      <c r="C609" s="2" t="s">
        <v>7</v>
      </c>
      <c r="D609" s="2" t="s">
        <v>317</v>
      </c>
      <c r="E609" s="3">
        <v>40</v>
      </c>
      <c r="F609" s="3">
        <v>8</v>
      </c>
      <c r="G609" s="4">
        <v>43419</v>
      </c>
    </row>
    <row r="610" spans="2:18">
      <c r="C610" s="2" t="s">
        <v>5</v>
      </c>
      <c r="D610" s="2" t="s">
        <v>317</v>
      </c>
      <c r="E610" s="3">
        <v>14.7</v>
      </c>
      <c r="F610" s="3">
        <v>2.25</v>
      </c>
      <c r="G610" s="4">
        <v>43032</v>
      </c>
    </row>
    <row r="611" spans="2:18">
      <c r="C611" s="2" t="s">
        <v>8</v>
      </c>
      <c r="D611" s="2" t="s">
        <v>265</v>
      </c>
      <c r="E611" s="3">
        <v>111</v>
      </c>
      <c r="F611" s="3">
        <v>7</v>
      </c>
      <c r="G611" s="4">
        <v>44622</v>
      </c>
    </row>
    <row r="612" spans="2:18">
      <c r="C612" s="2" t="s">
        <v>18</v>
      </c>
      <c r="D612" s="2" t="s">
        <v>265</v>
      </c>
      <c r="E612" s="3">
        <v>55</v>
      </c>
      <c r="F612" s="3">
        <v>6</v>
      </c>
      <c r="G612" s="4">
        <v>44314</v>
      </c>
    </row>
    <row r="613" spans="2:18">
      <c r="C613" s="2" t="s">
        <v>7</v>
      </c>
      <c r="D613" s="2" t="s">
        <v>265</v>
      </c>
      <c r="E613" s="3">
        <v>16</v>
      </c>
      <c r="F613" s="3">
        <v>2</v>
      </c>
      <c r="G613" s="4">
        <v>44009</v>
      </c>
    </row>
    <row r="614" spans="2:18">
      <c r="C614" s="2" t="s">
        <v>5</v>
      </c>
      <c r="D614" s="2" t="s">
        <v>265</v>
      </c>
      <c r="E614" s="3">
        <v>14</v>
      </c>
      <c r="F614" s="3">
        <v>4</v>
      </c>
      <c r="G614" s="4">
        <v>43690</v>
      </c>
    </row>
    <row r="615" spans="2:18">
      <c r="C615" s="2" t="s">
        <v>4</v>
      </c>
      <c r="D615" s="2" t="s">
        <v>265</v>
      </c>
      <c r="E615" s="3">
        <v>3.5</v>
      </c>
      <c r="F615" s="3">
        <f>+E615/9</f>
        <v>0.3888888888888889</v>
      </c>
      <c r="G615" s="4">
        <v>42979</v>
      </c>
    </row>
    <row r="616" spans="2:18">
      <c r="C616" s="86" t="s">
        <v>8</v>
      </c>
      <c r="D616" s="86" t="s">
        <v>2155</v>
      </c>
      <c r="E616" s="3">
        <v>175</v>
      </c>
      <c r="F616" s="3">
        <f>75/4</f>
        <v>18.75</v>
      </c>
      <c r="G616" s="4">
        <v>44511</v>
      </c>
      <c r="I616" s="1">
        <v>3400</v>
      </c>
      <c r="J616" s="1">
        <v>3400</v>
      </c>
    </row>
    <row r="617" spans="2:18">
      <c r="C617" s="86" t="s">
        <v>18</v>
      </c>
      <c r="D617" s="86" t="s">
        <v>2155</v>
      </c>
      <c r="E617" s="3">
        <v>125</v>
      </c>
      <c r="F617" s="3">
        <v>35</v>
      </c>
      <c r="G617" s="4">
        <v>44126</v>
      </c>
      <c r="I617" s="1">
        <v>1100</v>
      </c>
      <c r="J617" s="1">
        <v>3400</v>
      </c>
    </row>
    <row r="618" spans="2:18">
      <c r="C618" s="86" t="s">
        <v>7</v>
      </c>
      <c r="D618" s="86" t="s">
        <v>2155</v>
      </c>
      <c r="E618" s="3">
        <v>40</v>
      </c>
      <c r="F618" s="3">
        <v>3</v>
      </c>
      <c r="G618" s="4">
        <v>43720</v>
      </c>
      <c r="J618" s="1">
        <v>3400</v>
      </c>
    </row>
    <row r="619" spans="2:18">
      <c r="C619" s="86" t="s">
        <v>5</v>
      </c>
      <c r="D619" s="86" t="s">
        <v>2155</v>
      </c>
      <c r="E619" s="3">
        <v>11.5</v>
      </c>
      <c r="F619" s="3">
        <f>5.5/4</f>
        <v>1.375</v>
      </c>
      <c r="G619" s="4">
        <v>43355</v>
      </c>
      <c r="J619" s="1">
        <v>3400</v>
      </c>
    </row>
    <row r="620" spans="2:18">
      <c r="G620" s="4"/>
    </row>
    <row r="621" spans="2:18" s="12" customFormat="1">
      <c r="B621" s="12" t="s">
        <v>246</v>
      </c>
      <c r="C621" s="13" t="s">
        <v>984</v>
      </c>
      <c r="D621" s="13" t="s">
        <v>983</v>
      </c>
      <c r="E621" s="15"/>
      <c r="F621" s="15">
        <f>SUM(F622:F623)</f>
        <v>170</v>
      </c>
      <c r="G621" s="14">
        <f>G622</f>
        <v>43040</v>
      </c>
      <c r="M621" s="13"/>
      <c r="N621" s="13"/>
      <c r="O621" s="13"/>
      <c r="P621" s="13"/>
      <c r="Q621" s="13"/>
      <c r="R621" s="13"/>
    </row>
    <row r="622" spans="2:18">
      <c r="C622" s="2" t="s">
        <v>18</v>
      </c>
      <c r="D622" s="2" t="s">
        <v>239</v>
      </c>
      <c r="E622" s="3">
        <v>460</v>
      </c>
      <c r="F622" s="3">
        <v>150</v>
      </c>
      <c r="G622" s="4">
        <v>43040</v>
      </c>
    </row>
    <row r="623" spans="2:18">
      <c r="C623" s="2" t="s">
        <v>18</v>
      </c>
      <c r="D623" s="2" t="s">
        <v>239</v>
      </c>
      <c r="E623" s="3">
        <v>100</v>
      </c>
      <c r="F623" s="3">
        <v>20</v>
      </c>
      <c r="G623" s="4">
        <v>42735</v>
      </c>
    </row>
    <row r="624" spans="2:18">
      <c r="G624" s="4"/>
    </row>
    <row r="625" spans="2:18" s="12" customFormat="1">
      <c r="B625" s="12" t="s">
        <v>1127</v>
      </c>
      <c r="C625" s="13" t="s">
        <v>984</v>
      </c>
      <c r="D625" s="13" t="s">
        <v>983</v>
      </c>
      <c r="E625" s="15"/>
      <c r="F625" s="15">
        <f>SUM(F626:F634)</f>
        <v>168.44285714285715</v>
      </c>
      <c r="G625" s="14">
        <f>G631</f>
        <v>44880</v>
      </c>
      <c r="M625" s="13"/>
      <c r="N625" s="13"/>
      <c r="O625" s="13"/>
      <c r="P625" s="13"/>
      <c r="Q625" s="13"/>
      <c r="R625" s="13"/>
    </row>
    <row r="626" spans="2:18">
      <c r="C626" s="2" t="s">
        <v>8</v>
      </c>
      <c r="D626" s="2" t="s">
        <v>215</v>
      </c>
      <c r="E626" s="3">
        <v>676</v>
      </c>
      <c r="F626" s="3">
        <f>500/7</f>
        <v>71.428571428571431</v>
      </c>
      <c r="G626" s="4">
        <v>44299</v>
      </c>
      <c r="I626" s="1">
        <v>4400</v>
      </c>
    </row>
    <row r="627" spans="2:18">
      <c r="C627" s="2" t="s">
        <v>18</v>
      </c>
      <c r="D627" s="2" t="s">
        <v>215</v>
      </c>
      <c r="E627" s="3">
        <v>250</v>
      </c>
      <c r="F627" s="3">
        <f>170/5</f>
        <v>34</v>
      </c>
      <c r="G627" s="4">
        <v>43886</v>
      </c>
      <c r="I627" s="1">
        <v>2300</v>
      </c>
    </row>
    <row r="628" spans="2:18">
      <c r="C628" s="2" t="s">
        <v>7</v>
      </c>
      <c r="D628" s="2" t="s">
        <v>215</v>
      </c>
      <c r="E628" s="3">
        <v>150</v>
      </c>
      <c r="F628" s="3">
        <v>20</v>
      </c>
      <c r="G628" s="4">
        <v>43556</v>
      </c>
    </row>
    <row r="629" spans="2:18">
      <c r="C629" s="2" t="s">
        <v>5</v>
      </c>
      <c r="D629" s="2" t="s">
        <v>215</v>
      </c>
      <c r="E629" s="3">
        <v>7.3</v>
      </c>
      <c r="F629" s="3">
        <v>7.3</v>
      </c>
      <c r="G629" s="4">
        <v>43327</v>
      </c>
    </row>
    <row r="630" spans="2:18">
      <c r="C630" s="2" t="s">
        <v>4</v>
      </c>
      <c r="D630" s="2" t="s">
        <v>215</v>
      </c>
      <c r="E630" s="3">
        <v>2</v>
      </c>
      <c r="F630" s="3">
        <v>2</v>
      </c>
      <c r="G630" s="4">
        <v>43047</v>
      </c>
    </row>
    <row r="631" spans="2:18">
      <c r="C631" s="2" t="s">
        <v>8</v>
      </c>
      <c r="D631" s="2" t="s">
        <v>136</v>
      </c>
      <c r="E631" s="3">
        <v>135</v>
      </c>
      <c r="F631" s="3">
        <v>8</v>
      </c>
      <c r="G631" s="4">
        <v>44880</v>
      </c>
      <c r="I631" s="1">
        <v>615</v>
      </c>
    </row>
    <row r="632" spans="2:18">
      <c r="C632" s="2" t="s">
        <v>7</v>
      </c>
      <c r="D632" s="2" t="s">
        <v>136</v>
      </c>
      <c r="E632" s="3">
        <v>10</v>
      </c>
      <c r="F632" s="3">
        <v>10</v>
      </c>
      <c r="G632" s="4">
        <v>42414</v>
      </c>
      <c r="J632" s="1">
        <v>615</v>
      </c>
    </row>
    <row r="633" spans="2:18">
      <c r="C633" s="96" t="s">
        <v>9</v>
      </c>
      <c r="D633" s="96" t="s">
        <v>2150</v>
      </c>
      <c r="E633" s="3">
        <v>100</v>
      </c>
      <c r="F633" s="3">
        <f>75/7</f>
        <v>10.714285714285714</v>
      </c>
      <c r="G633" s="4">
        <v>44507</v>
      </c>
      <c r="I633" s="1">
        <v>1600</v>
      </c>
      <c r="J633" s="1">
        <v>1600</v>
      </c>
    </row>
    <row r="634" spans="2:18">
      <c r="C634" s="96" t="s">
        <v>7</v>
      </c>
      <c r="D634" s="96" t="s">
        <v>2150</v>
      </c>
      <c r="E634" s="3">
        <v>5</v>
      </c>
      <c r="F634" s="3">
        <v>5</v>
      </c>
      <c r="G634" s="4">
        <v>42285</v>
      </c>
      <c r="J634" s="1">
        <v>1600</v>
      </c>
    </row>
    <row r="635" spans="2:18">
      <c r="G635" s="4"/>
    </row>
    <row r="636" spans="2:18" s="12" customFormat="1">
      <c r="B636" s="12" t="s">
        <v>1130</v>
      </c>
      <c r="C636" s="13" t="s">
        <v>984</v>
      </c>
      <c r="D636" s="13" t="s">
        <v>983</v>
      </c>
      <c r="E636" s="15"/>
      <c r="F636" s="15">
        <f>SUM(F637:F643)</f>
        <v>165.625</v>
      </c>
      <c r="G636" s="14">
        <f>G637</f>
        <v>44417</v>
      </c>
      <c r="M636" s="13"/>
      <c r="N636" s="13"/>
      <c r="O636" s="13"/>
      <c r="P636" s="13"/>
      <c r="Q636" s="13"/>
      <c r="R636" s="13"/>
    </row>
    <row r="637" spans="2:18">
      <c r="C637" s="2" t="s">
        <v>18</v>
      </c>
      <c r="D637" s="2" t="s">
        <v>889</v>
      </c>
      <c r="E637" s="3">
        <v>85</v>
      </c>
      <c r="F637" s="3">
        <f>45/8</f>
        <v>5.625</v>
      </c>
      <c r="G637" s="4">
        <v>44417</v>
      </c>
      <c r="H637" s="5"/>
    </row>
    <row r="638" spans="2:18">
      <c r="C638" s="2" t="s">
        <v>8</v>
      </c>
      <c r="D638" s="2" t="s">
        <v>215</v>
      </c>
      <c r="E638" s="3">
        <v>676</v>
      </c>
      <c r="F638" s="3">
        <v>71</v>
      </c>
      <c r="G638" s="4">
        <v>44299</v>
      </c>
      <c r="H638" s="5"/>
      <c r="I638" s="1">
        <v>4400</v>
      </c>
    </row>
    <row r="639" spans="2:18">
      <c r="C639" s="2" t="s">
        <v>18</v>
      </c>
      <c r="D639" s="2" t="s">
        <v>215</v>
      </c>
      <c r="E639" s="3">
        <v>250</v>
      </c>
      <c r="F639" s="3">
        <f>170/5</f>
        <v>34</v>
      </c>
      <c r="G639" s="4">
        <v>43886</v>
      </c>
      <c r="H639" s="5"/>
      <c r="I639" s="1">
        <v>2300</v>
      </c>
    </row>
    <row r="640" spans="2:18">
      <c r="C640" s="2" t="s">
        <v>7</v>
      </c>
      <c r="D640" s="2" t="s">
        <v>215</v>
      </c>
      <c r="E640" s="3">
        <v>150</v>
      </c>
      <c r="F640" s="3">
        <f>100/5</f>
        <v>20</v>
      </c>
      <c r="G640" s="4">
        <v>43556</v>
      </c>
      <c r="H640" s="5"/>
    </row>
    <row r="641" spans="2:11">
      <c r="C641" s="2" t="s">
        <v>5</v>
      </c>
      <c r="D641" s="2" t="s">
        <v>215</v>
      </c>
      <c r="E641" s="3">
        <v>56</v>
      </c>
      <c r="F641" s="3">
        <v>20</v>
      </c>
      <c r="G641" s="4">
        <v>43174</v>
      </c>
      <c r="H641" s="5"/>
    </row>
    <row r="642" spans="2:11">
      <c r="C642" s="2" t="s">
        <v>7</v>
      </c>
      <c r="D642" s="2" t="s">
        <v>136</v>
      </c>
      <c r="E642" s="3">
        <v>32</v>
      </c>
      <c r="F642" s="3">
        <v>12</v>
      </c>
      <c r="G642" s="4">
        <v>42528</v>
      </c>
      <c r="H642" s="5"/>
    </row>
    <row r="643" spans="2:11">
      <c r="C643" s="2" t="s">
        <v>5</v>
      </c>
      <c r="D643" s="2" t="s">
        <v>2062</v>
      </c>
      <c r="E643" s="3">
        <v>18</v>
      </c>
      <c r="F643" s="3">
        <v>3</v>
      </c>
      <c r="G643" s="4">
        <v>44866</v>
      </c>
      <c r="H643" s="5"/>
    </row>
    <row r="644" spans="2:11">
      <c r="G644" s="4"/>
      <c r="H644" s="5"/>
    </row>
    <row r="645" spans="2:11">
      <c r="B645" s="12" t="s">
        <v>1132</v>
      </c>
      <c r="C645" s="13" t="s">
        <v>984</v>
      </c>
      <c r="D645" s="13" t="s">
        <v>983</v>
      </c>
      <c r="F645" s="15">
        <f>SUM(F646:F659)</f>
        <v>164.29545454545456</v>
      </c>
      <c r="G645" s="14">
        <f>G646</f>
        <v>45069</v>
      </c>
      <c r="I645" s="1">
        <v>5000</v>
      </c>
      <c r="J645" s="21">
        <f>+F645/I645</f>
        <v>3.2859090909090914E-2</v>
      </c>
      <c r="K645" s="1">
        <v>1976</v>
      </c>
    </row>
    <row r="646" spans="2:11">
      <c r="C646" s="2" t="s">
        <v>18</v>
      </c>
      <c r="D646" s="2" t="s">
        <v>979</v>
      </c>
      <c r="E646" s="3">
        <v>450</v>
      </c>
      <c r="F646" s="3">
        <f>300/5</f>
        <v>60</v>
      </c>
      <c r="G646" s="4">
        <v>45069</v>
      </c>
    </row>
    <row r="647" spans="2:11">
      <c r="C647" s="2" t="s">
        <v>7</v>
      </c>
      <c r="D647" s="2" t="s">
        <v>1105</v>
      </c>
      <c r="E647" s="3">
        <v>100</v>
      </c>
      <c r="F647" s="3">
        <v>5</v>
      </c>
      <c r="G647" s="4">
        <v>45042</v>
      </c>
    </row>
    <row r="648" spans="2:11">
      <c r="C648" s="2" t="s">
        <v>5</v>
      </c>
      <c r="D648" s="2" t="s">
        <v>1105</v>
      </c>
      <c r="E648" s="3">
        <v>28</v>
      </c>
      <c r="F648" s="3">
        <v>16</v>
      </c>
      <c r="G648" s="4">
        <v>44649</v>
      </c>
    </row>
    <row r="649" spans="2:11">
      <c r="C649" s="2" t="s">
        <v>5</v>
      </c>
      <c r="D649" s="2" t="s">
        <v>1079</v>
      </c>
      <c r="E649" s="3">
        <v>65</v>
      </c>
      <c r="F649" s="3">
        <v>10</v>
      </c>
      <c r="G649" s="4">
        <v>44984</v>
      </c>
    </row>
    <row r="650" spans="2:11">
      <c r="C650" s="2" t="s">
        <v>7</v>
      </c>
      <c r="D650" s="2" t="s">
        <v>872</v>
      </c>
      <c r="E650" s="3">
        <v>25</v>
      </c>
      <c r="F650" s="3">
        <v>7</v>
      </c>
      <c r="G650" s="4">
        <v>44636</v>
      </c>
    </row>
    <row r="651" spans="2:11">
      <c r="C651" s="2" t="s">
        <v>18</v>
      </c>
      <c r="D651" s="2" t="s">
        <v>1131</v>
      </c>
      <c r="E651" s="3">
        <v>125</v>
      </c>
      <c r="F651" s="3">
        <v>9</v>
      </c>
      <c r="G651" s="4">
        <v>44663</v>
      </c>
    </row>
    <row r="652" spans="2:11">
      <c r="C652" s="2" t="s">
        <v>7</v>
      </c>
      <c r="D652" s="2" t="s">
        <v>1131</v>
      </c>
      <c r="E652" s="3">
        <v>54</v>
      </c>
      <c r="F652" s="3">
        <v>14</v>
      </c>
      <c r="G652" s="4">
        <v>44089</v>
      </c>
    </row>
    <row r="653" spans="2:11">
      <c r="C653" s="2" t="s">
        <v>8</v>
      </c>
      <c r="D653" s="2" t="s">
        <v>456</v>
      </c>
      <c r="E653" s="3">
        <v>90</v>
      </c>
      <c r="F653" s="3">
        <f>50/11</f>
        <v>4.5454545454545459</v>
      </c>
      <c r="G653" s="4">
        <v>44776</v>
      </c>
    </row>
    <row r="654" spans="2:11">
      <c r="C654" s="2" t="s">
        <v>18</v>
      </c>
      <c r="D654" s="2" t="s">
        <v>456</v>
      </c>
      <c r="E654" s="3">
        <v>40</v>
      </c>
      <c r="F654" s="3">
        <v>3.75</v>
      </c>
      <c r="G654" s="4">
        <v>44176</v>
      </c>
    </row>
    <row r="655" spans="2:11">
      <c r="C655" s="2" t="s">
        <v>7</v>
      </c>
      <c r="D655" s="2" t="s">
        <v>456</v>
      </c>
      <c r="E655" s="3">
        <v>20</v>
      </c>
      <c r="F655" s="3">
        <f>15/5</f>
        <v>3</v>
      </c>
      <c r="G655" s="4">
        <v>43879</v>
      </c>
    </row>
    <row r="656" spans="2:11">
      <c r="C656" s="2" t="s">
        <v>8</v>
      </c>
      <c r="D656" s="2" t="s">
        <v>265</v>
      </c>
      <c r="E656" s="3">
        <v>111</v>
      </c>
      <c r="F656" s="3">
        <v>7</v>
      </c>
      <c r="G656" s="4">
        <v>44622</v>
      </c>
    </row>
    <row r="657" spans="2:18">
      <c r="C657" s="2" t="s">
        <v>18</v>
      </c>
      <c r="D657" s="2" t="s">
        <v>265</v>
      </c>
      <c r="E657" s="3">
        <v>55</v>
      </c>
      <c r="F657" s="3">
        <v>6</v>
      </c>
      <c r="G657" s="4">
        <v>44314</v>
      </c>
    </row>
    <row r="658" spans="2:18">
      <c r="C658" s="2" t="s">
        <v>7</v>
      </c>
      <c r="D658" s="2" t="s">
        <v>265</v>
      </c>
      <c r="E658" s="3">
        <v>16</v>
      </c>
      <c r="F658" s="3">
        <v>4</v>
      </c>
      <c r="G658" s="4">
        <v>44009</v>
      </c>
    </row>
    <row r="659" spans="2:18">
      <c r="C659" s="2" t="s">
        <v>7</v>
      </c>
      <c r="D659" s="2" t="s">
        <v>1079</v>
      </c>
      <c r="E659" s="3">
        <v>100</v>
      </c>
      <c r="F659" s="3">
        <v>15</v>
      </c>
      <c r="G659" s="4">
        <v>45106</v>
      </c>
    </row>
    <row r="660" spans="2:18">
      <c r="G660" s="4"/>
    </row>
    <row r="661" spans="2:18" s="12" customFormat="1">
      <c r="B661" s="12" t="s">
        <v>248</v>
      </c>
      <c r="C661" s="13" t="s">
        <v>984</v>
      </c>
      <c r="D661" s="13" t="s">
        <v>983</v>
      </c>
      <c r="E661" s="15"/>
      <c r="F661" s="15">
        <f>SUM(F662:F663)</f>
        <v>162.5</v>
      </c>
      <c r="G661" s="14">
        <f>G663</f>
        <v>44510</v>
      </c>
      <c r="M661" s="13"/>
      <c r="N661" s="13"/>
      <c r="O661" s="13"/>
      <c r="P661" s="13"/>
      <c r="Q661" s="13"/>
      <c r="R661" s="13"/>
    </row>
    <row r="662" spans="2:18">
      <c r="C662" s="2" t="s">
        <v>8</v>
      </c>
      <c r="D662" s="2" t="s">
        <v>239</v>
      </c>
      <c r="E662" s="3">
        <v>750</v>
      </c>
      <c r="F662" s="3">
        <f>450/4</f>
        <v>112.5</v>
      </c>
      <c r="G662" s="4">
        <v>43593</v>
      </c>
    </row>
    <row r="663" spans="2:18">
      <c r="C663" s="2" t="s">
        <v>55</v>
      </c>
      <c r="D663" s="2" t="s">
        <v>247</v>
      </c>
      <c r="E663" s="3">
        <v>250</v>
      </c>
      <c r="F663" s="3">
        <v>50</v>
      </c>
      <c r="G663" s="4">
        <v>44510</v>
      </c>
    </row>
    <row r="664" spans="2:18">
      <c r="G664" s="4"/>
    </row>
    <row r="665" spans="2:18" s="12" customFormat="1">
      <c r="B665" s="12" t="s">
        <v>1124</v>
      </c>
      <c r="C665" s="13" t="s">
        <v>984</v>
      </c>
      <c r="D665" s="13" t="s">
        <v>983</v>
      </c>
      <c r="E665" s="15"/>
      <c r="F665" s="15">
        <f>SUM(F666:F673)</f>
        <v>160.66666666666666</v>
      </c>
      <c r="G665" s="14">
        <f>G666</f>
        <v>44378</v>
      </c>
      <c r="M665" s="13"/>
      <c r="N665" s="13"/>
      <c r="O665" s="13"/>
      <c r="P665" s="13"/>
      <c r="Q665" s="13"/>
      <c r="R665" s="13"/>
    </row>
    <row r="666" spans="2:18">
      <c r="C666" s="2" t="s">
        <v>5</v>
      </c>
      <c r="D666" s="2" t="s">
        <v>876</v>
      </c>
      <c r="E666" s="3">
        <v>10</v>
      </c>
      <c r="F666" s="3">
        <v>3</v>
      </c>
      <c r="G666" s="4">
        <v>44378</v>
      </c>
    </row>
    <row r="667" spans="2:18">
      <c r="C667" s="2" t="s">
        <v>8</v>
      </c>
      <c r="D667" s="2" t="s">
        <v>218</v>
      </c>
      <c r="E667" s="3">
        <v>700</v>
      </c>
      <c r="F667" s="3">
        <f>400/12</f>
        <v>33.333333333333336</v>
      </c>
      <c r="G667" s="4">
        <v>44218</v>
      </c>
    </row>
    <row r="668" spans="2:18">
      <c r="C668" s="2" t="s">
        <v>18</v>
      </c>
      <c r="D668" s="2" t="s">
        <v>218</v>
      </c>
      <c r="E668" s="3">
        <v>140</v>
      </c>
      <c r="F668" s="3">
        <f>E668/9</f>
        <v>15.555555555555555</v>
      </c>
      <c r="G668" s="4">
        <v>43453</v>
      </c>
    </row>
    <row r="669" spans="2:18">
      <c r="C669" s="2" t="s">
        <v>7</v>
      </c>
      <c r="D669" s="2" t="s">
        <v>166</v>
      </c>
      <c r="E669" s="3">
        <v>462</v>
      </c>
      <c r="F669" s="3">
        <f>162/2</f>
        <v>81</v>
      </c>
      <c r="G669" s="4">
        <v>43886</v>
      </c>
      <c r="I669" s="1">
        <v>2500</v>
      </c>
    </row>
    <row r="670" spans="2:18">
      <c r="C670" s="2" t="s">
        <v>5</v>
      </c>
      <c r="D670" s="2" t="s">
        <v>166</v>
      </c>
      <c r="E670" s="3">
        <v>102</v>
      </c>
      <c r="F670" s="3">
        <f>70/9</f>
        <v>7.7777777777777777</v>
      </c>
      <c r="G670" s="4">
        <v>43292</v>
      </c>
    </row>
    <row r="671" spans="2:18">
      <c r="C671" s="2" t="s">
        <v>9</v>
      </c>
      <c r="D671" s="2" t="s">
        <v>153</v>
      </c>
      <c r="E671" s="3">
        <v>300</v>
      </c>
      <c r="F671" s="6" t="s">
        <v>1063</v>
      </c>
      <c r="G671" s="4">
        <v>44271</v>
      </c>
    </row>
    <row r="672" spans="2:18">
      <c r="C672" s="2" t="s">
        <v>8</v>
      </c>
      <c r="D672" s="2" t="s">
        <v>153</v>
      </c>
      <c r="E672" s="3">
        <v>38</v>
      </c>
      <c r="F672" s="6" t="s">
        <v>1062</v>
      </c>
      <c r="G672" s="4">
        <v>43266</v>
      </c>
    </row>
    <row r="673" spans="2:18">
      <c r="C673" s="2" t="s">
        <v>8</v>
      </c>
      <c r="D673" s="2" t="s">
        <v>2176</v>
      </c>
      <c r="E673" s="3">
        <v>220</v>
      </c>
      <c r="F673" s="6">
        <v>20</v>
      </c>
      <c r="G673" s="4">
        <v>44287</v>
      </c>
    </row>
    <row r="674" spans="2:18">
      <c r="G674" s="4"/>
    </row>
    <row r="675" spans="2:18" s="12" customFormat="1">
      <c r="B675" s="12" t="s">
        <v>1129</v>
      </c>
      <c r="C675" s="13" t="s">
        <v>984</v>
      </c>
      <c r="D675" s="13" t="s">
        <v>983</v>
      </c>
      <c r="E675" s="15"/>
      <c r="F675" s="15">
        <f>SUM(F676:F681)</f>
        <v>160.33333333333334</v>
      </c>
      <c r="G675" s="14">
        <f>G680</f>
        <v>44271</v>
      </c>
      <c r="M675" s="13"/>
      <c r="N675" s="13"/>
      <c r="O675" s="13"/>
      <c r="P675" s="13"/>
      <c r="Q675" s="13"/>
      <c r="R675" s="13"/>
    </row>
    <row r="676" spans="2:18">
      <c r="C676" s="2" t="s">
        <v>7</v>
      </c>
      <c r="D676" s="2" t="s">
        <v>252</v>
      </c>
      <c r="E676" s="3">
        <v>100</v>
      </c>
      <c r="F676" s="3">
        <v>25</v>
      </c>
      <c r="G676" s="4">
        <v>42576</v>
      </c>
    </row>
    <row r="677" spans="2:18">
      <c r="C677" s="2" t="s">
        <v>8</v>
      </c>
      <c r="D677" s="2" t="s">
        <v>218</v>
      </c>
      <c r="E677" s="3">
        <v>700</v>
      </c>
      <c r="F677" s="3">
        <v>33</v>
      </c>
      <c r="G677" s="4">
        <v>44218</v>
      </c>
    </row>
    <row r="678" spans="2:18">
      <c r="C678" s="2" t="s">
        <v>18</v>
      </c>
      <c r="D678" s="2" t="s">
        <v>218</v>
      </c>
      <c r="E678" s="3">
        <v>230</v>
      </c>
      <c r="F678" s="3">
        <f>E678/6</f>
        <v>38.333333333333336</v>
      </c>
      <c r="G678" s="4">
        <v>43923</v>
      </c>
    </row>
    <row r="679" spans="2:18">
      <c r="C679" s="2" t="s">
        <v>18</v>
      </c>
      <c r="D679" s="2" t="s">
        <v>166</v>
      </c>
      <c r="E679" s="3">
        <v>100</v>
      </c>
      <c r="F679" s="3">
        <f>70/5</f>
        <v>14</v>
      </c>
      <c r="G679" s="4">
        <v>44235</v>
      </c>
    </row>
    <row r="680" spans="2:18">
      <c r="C680" s="2" t="s">
        <v>9</v>
      </c>
      <c r="D680" s="2" t="s">
        <v>153</v>
      </c>
      <c r="E680" s="3">
        <v>300</v>
      </c>
      <c r="F680" s="6" t="s">
        <v>1063</v>
      </c>
      <c r="G680" s="4">
        <v>44271</v>
      </c>
    </row>
    <row r="681" spans="2:18">
      <c r="C681" s="2" t="s">
        <v>18</v>
      </c>
      <c r="D681" s="2" t="s">
        <v>82</v>
      </c>
      <c r="E681" s="3">
        <v>257</v>
      </c>
      <c r="F681" s="6">
        <v>50</v>
      </c>
      <c r="G681" s="4">
        <v>44201</v>
      </c>
    </row>
    <row r="682" spans="2:18">
      <c r="G682" s="4"/>
    </row>
    <row r="683" spans="2:18">
      <c r="B683" s="12" t="s">
        <v>1128</v>
      </c>
      <c r="C683" s="13" t="s">
        <v>984</v>
      </c>
      <c r="D683" s="13" t="s">
        <v>983</v>
      </c>
      <c r="E683" s="15"/>
      <c r="F683" s="15">
        <f>SUM(F684:F699)</f>
        <v>171.60000000000002</v>
      </c>
      <c r="G683" s="14">
        <f>G686</f>
        <v>44754</v>
      </c>
      <c r="I683" s="1">
        <v>6800</v>
      </c>
      <c r="J683" s="20">
        <f>+F683/I683</f>
        <v>2.5235294117647061E-2</v>
      </c>
      <c r="K683" s="1">
        <v>1972</v>
      </c>
    </row>
    <row r="684" spans="2:18">
      <c r="C684" s="2" t="s">
        <v>18</v>
      </c>
      <c r="D684" s="2" t="s">
        <v>1059</v>
      </c>
      <c r="E684" s="3">
        <v>100</v>
      </c>
      <c r="F684" s="3">
        <v>15</v>
      </c>
      <c r="G684" s="4">
        <v>44699</v>
      </c>
    </row>
    <row r="685" spans="2:18">
      <c r="C685" s="2" t="s">
        <v>7</v>
      </c>
      <c r="D685" s="2" t="s">
        <v>1059</v>
      </c>
      <c r="E685" s="3">
        <v>100</v>
      </c>
      <c r="F685" s="3">
        <f>25/3</f>
        <v>8.3333333333333339</v>
      </c>
      <c r="G685" s="4">
        <v>44286</v>
      </c>
    </row>
    <row r="686" spans="2:18">
      <c r="C686" s="2" t="s">
        <v>18</v>
      </c>
      <c r="D686" s="2" t="s">
        <v>1021</v>
      </c>
      <c r="E686" s="3">
        <v>100</v>
      </c>
      <c r="F686" s="3">
        <v>40</v>
      </c>
      <c r="G686" s="4">
        <v>44754</v>
      </c>
    </row>
    <row r="687" spans="2:18">
      <c r="C687" s="2" t="s">
        <v>5</v>
      </c>
      <c r="D687" s="2" t="s">
        <v>712</v>
      </c>
      <c r="E687" s="3">
        <v>50</v>
      </c>
      <c r="F687" s="3">
        <f>30/12</f>
        <v>2.5</v>
      </c>
      <c r="G687" s="4">
        <v>44796</v>
      </c>
    </row>
    <row r="688" spans="2:18">
      <c r="C688" s="2" t="s">
        <v>4</v>
      </c>
      <c r="D688" s="2" t="s">
        <v>712</v>
      </c>
      <c r="E688" s="3">
        <v>12.5</v>
      </c>
      <c r="F688" s="3">
        <f>8/5</f>
        <v>1.6</v>
      </c>
      <c r="G688" s="4">
        <v>44623</v>
      </c>
    </row>
    <row r="689" spans="2:18">
      <c r="C689" s="2" t="s">
        <v>4</v>
      </c>
      <c r="D689" s="2" t="s">
        <v>712</v>
      </c>
      <c r="E689" s="3">
        <v>7.2</v>
      </c>
      <c r="F689" s="3">
        <v>2</v>
      </c>
      <c r="G689" s="4">
        <v>44508</v>
      </c>
    </row>
    <row r="690" spans="2:18">
      <c r="C690" s="2" t="s">
        <v>7</v>
      </c>
      <c r="D690" s="2" t="s">
        <v>883</v>
      </c>
      <c r="E690" s="3">
        <v>30</v>
      </c>
      <c r="F690" s="3">
        <f>20/3</f>
        <v>6.666666666666667</v>
      </c>
      <c r="G690" s="4">
        <v>44510</v>
      </c>
    </row>
    <row r="691" spans="2:18">
      <c r="C691" s="2" t="s">
        <v>5</v>
      </c>
      <c r="D691" s="2" t="s">
        <v>883</v>
      </c>
      <c r="E691" s="3">
        <v>21.4</v>
      </c>
      <c r="F691" s="3">
        <v>5</v>
      </c>
      <c r="G691" s="4">
        <v>44232</v>
      </c>
    </row>
    <row r="692" spans="2:18">
      <c r="C692" s="2" t="s">
        <v>18</v>
      </c>
      <c r="D692" s="2" t="s">
        <v>895</v>
      </c>
      <c r="E692" s="3">
        <v>200</v>
      </c>
      <c r="F692" s="3">
        <v>20</v>
      </c>
      <c r="G692" s="4">
        <v>44377</v>
      </c>
    </row>
    <row r="693" spans="2:18">
      <c r="C693" s="2" t="s">
        <v>7</v>
      </c>
      <c r="D693" s="2" t="s">
        <v>895</v>
      </c>
      <c r="E693" s="3">
        <v>75</v>
      </c>
      <c r="F693" s="3">
        <v>20</v>
      </c>
      <c r="G693" s="4">
        <v>43783</v>
      </c>
    </row>
    <row r="694" spans="2:18">
      <c r="C694" s="2" t="s">
        <v>18</v>
      </c>
      <c r="D694" s="2" t="s">
        <v>411</v>
      </c>
      <c r="E694" s="3">
        <v>90</v>
      </c>
      <c r="F694" s="3">
        <v>15</v>
      </c>
      <c r="G694" s="4">
        <v>45090</v>
      </c>
    </row>
    <row r="695" spans="2:18">
      <c r="C695" s="2" t="s">
        <v>7</v>
      </c>
      <c r="D695" s="2" t="s">
        <v>411</v>
      </c>
      <c r="E695" s="3">
        <v>50</v>
      </c>
      <c r="F695" s="3">
        <v>20</v>
      </c>
      <c r="G695" s="4">
        <v>44538</v>
      </c>
    </row>
    <row r="696" spans="2:18">
      <c r="C696" s="86" t="s">
        <v>7</v>
      </c>
      <c r="D696" s="86" t="s">
        <v>2155</v>
      </c>
      <c r="E696" s="3">
        <v>40</v>
      </c>
      <c r="F696" s="3">
        <v>3</v>
      </c>
      <c r="G696" s="4">
        <v>43720</v>
      </c>
      <c r="J696" s="1">
        <v>3400</v>
      </c>
    </row>
    <row r="697" spans="2:18">
      <c r="C697" s="96" t="s">
        <v>18</v>
      </c>
      <c r="D697" s="96" t="s">
        <v>2147</v>
      </c>
      <c r="E697" s="3">
        <v>40</v>
      </c>
      <c r="F697" s="3">
        <v>5</v>
      </c>
      <c r="G697" s="4">
        <v>44238</v>
      </c>
      <c r="J697" s="1">
        <v>790</v>
      </c>
    </row>
    <row r="698" spans="2:18">
      <c r="C698" s="96" t="s">
        <v>7</v>
      </c>
      <c r="D698" s="96" t="s">
        <v>2147</v>
      </c>
      <c r="E698" s="3">
        <v>25</v>
      </c>
      <c r="F698" s="3">
        <v>5</v>
      </c>
      <c r="G698" s="4">
        <v>43865</v>
      </c>
      <c r="J698" s="1">
        <v>790</v>
      </c>
    </row>
    <row r="699" spans="2:18">
      <c r="C699" s="96" t="s">
        <v>5</v>
      </c>
      <c r="D699" s="96" t="s">
        <v>2147</v>
      </c>
      <c r="E699" s="3">
        <v>10</v>
      </c>
      <c r="F699" s="3">
        <v>2.5</v>
      </c>
      <c r="G699" s="4">
        <v>43564</v>
      </c>
      <c r="J699" s="1">
        <v>790</v>
      </c>
    </row>
    <row r="700" spans="2:18">
      <c r="C700" s="96" t="s">
        <v>4</v>
      </c>
      <c r="D700" s="96" t="s">
        <v>2147</v>
      </c>
      <c r="E700" s="3">
        <v>3.9</v>
      </c>
      <c r="F700" s="3">
        <v>1.9</v>
      </c>
      <c r="G700" s="4">
        <v>43311</v>
      </c>
      <c r="J700" s="1">
        <v>790</v>
      </c>
    </row>
    <row r="701" spans="2:18">
      <c r="G701" s="4"/>
    </row>
    <row r="702" spans="2:18" s="12" customFormat="1">
      <c r="B702" s="12" t="s">
        <v>1126</v>
      </c>
      <c r="C702" s="13" t="s">
        <v>984</v>
      </c>
      <c r="D702" s="13" t="s">
        <v>983</v>
      </c>
      <c r="E702" s="15"/>
      <c r="F702" s="15">
        <f>SUM(F703:F706)</f>
        <v>151.5</v>
      </c>
      <c r="G702" s="14">
        <f>G704</f>
        <v>44867</v>
      </c>
      <c r="M702" s="13"/>
      <c r="N702" s="13"/>
      <c r="O702" s="13"/>
      <c r="P702" s="13"/>
      <c r="Q702" s="13"/>
      <c r="R702" s="13"/>
    </row>
    <row r="703" spans="2:18">
      <c r="C703" s="2" t="s">
        <v>9</v>
      </c>
      <c r="D703" s="2" t="s">
        <v>815</v>
      </c>
      <c r="E703" s="3">
        <v>325</v>
      </c>
      <c r="F703" s="3">
        <v>18.5</v>
      </c>
      <c r="G703" s="4">
        <v>44299</v>
      </c>
    </row>
    <row r="704" spans="2:18">
      <c r="C704" s="2" t="s">
        <v>18</v>
      </c>
      <c r="D704" s="2" t="s">
        <v>325</v>
      </c>
      <c r="E704" s="3">
        <v>91</v>
      </c>
      <c r="F704" s="3">
        <v>21</v>
      </c>
      <c r="G704" s="4">
        <v>44867</v>
      </c>
    </row>
    <row r="705" spans="2:18">
      <c r="C705" s="2" t="s">
        <v>8</v>
      </c>
      <c r="D705" s="2" t="s">
        <v>181</v>
      </c>
      <c r="E705" s="3">
        <v>130</v>
      </c>
      <c r="F705" s="3">
        <v>12</v>
      </c>
      <c r="G705" s="4">
        <v>42080</v>
      </c>
    </row>
    <row r="706" spans="2:18">
      <c r="C706" s="2" t="s">
        <v>55</v>
      </c>
      <c r="D706" s="2" t="s">
        <v>159</v>
      </c>
      <c r="E706" s="3">
        <v>200</v>
      </c>
      <c r="F706" s="3">
        <v>100</v>
      </c>
      <c r="G706" s="4">
        <v>44907</v>
      </c>
      <c r="I706" s="1">
        <v>3500</v>
      </c>
    </row>
    <row r="707" spans="2:18">
      <c r="G707" s="4"/>
    </row>
    <row r="708" spans="2:18" s="12" customFormat="1">
      <c r="B708" s="12" t="s">
        <v>238</v>
      </c>
      <c r="C708" s="13" t="s">
        <v>984</v>
      </c>
      <c r="D708" s="13" t="s">
        <v>983</v>
      </c>
      <c r="E708" s="15"/>
      <c r="F708" s="15">
        <f>SUM(F709:F710)</f>
        <v>150</v>
      </c>
      <c r="G708" s="14">
        <f>G709</f>
        <v>44218</v>
      </c>
      <c r="M708" s="13"/>
      <c r="N708" s="13"/>
      <c r="O708" s="13"/>
      <c r="P708" s="13"/>
      <c r="Q708" s="13"/>
      <c r="R708" s="13"/>
    </row>
    <row r="709" spans="2:18">
      <c r="C709" s="2" t="s">
        <v>8</v>
      </c>
      <c r="D709" s="2" t="s">
        <v>218</v>
      </c>
      <c r="E709" s="3">
        <v>700</v>
      </c>
      <c r="F709" s="3">
        <v>100</v>
      </c>
      <c r="G709" s="4">
        <v>44218</v>
      </c>
    </row>
    <row r="710" spans="2:18">
      <c r="C710" s="2" t="s">
        <v>18</v>
      </c>
      <c r="D710" s="2" t="s">
        <v>82</v>
      </c>
      <c r="E710" s="3">
        <v>257</v>
      </c>
      <c r="F710" s="3">
        <v>50</v>
      </c>
      <c r="G710" s="4">
        <v>44201</v>
      </c>
    </row>
    <row r="711" spans="2:18">
      <c r="G711" s="4"/>
    </row>
    <row r="712" spans="2:18" s="12" customFormat="1">
      <c r="B712" s="12" t="s">
        <v>254</v>
      </c>
      <c r="C712" s="13" t="s">
        <v>984</v>
      </c>
      <c r="D712" s="13" t="s">
        <v>983</v>
      </c>
      <c r="E712" s="15"/>
      <c r="F712" s="15">
        <f>SUM(F713:F714)</f>
        <v>150</v>
      </c>
      <c r="G712" s="14">
        <f>G713</f>
        <v>43223</v>
      </c>
      <c r="M712" s="13"/>
      <c r="N712" s="13"/>
      <c r="O712" s="13"/>
      <c r="P712" s="13"/>
      <c r="Q712" s="13"/>
      <c r="R712" s="13"/>
    </row>
    <row r="713" spans="2:18">
      <c r="C713" s="2" t="s">
        <v>18</v>
      </c>
      <c r="D713" s="2" t="s">
        <v>252</v>
      </c>
      <c r="E713" s="3">
        <v>820</v>
      </c>
      <c r="F713" s="3">
        <f>600/6</f>
        <v>100</v>
      </c>
      <c r="G713" s="4">
        <v>43223</v>
      </c>
    </row>
    <row r="714" spans="2:18">
      <c r="C714" s="2" t="s">
        <v>7</v>
      </c>
      <c r="D714" s="2" t="s">
        <v>252</v>
      </c>
      <c r="E714" s="3">
        <v>100</v>
      </c>
      <c r="F714" s="3">
        <v>50</v>
      </c>
      <c r="G714" s="4">
        <v>42576</v>
      </c>
    </row>
    <row r="715" spans="2:18">
      <c r="G715" s="4"/>
    </row>
    <row r="716" spans="2:18">
      <c r="B716" s="12" t="s">
        <v>5196</v>
      </c>
      <c r="C716" s="13" t="s">
        <v>984</v>
      </c>
      <c r="D716" s="13" t="s">
        <v>983</v>
      </c>
      <c r="F716" s="15">
        <f>SUM(F717:F729)</f>
        <v>148.02380952380952</v>
      </c>
      <c r="G716" s="14">
        <f>+G723</f>
        <v>45055</v>
      </c>
      <c r="I716" s="1" t="s">
        <v>1</v>
      </c>
      <c r="J716" s="1" t="s">
        <v>1</v>
      </c>
      <c r="K716" s="1" t="s">
        <v>1</v>
      </c>
    </row>
    <row r="717" spans="2:18">
      <c r="B717" s="12"/>
      <c r="C717" s="2" t="s">
        <v>7</v>
      </c>
      <c r="D717" s="2" t="s">
        <v>964</v>
      </c>
      <c r="E717" s="3">
        <v>350</v>
      </c>
      <c r="F717" s="3">
        <v>20</v>
      </c>
      <c r="G717" s="4">
        <v>44999</v>
      </c>
    </row>
    <row r="718" spans="2:18">
      <c r="C718" s="2" t="s">
        <v>5</v>
      </c>
      <c r="D718" s="2" t="s">
        <v>1079</v>
      </c>
      <c r="E718" s="3">
        <v>65</v>
      </c>
      <c r="F718" s="3">
        <v>10</v>
      </c>
      <c r="G718" s="4">
        <v>44984</v>
      </c>
    </row>
    <row r="719" spans="2:18">
      <c r="C719" s="2" t="s">
        <v>5</v>
      </c>
      <c r="D719" s="2" t="s">
        <v>855</v>
      </c>
      <c r="E719" s="3">
        <v>44</v>
      </c>
      <c r="F719" s="3">
        <v>10</v>
      </c>
      <c r="G719" s="4">
        <v>44671</v>
      </c>
    </row>
    <row r="720" spans="2:18">
      <c r="C720" s="2" t="s">
        <v>5</v>
      </c>
      <c r="D720" s="2" t="s">
        <v>712</v>
      </c>
      <c r="E720" s="3">
        <v>50</v>
      </c>
      <c r="F720" s="3">
        <f>30/12</f>
        <v>2.5</v>
      </c>
      <c r="G720" s="4">
        <v>44796</v>
      </c>
    </row>
    <row r="721" spans="2:18">
      <c r="C721" s="2" t="s">
        <v>4</v>
      </c>
      <c r="D721" s="2" t="s">
        <v>712</v>
      </c>
      <c r="E721" s="3">
        <v>12.5</v>
      </c>
      <c r="F721" s="3">
        <v>3</v>
      </c>
      <c r="G721" s="4">
        <v>44623</v>
      </c>
    </row>
    <row r="722" spans="2:18">
      <c r="C722" s="2" t="s">
        <v>7</v>
      </c>
      <c r="D722" s="2" t="s">
        <v>464</v>
      </c>
      <c r="E722" s="3">
        <v>26.8</v>
      </c>
      <c r="F722" s="3">
        <v>4</v>
      </c>
      <c r="G722" s="4">
        <v>44600</v>
      </c>
    </row>
    <row r="723" spans="2:18">
      <c r="C723" s="2" t="s">
        <v>18</v>
      </c>
      <c r="D723" s="2" t="s">
        <v>325</v>
      </c>
      <c r="E723" s="3">
        <v>8</v>
      </c>
      <c r="F723" s="3">
        <v>8</v>
      </c>
      <c r="G723" s="4">
        <v>45055</v>
      </c>
    </row>
    <row r="724" spans="2:18">
      <c r="C724" s="2" t="s">
        <v>9</v>
      </c>
      <c r="D724" s="2" t="s">
        <v>23</v>
      </c>
      <c r="E724" s="3">
        <v>222</v>
      </c>
      <c r="F724" s="3">
        <f>200/21</f>
        <v>9.5238095238095237</v>
      </c>
      <c r="G724" s="4">
        <v>44194</v>
      </c>
      <c r="I724" s="1">
        <v>2500</v>
      </c>
      <c r="J724" s="1">
        <v>2500</v>
      </c>
    </row>
    <row r="725" spans="2:18">
      <c r="C725" s="2" t="s">
        <v>8</v>
      </c>
      <c r="D725" s="2" t="s">
        <v>23</v>
      </c>
      <c r="E725" s="3">
        <v>200</v>
      </c>
      <c r="F725" s="3">
        <v>30</v>
      </c>
      <c r="G725" s="4">
        <v>43452</v>
      </c>
      <c r="I725" s="1">
        <v>1500</v>
      </c>
      <c r="J725" s="1">
        <v>2500</v>
      </c>
    </row>
    <row r="726" spans="2:18">
      <c r="C726" s="2" t="s">
        <v>7</v>
      </c>
      <c r="D726" s="2" t="s">
        <v>1079</v>
      </c>
      <c r="E726" s="3">
        <v>100</v>
      </c>
      <c r="F726" s="3">
        <v>15</v>
      </c>
      <c r="G726" s="4">
        <v>45106</v>
      </c>
    </row>
    <row r="727" spans="2:18">
      <c r="C727" s="2" t="s">
        <v>7</v>
      </c>
      <c r="D727" s="2" t="s">
        <v>2170</v>
      </c>
      <c r="E727" s="3">
        <v>176</v>
      </c>
      <c r="F727" s="3">
        <v>13</v>
      </c>
      <c r="G727" s="4">
        <v>44578</v>
      </c>
    </row>
    <row r="728" spans="2:18">
      <c r="C728" s="86" t="s">
        <v>18</v>
      </c>
      <c r="D728" s="86" t="s">
        <v>2155</v>
      </c>
      <c r="E728" s="3">
        <v>125</v>
      </c>
      <c r="F728" s="3">
        <v>20</v>
      </c>
      <c r="G728" s="4">
        <v>44126</v>
      </c>
      <c r="I728" s="1">
        <v>1100</v>
      </c>
      <c r="J728" s="1">
        <v>3400</v>
      </c>
    </row>
    <row r="729" spans="2:18">
      <c r="C729" s="86" t="s">
        <v>7</v>
      </c>
      <c r="D729" s="86" t="s">
        <v>2155</v>
      </c>
      <c r="E729" s="3">
        <v>40</v>
      </c>
      <c r="F729" s="3">
        <v>3</v>
      </c>
      <c r="G729" s="4">
        <v>43720</v>
      </c>
      <c r="J729" s="1">
        <v>3400</v>
      </c>
    </row>
    <row r="730" spans="2:18">
      <c r="G730" s="4"/>
    </row>
    <row r="731" spans="2:18" s="12" customFormat="1">
      <c r="B731" s="12" t="s">
        <v>5195</v>
      </c>
      <c r="C731" s="13" t="s">
        <v>984</v>
      </c>
      <c r="D731" s="13" t="s">
        <v>983</v>
      </c>
      <c r="E731" s="15"/>
      <c r="F731" s="15">
        <f>SUM(F732:F743)</f>
        <v>147.95476190476191</v>
      </c>
      <c r="G731" s="14">
        <f>G732</f>
        <v>44776</v>
      </c>
    </row>
    <row r="732" spans="2:18">
      <c r="C732" s="2" t="s">
        <v>8</v>
      </c>
      <c r="D732" s="2" t="s">
        <v>456</v>
      </c>
      <c r="E732" s="3">
        <v>90</v>
      </c>
      <c r="F732" s="3">
        <v>20</v>
      </c>
      <c r="G732" s="4">
        <v>44776</v>
      </c>
      <c r="M732" s="1"/>
      <c r="N732" s="1"/>
      <c r="O732" s="1"/>
      <c r="P732" s="1"/>
      <c r="Q732" s="1"/>
      <c r="R732" s="1"/>
    </row>
    <row r="733" spans="2:18">
      <c r="C733" s="2" t="s">
        <v>8</v>
      </c>
      <c r="D733" s="2" t="s">
        <v>218</v>
      </c>
      <c r="E733" s="3">
        <v>700</v>
      </c>
      <c r="F733" s="3">
        <f>400/12</f>
        <v>33.333333333333336</v>
      </c>
      <c r="G733" s="4">
        <v>44218</v>
      </c>
      <c r="M733" s="1"/>
      <c r="N733" s="1"/>
      <c r="O733" s="1"/>
      <c r="P733" s="1"/>
      <c r="Q733" s="1"/>
      <c r="R733" s="1"/>
    </row>
    <row r="734" spans="2:18">
      <c r="C734" s="2" t="s">
        <v>7</v>
      </c>
      <c r="D734" s="2" t="s">
        <v>113</v>
      </c>
      <c r="E734" s="3">
        <v>37</v>
      </c>
      <c r="F734" s="3">
        <v>6.5</v>
      </c>
      <c r="G734" s="4">
        <v>43783</v>
      </c>
      <c r="M734" s="1"/>
      <c r="N734" s="1"/>
      <c r="O734" s="1"/>
      <c r="P734" s="1"/>
      <c r="Q734" s="1"/>
      <c r="R734" s="1"/>
    </row>
    <row r="735" spans="2:18">
      <c r="C735" s="2" t="s">
        <v>5</v>
      </c>
      <c r="D735" s="2" t="s">
        <v>113</v>
      </c>
      <c r="E735" s="3">
        <v>15</v>
      </c>
      <c r="F735" s="3">
        <f>E735/2</f>
        <v>7.5</v>
      </c>
      <c r="G735" s="4">
        <v>43262</v>
      </c>
      <c r="M735" s="1"/>
      <c r="N735" s="1"/>
      <c r="O735" s="1"/>
      <c r="P735" s="1"/>
      <c r="Q735" s="1"/>
      <c r="R735" s="1"/>
    </row>
    <row r="736" spans="2:18">
      <c r="C736" s="2" t="s">
        <v>8</v>
      </c>
      <c r="D736" s="2" t="s">
        <v>104</v>
      </c>
      <c r="E736" s="3">
        <v>30</v>
      </c>
      <c r="F736" s="3">
        <f>20/7</f>
        <v>2.8571428571428572</v>
      </c>
      <c r="G736" s="4">
        <v>43178</v>
      </c>
      <c r="M736" s="1"/>
      <c r="N736" s="1"/>
      <c r="O736" s="1"/>
      <c r="P736" s="1"/>
      <c r="Q736" s="1"/>
      <c r="R736" s="1"/>
    </row>
    <row r="737" spans="2:18">
      <c r="C737" s="2" t="s">
        <v>8</v>
      </c>
      <c r="D737" s="2" t="s">
        <v>104</v>
      </c>
      <c r="E737" s="3">
        <v>40</v>
      </c>
      <c r="F737" s="3">
        <v>7</v>
      </c>
      <c r="G737" s="4">
        <v>42493</v>
      </c>
      <c r="M737" s="1"/>
      <c r="N737" s="1"/>
      <c r="O737" s="1"/>
      <c r="P737" s="1"/>
      <c r="Q737" s="1"/>
      <c r="R737" s="1"/>
    </row>
    <row r="738" spans="2:18">
      <c r="C738" s="2" t="s">
        <v>18</v>
      </c>
      <c r="D738" s="2" t="s">
        <v>104</v>
      </c>
      <c r="E738" s="3">
        <v>24</v>
      </c>
      <c r="F738" s="3">
        <v>12</v>
      </c>
      <c r="G738" s="4">
        <v>41921</v>
      </c>
      <c r="M738" s="1"/>
      <c r="N738" s="1"/>
      <c r="O738" s="1"/>
      <c r="P738" s="1"/>
      <c r="Q738" s="1"/>
      <c r="R738" s="1"/>
    </row>
    <row r="739" spans="2:18">
      <c r="C739" s="86" t="s">
        <v>8</v>
      </c>
      <c r="D739" s="86" t="s">
        <v>5084</v>
      </c>
      <c r="E739" s="3">
        <v>83</v>
      </c>
      <c r="F739" s="3">
        <v>6.8</v>
      </c>
      <c r="G739" s="4">
        <v>44320</v>
      </c>
      <c r="I739" s="1">
        <v>3600</v>
      </c>
      <c r="J739" s="1">
        <v>3600</v>
      </c>
      <c r="M739" s="1"/>
      <c r="N739" s="1"/>
      <c r="O739" s="1"/>
      <c r="P739" s="1"/>
      <c r="Q739" s="1"/>
      <c r="R739" s="1"/>
    </row>
    <row r="740" spans="2:18">
      <c r="C740" s="86" t="s">
        <v>18</v>
      </c>
      <c r="D740" s="86" t="s">
        <v>5084</v>
      </c>
      <c r="E740" s="3">
        <v>100</v>
      </c>
      <c r="F740" s="3">
        <v>10</v>
      </c>
      <c r="G740" s="4">
        <v>43937</v>
      </c>
      <c r="I740" s="1">
        <v>1100</v>
      </c>
      <c r="J740" s="1">
        <v>3600</v>
      </c>
      <c r="M740" s="1"/>
      <c r="N740" s="1"/>
      <c r="O740" s="1"/>
      <c r="P740" s="1"/>
      <c r="Q740" s="1"/>
      <c r="R740" s="1"/>
    </row>
    <row r="741" spans="2:18">
      <c r="C741" s="86" t="s">
        <v>7</v>
      </c>
      <c r="D741" s="86" t="s">
        <v>5084</v>
      </c>
      <c r="E741" s="3">
        <v>25</v>
      </c>
      <c r="F741" s="3">
        <f>E741/4</f>
        <v>6.25</v>
      </c>
      <c r="G741" s="4">
        <v>43172</v>
      </c>
      <c r="J741" s="1">
        <v>3600</v>
      </c>
      <c r="M741" s="1"/>
      <c r="N741" s="1"/>
      <c r="O741" s="1"/>
      <c r="P741" s="1"/>
      <c r="Q741" s="1"/>
      <c r="R741" s="1"/>
    </row>
    <row r="742" spans="2:18">
      <c r="C742" s="96" t="s">
        <v>9</v>
      </c>
      <c r="D742" s="96" t="s">
        <v>2150</v>
      </c>
      <c r="E742" s="3">
        <v>100</v>
      </c>
      <c r="F742" s="3">
        <f>75/7</f>
        <v>10.714285714285714</v>
      </c>
      <c r="G742" s="4">
        <v>44507</v>
      </c>
      <c r="I742" s="1">
        <v>1600</v>
      </c>
      <c r="J742" s="1">
        <v>1600</v>
      </c>
      <c r="M742" s="1"/>
      <c r="N742" s="1"/>
      <c r="O742" s="1"/>
      <c r="P742" s="1"/>
      <c r="Q742" s="1"/>
      <c r="R742" s="1"/>
    </row>
    <row r="743" spans="2:18">
      <c r="C743" s="96" t="s">
        <v>8</v>
      </c>
      <c r="D743" s="96" t="s">
        <v>2150</v>
      </c>
      <c r="E743" s="3">
        <v>72.5</v>
      </c>
      <c r="F743" s="3">
        <v>25</v>
      </c>
      <c r="G743" s="4">
        <v>43697</v>
      </c>
      <c r="J743" s="1">
        <v>1600</v>
      </c>
      <c r="M743" s="1"/>
      <c r="N743" s="1"/>
      <c r="O743" s="1"/>
      <c r="P743" s="1"/>
      <c r="Q743" s="1"/>
      <c r="R743" s="1"/>
    </row>
    <row r="744" spans="2:18">
      <c r="G744" s="4"/>
      <c r="M744" s="1"/>
      <c r="N744" s="1"/>
      <c r="O744" s="1"/>
      <c r="P744" s="1"/>
      <c r="Q744" s="1"/>
      <c r="R744" s="1"/>
    </row>
    <row r="745" spans="2:18">
      <c r="B745" s="12" t="s">
        <v>1125</v>
      </c>
      <c r="C745" s="13" t="s">
        <v>984</v>
      </c>
      <c r="D745" s="13" t="s">
        <v>983</v>
      </c>
      <c r="F745" s="15">
        <f>SUM(F746:F768)</f>
        <v>146.41666666666666</v>
      </c>
      <c r="G745" s="14">
        <f>+G755</f>
        <v>45020</v>
      </c>
      <c r="I745" s="1">
        <v>700</v>
      </c>
      <c r="J745" s="19">
        <f>(F746+F754+F755)/I745</f>
        <v>2.5714285714285714E-2</v>
      </c>
      <c r="K745" s="1">
        <v>2022</v>
      </c>
    </row>
    <row r="746" spans="2:18">
      <c r="C746" s="2" t="s">
        <v>18</v>
      </c>
      <c r="D746" s="2" t="s">
        <v>972</v>
      </c>
      <c r="E746" s="3">
        <v>50</v>
      </c>
      <c r="F746" s="3">
        <v>6</v>
      </c>
      <c r="G746" s="4">
        <v>44900</v>
      </c>
      <c r="I746" s="1">
        <v>1400</v>
      </c>
      <c r="J746" s="19">
        <f>+F745/I746</f>
        <v>0.10458333333333332</v>
      </c>
      <c r="K746" s="1">
        <v>2012</v>
      </c>
    </row>
    <row r="747" spans="2:18">
      <c r="C747" s="2" t="s">
        <v>7</v>
      </c>
      <c r="D747" s="2" t="s">
        <v>972</v>
      </c>
      <c r="E747" s="3">
        <v>35</v>
      </c>
      <c r="F747" s="3">
        <v>5</v>
      </c>
      <c r="G747" s="4">
        <v>44543</v>
      </c>
    </row>
    <row r="748" spans="2:18">
      <c r="C748" s="2" t="s">
        <v>5</v>
      </c>
      <c r="D748" s="2" t="s">
        <v>972</v>
      </c>
      <c r="E748" s="3">
        <v>8.5</v>
      </c>
      <c r="F748" s="3">
        <v>5</v>
      </c>
      <c r="G748" s="4">
        <v>44181</v>
      </c>
    </row>
    <row r="749" spans="2:18">
      <c r="C749" s="2" t="s">
        <v>18</v>
      </c>
      <c r="D749" s="2" t="s">
        <v>1080</v>
      </c>
      <c r="E749" s="3">
        <v>85</v>
      </c>
      <c r="F749" s="3">
        <v>10</v>
      </c>
      <c r="G749" s="4">
        <v>44501</v>
      </c>
    </row>
    <row r="750" spans="2:18">
      <c r="C750" s="2" t="s">
        <v>7</v>
      </c>
      <c r="D750" s="2" t="s">
        <v>1080</v>
      </c>
      <c r="E750" s="3">
        <v>28</v>
      </c>
      <c r="F750" s="3">
        <v>5</v>
      </c>
      <c r="G750" s="4">
        <v>44272</v>
      </c>
    </row>
    <row r="751" spans="2:18">
      <c r="C751" s="2" t="s">
        <v>5</v>
      </c>
      <c r="D751" s="2" t="s">
        <v>1080</v>
      </c>
      <c r="E751" s="3">
        <v>15</v>
      </c>
      <c r="F751" s="3">
        <v>10</v>
      </c>
      <c r="G751" s="4">
        <v>43924</v>
      </c>
    </row>
    <row r="752" spans="2:18">
      <c r="C752" s="2" t="s">
        <v>4</v>
      </c>
      <c r="D752" s="2" t="s">
        <v>1080</v>
      </c>
      <c r="E752" s="3">
        <v>2.9</v>
      </c>
      <c r="F752" s="3">
        <v>1</v>
      </c>
      <c r="G752" s="4">
        <v>43761</v>
      </c>
    </row>
    <row r="753" spans="3:7">
      <c r="C753" s="2" t="s">
        <v>5</v>
      </c>
      <c r="D753" s="2" t="s">
        <v>844</v>
      </c>
      <c r="E753" s="3">
        <v>20</v>
      </c>
      <c r="F753" s="3">
        <v>2</v>
      </c>
      <c r="G753" s="4">
        <v>43816</v>
      </c>
    </row>
    <row r="754" spans="3:7">
      <c r="C754" s="2" t="s">
        <v>5</v>
      </c>
      <c r="D754" s="2" t="s">
        <v>1010</v>
      </c>
      <c r="E754" s="3">
        <v>23</v>
      </c>
      <c r="F754" s="3">
        <v>5</v>
      </c>
      <c r="G754" s="4">
        <v>44963</v>
      </c>
    </row>
    <row r="755" spans="3:7">
      <c r="C755" s="2" t="s">
        <v>18</v>
      </c>
      <c r="D755" s="2" t="s">
        <v>432</v>
      </c>
      <c r="E755" s="3">
        <v>75</v>
      </c>
      <c r="F755" s="3">
        <v>7</v>
      </c>
      <c r="G755" s="4">
        <v>45020</v>
      </c>
    </row>
    <row r="756" spans="3:7">
      <c r="C756" s="2" t="s">
        <v>18</v>
      </c>
      <c r="D756" s="2" t="s">
        <v>432</v>
      </c>
      <c r="E756" s="3">
        <v>80</v>
      </c>
      <c r="F756" s="3">
        <v>10</v>
      </c>
      <c r="G756" s="4">
        <v>44404</v>
      </c>
    </row>
    <row r="757" spans="3:7">
      <c r="C757" s="2" t="s">
        <v>7</v>
      </c>
      <c r="D757" s="2" t="s">
        <v>432</v>
      </c>
      <c r="E757" s="3">
        <v>40</v>
      </c>
      <c r="F757" s="3">
        <v>10</v>
      </c>
      <c r="G757" s="4">
        <v>43957</v>
      </c>
    </row>
    <row r="758" spans="3:7">
      <c r="C758" s="2" t="s">
        <v>5</v>
      </c>
      <c r="D758" s="2" t="s">
        <v>432</v>
      </c>
      <c r="E758" s="3">
        <v>20</v>
      </c>
      <c r="F758" s="3">
        <v>20</v>
      </c>
      <c r="G758" s="4">
        <v>43480</v>
      </c>
    </row>
    <row r="759" spans="3:7">
      <c r="C759" s="2" t="s">
        <v>4</v>
      </c>
      <c r="D759" s="2" t="s">
        <v>432</v>
      </c>
      <c r="E759" s="3">
        <v>7</v>
      </c>
      <c r="F759" s="3">
        <v>2</v>
      </c>
      <c r="G759" s="4">
        <v>43046</v>
      </c>
    </row>
    <row r="760" spans="3:7">
      <c r="C760" s="2" t="s">
        <v>7</v>
      </c>
      <c r="D760" s="2" t="s">
        <v>1088</v>
      </c>
      <c r="E760" s="3">
        <v>37</v>
      </c>
      <c r="F760" s="3">
        <v>4</v>
      </c>
      <c r="G760" s="4">
        <v>44860</v>
      </c>
    </row>
    <row r="761" spans="3:7">
      <c r="C761" s="2" t="s">
        <v>7</v>
      </c>
      <c r="D761" s="2" t="s">
        <v>1088</v>
      </c>
      <c r="E761" s="3">
        <v>80</v>
      </c>
      <c r="F761" s="3">
        <v>10</v>
      </c>
      <c r="G761" s="4">
        <v>44327</v>
      </c>
    </row>
    <row r="762" spans="3:7">
      <c r="C762" s="2" t="s">
        <v>5</v>
      </c>
      <c r="D762" s="2" t="s">
        <v>1088</v>
      </c>
      <c r="E762" s="3">
        <v>30</v>
      </c>
      <c r="F762" s="3">
        <v>7</v>
      </c>
      <c r="G762" s="4">
        <v>43963</v>
      </c>
    </row>
    <row r="763" spans="3:7">
      <c r="C763" s="2" t="s">
        <v>18</v>
      </c>
      <c r="D763" s="2" t="s">
        <v>317</v>
      </c>
      <c r="E763" s="3">
        <v>110</v>
      </c>
      <c r="F763" s="3">
        <f>70/5</f>
        <v>14</v>
      </c>
      <c r="G763" s="4">
        <v>44369</v>
      </c>
    </row>
    <row r="764" spans="3:7">
      <c r="C764" s="2" t="s">
        <v>7</v>
      </c>
      <c r="D764" s="2" t="s">
        <v>317</v>
      </c>
      <c r="E764" s="3">
        <v>40</v>
      </c>
      <c r="F764" s="3">
        <v>4</v>
      </c>
      <c r="G764" s="4">
        <v>43419</v>
      </c>
    </row>
    <row r="765" spans="3:7">
      <c r="C765" s="2" t="s">
        <v>5</v>
      </c>
      <c r="D765" s="2" t="s">
        <v>317</v>
      </c>
      <c r="E765" s="3">
        <v>14.7</v>
      </c>
      <c r="F765" s="3">
        <v>2.25</v>
      </c>
      <c r="G765" s="4">
        <v>43032</v>
      </c>
    </row>
    <row r="766" spans="3:7">
      <c r="C766" s="2" t="s">
        <v>7</v>
      </c>
      <c r="D766" s="2" t="s">
        <v>97</v>
      </c>
      <c r="E766" s="3">
        <v>25</v>
      </c>
      <c r="F766" s="3">
        <v>3</v>
      </c>
      <c r="G766" s="4">
        <v>43783</v>
      </c>
    </row>
    <row r="767" spans="3:7">
      <c r="C767" s="2" t="s">
        <v>5</v>
      </c>
      <c r="D767" s="2" t="s">
        <v>97</v>
      </c>
      <c r="E767" s="3">
        <v>10</v>
      </c>
      <c r="F767" s="3">
        <v>2.5</v>
      </c>
      <c r="G767" s="4">
        <v>42304</v>
      </c>
    </row>
    <row r="768" spans="3:7">
      <c r="C768" s="2" t="s">
        <v>4</v>
      </c>
      <c r="D768" s="2" t="s">
        <v>97</v>
      </c>
      <c r="E768" s="3">
        <v>5</v>
      </c>
      <c r="F768" s="3">
        <f>E768/3</f>
        <v>1.6666666666666667</v>
      </c>
      <c r="G768" s="4">
        <v>41940</v>
      </c>
    </row>
    <row r="769" spans="2:18">
      <c r="G769" s="4"/>
    </row>
    <row r="770" spans="2:18" s="12" customFormat="1">
      <c r="B770" s="12" t="s">
        <v>256</v>
      </c>
      <c r="C770" s="13" t="s">
        <v>984</v>
      </c>
      <c r="D770" s="13" t="s">
        <v>983</v>
      </c>
      <c r="E770" s="15"/>
      <c r="F770" s="15">
        <f>SUM(F771:F773)</f>
        <v>146</v>
      </c>
      <c r="G770" s="14">
        <f>G772</f>
        <v>43923</v>
      </c>
      <c r="M770" s="13"/>
      <c r="N770" s="13"/>
      <c r="O770" s="13"/>
      <c r="P770" s="13"/>
      <c r="Q770" s="13"/>
      <c r="R770" s="13"/>
    </row>
    <row r="771" spans="2:18">
      <c r="C771" s="2" t="s">
        <v>18</v>
      </c>
      <c r="D771" s="2" t="s">
        <v>252</v>
      </c>
      <c r="E771" s="3">
        <v>820</v>
      </c>
      <c r="F771" s="3">
        <f>600/6</f>
        <v>100</v>
      </c>
      <c r="G771" s="4">
        <v>43223</v>
      </c>
    </row>
    <row r="772" spans="2:18">
      <c r="C772" s="2" t="s">
        <v>18</v>
      </c>
      <c r="D772" s="2" t="s">
        <v>218</v>
      </c>
      <c r="E772" s="3">
        <v>230</v>
      </c>
      <c r="F772" s="3">
        <v>38</v>
      </c>
      <c r="G772" s="4">
        <v>43923</v>
      </c>
    </row>
    <row r="773" spans="2:18">
      <c r="C773" s="2" t="s">
        <v>5</v>
      </c>
      <c r="D773" s="2" t="s">
        <v>166</v>
      </c>
      <c r="E773" s="3">
        <v>102</v>
      </c>
      <c r="F773" s="3">
        <v>8</v>
      </c>
      <c r="G773" s="4">
        <v>43292</v>
      </c>
    </row>
    <row r="774" spans="2:18">
      <c r="G774" s="4"/>
    </row>
    <row r="775" spans="2:18" s="12" customFormat="1">
      <c r="B775" s="12" t="s">
        <v>4505</v>
      </c>
      <c r="C775" s="13" t="s">
        <v>984</v>
      </c>
      <c r="D775" s="13" t="s">
        <v>983</v>
      </c>
      <c r="E775" s="15"/>
      <c r="F775" s="15">
        <f>SUM(F776:F777)</f>
        <v>140</v>
      </c>
      <c r="G775" s="14">
        <f>G776</f>
        <v>44237</v>
      </c>
      <c r="M775" s="13"/>
      <c r="N775" s="13"/>
      <c r="O775" s="13"/>
      <c r="P775" s="13"/>
      <c r="Q775" s="13"/>
      <c r="R775" s="13"/>
    </row>
    <row r="776" spans="2:18">
      <c r="C776" s="2" t="s">
        <v>8</v>
      </c>
      <c r="D776" s="2" t="s">
        <v>2176</v>
      </c>
      <c r="E776" s="3">
        <v>200</v>
      </c>
      <c r="F776" s="3">
        <v>40</v>
      </c>
      <c r="G776" s="4">
        <v>44237</v>
      </c>
    </row>
    <row r="777" spans="2:18">
      <c r="C777" s="2" t="s">
        <v>18</v>
      </c>
      <c r="D777" s="2" t="s">
        <v>2176</v>
      </c>
      <c r="E777" s="3">
        <v>100</v>
      </c>
      <c r="F777" s="3">
        <v>100</v>
      </c>
      <c r="G777" s="4">
        <v>44158</v>
      </c>
    </row>
    <row r="778" spans="2:18">
      <c r="G778" s="4"/>
    </row>
    <row r="779" spans="2:18" s="12" customFormat="1">
      <c r="B779" s="12" t="s">
        <v>264</v>
      </c>
      <c r="C779" s="13" t="s">
        <v>984</v>
      </c>
      <c r="D779" s="13" t="s">
        <v>983</v>
      </c>
      <c r="E779" s="15"/>
      <c r="F779" s="15">
        <f>SUM(F780:F781)</f>
        <v>137.5</v>
      </c>
      <c r="G779" s="14">
        <f>G780</f>
        <v>44502</v>
      </c>
      <c r="M779" s="13"/>
      <c r="N779" s="13"/>
      <c r="O779" s="13"/>
      <c r="P779" s="13"/>
      <c r="Q779" s="13"/>
      <c r="R779" s="13"/>
    </row>
    <row r="780" spans="2:18">
      <c r="C780" s="2" t="s">
        <v>8</v>
      </c>
      <c r="D780" s="2" t="s">
        <v>260</v>
      </c>
      <c r="E780" s="3">
        <v>600</v>
      </c>
      <c r="F780" s="3">
        <f>500/8</f>
        <v>62.5</v>
      </c>
      <c r="G780" s="4">
        <v>44502</v>
      </c>
    </row>
    <row r="781" spans="2:18">
      <c r="C781" s="2" t="s">
        <v>18</v>
      </c>
      <c r="D781" s="2" t="s">
        <v>260</v>
      </c>
      <c r="E781" s="3">
        <v>500</v>
      </c>
      <c r="F781" s="3">
        <v>75</v>
      </c>
      <c r="G781" s="4">
        <v>44144</v>
      </c>
    </row>
    <row r="782" spans="2:18">
      <c r="G782" s="4"/>
    </row>
    <row r="783" spans="2:18">
      <c r="B783" s="12" t="s">
        <v>1123</v>
      </c>
      <c r="C783" s="13" t="s">
        <v>984</v>
      </c>
      <c r="D783" s="13" t="s">
        <v>983</v>
      </c>
      <c r="F783" s="15">
        <f>SUM(F784:F794)</f>
        <v>131.78571428571428</v>
      </c>
      <c r="G783" s="14">
        <f>G784</f>
        <v>44852</v>
      </c>
    </row>
    <row r="784" spans="2:18">
      <c r="C784" s="2" t="s">
        <v>5</v>
      </c>
      <c r="D784" s="2" t="s">
        <v>775</v>
      </c>
      <c r="E784" s="3">
        <v>125</v>
      </c>
      <c r="F784" s="3">
        <v>15</v>
      </c>
      <c r="G784" s="4">
        <v>44852</v>
      </c>
    </row>
    <row r="785" spans="2:18">
      <c r="C785" s="2" t="s">
        <v>5</v>
      </c>
      <c r="D785" s="2" t="s">
        <v>728</v>
      </c>
      <c r="E785" s="3">
        <v>12.5</v>
      </c>
      <c r="F785" s="3">
        <v>2</v>
      </c>
      <c r="G785" s="4">
        <v>44784</v>
      </c>
    </row>
    <row r="786" spans="2:18">
      <c r="C786" s="2" t="s">
        <v>5</v>
      </c>
      <c r="D786" s="2" t="s">
        <v>728</v>
      </c>
      <c r="E786" s="3">
        <v>10</v>
      </c>
      <c r="F786" s="3">
        <v>2</v>
      </c>
      <c r="G786" s="4">
        <v>44110</v>
      </c>
    </row>
    <row r="787" spans="2:18">
      <c r="C787" s="2" t="s">
        <v>7</v>
      </c>
      <c r="D787" s="2" t="s">
        <v>617</v>
      </c>
      <c r="E787" s="3">
        <v>25</v>
      </c>
      <c r="F787" s="3">
        <v>2</v>
      </c>
      <c r="G787" s="4">
        <v>43440</v>
      </c>
    </row>
    <row r="788" spans="2:18">
      <c r="C788" s="2" t="s">
        <v>18</v>
      </c>
      <c r="D788" s="2" t="s">
        <v>381</v>
      </c>
      <c r="E788" s="3">
        <v>130</v>
      </c>
      <c r="F788" s="3">
        <v>14.285714285714286</v>
      </c>
      <c r="G788" s="4">
        <v>44323</v>
      </c>
    </row>
    <row r="789" spans="2:18">
      <c r="C789" s="2" t="s">
        <v>7</v>
      </c>
      <c r="D789" s="2" t="s">
        <v>381</v>
      </c>
      <c r="E789" s="3">
        <v>44</v>
      </c>
      <c r="F789" s="3">
        <v>5</v>
      </c>
      <c r="G789" s="4">
        <v>43909</v>
      </c>
    </row>
    <row r="790" spans="2:18">
      <c r="C790" s="2" t="s">
        <v>5</v>
      </c>
      <c r="D790" s="2" t="s">
        <v>381</v>
      </c>
      <c r="E790" s="3">
        <v>15</v>
      </c>
      <c r="F790" s="3">
        <v>3</v>
      </c>
      <c r="G790" s="4">
        <v>43452</v>
      </c>
    </row>
    <row r="791" spans="2:18">
      <c r="C791" s="2" t="s">
        <v>4</v>
      </c>
      <c r="D791" s="2" t="s">
        <v>381</v>
      </c>
      <c r="E791" s="3">
        <v>2.5</v>
      </c>
      <c r="F791" s="3">
        <v>1.5</v>
      </c>
      <c r="G791" s="4">
        <v>42936</v>
      </c>
    </row>
    <row r="792" spans="2:18">
      <c r="C792" s="2" t="s">
        <v>8</v>
      </c>
      <c r="D792" s="2" t="s">
        <v>15</v>
      </c>
      <c r="E792" s="3">
        <v>220</v>
      </c>
      <c r="F792" s="3">
        <v>30</v>
      </c>
      <c r="G792" s="4">
        <v>44502</v>
      </c>
      <c r="I792" s="1">
        <v>794</v>
      </c>
      <c r="J792" s="1">
        <v>794</v>
      </c>
    </row>
    <row r="793" spans="2:18">
      <c r="C793" s="2" t="s">
        <v>8</v>
      </c>
      <c r="D793" s="2" t="s">
        <v>15</v>
      </c>
      <c r="E793" s="3">
        <v>220</v>
      </c>
      <c r="F793" s="3">
        <v>27</v>
      </c>
      <c r="G793" s="4">
        <v>44322</v>
      </c>
      <c r="I793" s="1">
        <v>780</v>
      </c>
      <c r="J793" s="1">
        <v>780</v>
      </c>
    </row>
    <row r="794" spans="2:18">
      <c r="C794" s="2" t="s">
        <v>18</v>
      </c>
      <c r="D794" s="2" t="s">
        <v>15</v>
      </c>
      <c r="E794" s="3">
        <v>60</v>
      </c>
      <c r="F794" s="3">
        <v>30</v>
      </c>
      <c r="G794" s="4">
        <v>43528</v>
      </c>
    </row>
    <row r="795" spans="2:18">
      <c r="G795" s="4"/>
    </row>
    <row r="796" spans="2:18" s="12" customFormat="1">
      <c r="B796" s="12" t="s">
        <v>198</v>
      </c>
      <c r="C796" s="13" t="s">
        <v>984</v>
      </c>
      <c r="D796" s="13" t="s">
        <v>983</v>
      </c>
      <c r="E796" s="15"/>
      <c r="F796" s="15">
        <f>SUM(F797:F800)</f>
        <v>131.18333333333334</v>
      </c>
      <c r="G796" s="14">
        <f>G798</f>
        <v>44384</v>
      </c>
      <c r="M796" s="13"/>
      <c r="N796" s="13"/>
      <c r="O796" s="13"/>
      <c r="P796" s="13"/>
      <c r="Q796" s="13"/>
      <c r="R796" s="13"/>
    </row>
    <row r="797" spans="2:18">
      <c r="C797" s="2" t="s">
        <v>55</v>
      </c>
      <c r="D797" s="2" t="s">
        <v>181</v>
      </c>
      <c r="E797" s="3">
        <v>475</v>
      </c>
      <c r="F797" s="3">
        <f>E797/12</f>
        <v>39.583333333333336</v>
      </c>
      <c r="G797" s="4">
        <v>44278</v>
      </c>
    </row>
    <row r="798" spans="2:18">
      <c r="C798" s="2" t="s">
        <v>18</v>
      </c>
      <c r="D798" s="2" t="s">
        <v>197</v>
      </c>
      <c r="E798" s="3">
        <v>235</v>
      </c>
      <c r="F798" s="3">
        <v>75</v>
      </c>
      <c r="G798" s="4">
        <v>44384</v>
      </c>
    </row>
    <row r="799" spans="2:18">
      <c r="C799" s="2" t="s">
        <v>7</v>
      </c>
      <c r="D799" s="2" t="s">
        <v>197</v>
      </c>
      <c r="E799" s="3">
        <v>43</v>
      </c>
      <c r="F799" s="3">
        <f>+E799/5</f>
        <v>8.6</v>
      </c>
      <c r="G799" s="4">
        <v>44077</v>
      </c>
    </row>
    <row r="800" spans="2:18">
      <c r="C800" s="2" t="s">
        <v>5</v>
      </c>
      <c r="D800" s="2" t="s">
        <v>197</v>
      </c>
      <c r="E800" s="3">
        <v>28</v>
      </c>
      <c r="F800" s="3">
        <v>8</v>
      </c>
      <c r="G800" s="4">
        <v>43301</v>
      </c>
    </row>
    <row r="801" spans="2:18">
      <c r="G801" s="4"/>
    </row>
    <row r="802" spans="2:18" s="12" customFormat="1">
      <c r="B802" s="12" t="s">
        <v>569</v>
      </c>
      <c r="C802" s="13" t="s">
        <v>984</v>
      </c>
      <c r="D802" s="13" t="s">
        <v>983</v>
      </c>
      <c r="E802" s="15"/>
      <c r="F802" s="15">
        <f>SUM(F803:F805)</f>
        <v>130.5</v>
      </c>
      <c r="G802" s="14">
        <f>G803</f>
        <v>45077</v>
      </c>
    </row>
    <row r="803" spans="2:18">
      <c r="C803" s="2" t="s">
        <v>7</v>
      </c>
      <c r="D803" s="2" t="s">
        <v>558</v>
      </c>
      <c r="E803" s="3">
        <v>20</v>
      </c>
      <c r="F803" s="3">
        <v>8</v>
      </c>
      <c r="G803" s="4">
        <v>45077</v>
      </c>
      <c r="M803" s="1"/>
      <c r="N803" s="1"/>
      <c r="O803" s="1"/>
      <c r="P803" s="1"/>
      <c r="Q803" s="1"/>
      <c r="R803" s="1"/>
    </row>
    <row r="804" spans="2:18">
      <c r="C804" s="2" t="s">
        <v>8</v>
      </c>
      <c r="D804" s="2" t="s">
        <v>239</v>
      </c>
      <c r="E804" s="3">
        <v>750</v>
      </c>
      <c r="F804" s="3">
        <f>450/4</f>
        <v>112.5</v>
      </c>
      <c r="G804" s="4">
        <v>43593</v>
      </c>
      <c r="M804" s="1"/>
      <c r="N804" s="1"/>
      <c r="O804" s="1"/>
      <c r="P804" s="1"/>
      <c r="Q804" s="1"/>
      <c r="R804" s="1"/>
    </row>
    <row r="805" spans="2:18">
      <c r="C805" s="2" t="s">
        <v>7</v>
      </c>
      <c r="D805" s="2" t="s">
        <v>89</v>
      </c>
      <c r="E805" s="3">
        <v>25</v>
      </c>
      <c r="F805" s="3">
        <v>10</v>
      </c>
      <c r="G805" s="4">
        <v>44642</v>
      </c>
      <c r="M805" s="1"/>
      <c r="N805" s="1"/>
      <c r="O805" s="1"/>
      <c r="P805" s="1"/>
      <c r="Q805" s="1"/>
      <c r="R805" s="1"/>
    </row>
    <row r="806" spans="2:18">
      <c r="G806" s="4"/>
      <c r="M806" s="1"/>
      <c r="N806" s="1"/>
      <c r="O806" s="1"/>
      <c r="P806" s="1"/>
      <c r="Q806" s="1"/>
      <c r="R806" s="1"/>
    </row>
    <row r="807" spans="2:18" s="12" customFormat="1">
      <c r="B807" s="12" t="s">
        <v>1104</v>
      </c>
      <c r="C807" s="13" t="s">
        <v>984</v>
      </c>
      <c r="D807" s="13" t="s">
        <v>983</v>
      </c>
      <c r="E807" s="15"/>
      <c r="F807" s="15">
        <f>SUM(F808:F825)</f>
        <v>131.30000000000001</v>
      </c>
      <c r="G807" s="14">
        <f>G809</f>
        <v>45005</v>
      </c>
      <c r="M807" s="13"/>
      <c r="N807" s="13"/>
      <c r="O807" s="13"/>
      <c r="P807" s="13"/>
      <c r="Q807" s="13"/>
      <c r="R807" s="13"/>
    </row>
    <row r="808" spans="2:18">
      <c r="C808" s="2" t="s">
        <v>5</v>
      </c>
      <c r="D808" s="2" t="s">
        <v>693</v>
      </c>
      <c r="E808" s="3">
        <v>15</v>
      </c>
      <c r="F808" s="3">
        <v>5</v>
      </c>
      <c r="G808" s="4">
        <v>44838</v>
      </c>
    </row>
    <row r="809" spans="2:18">
      <c r="C809" s="2" t="s">
        <v>5</v>
      </c>
      <c r="D809" s="2" t="s">
        <v>699</v>
      </c>
      <c r="E809" s="3">
        <v>13</v>
      </c>
      <c r="F809" s="3">
        <v>3</v>
      </c>
      <c r="G809" s="4">
        <v>45005</v>
      </c>
    </row>
    <row r="810" spans="2:18">
      <c r="C810" s="2" t="s">
        <v>5</v>
      </c>
      <c r="D810" s="2" t="s">
        <v>651</v>
      </c>
      <c r="E810" s="3">
        <v>11</v>
      </c>
      <c r="F810" s="3">
        <v>7</v>
      </c>
      <c r="G810" s="4">
        <v>44959</v>
      </c>
    </row>
    <row r="811" spans="2:18">
      <c r="C811" s="2" t="s">
        <v>8</v>
      </c>
      <c r="D811" s="2" t="s">
        <v>1103</v>
      </c>
      <c r="E811" s="3">
        <v>90</v>
      </c>
      <c r="F811" s="3">
        <v>5</v>
      </c>
      <c r="G811" s="4">
        <v>44776</v>
      </c>
    </row>
    <row r="812" spans="2:18">
      <c r="C812" s="2" t="s">
        <v>18</v>
      </c>
      <c r="D812" s="2" t="s">
        <v>1103</v>
      </c>
      <c r="E812" s="3">
        <v>40</v>
      </c>
      <c r="F812" s="3">
        <v>3.75</v>
      </c>
      <c r="G812" s="4">
        <v>44176</v>
      </c>
    </row>
    <row r="813" spans="2:18">
      <c r="C813" s="2" t="s">
        <v>7</v>
      </c>
      <c r="D813" s="2" t="s">
        <v>1103</v>
      </c>
      <c r="E813" s="3">
        <v>20</v>
      </c>
      <c r="F813" s="3">
        <v>5</v>
      </c>
      <c r="G813" s="4">
        <v>43879</v>
      </c>
    </row>
    <row r="814" spans="2:18">
      <c r="C814" s="2" t="s">
        <v>8</v>
      </c>
      <c r="D814" s="2" t="s">
        <v>136</v>
      </c>
      <c r="E814" s="3">
        <v>135</v>
      </c>
      <c r="F814" s="3">
        <v>8</v>
      </c>
      <c r="G814" s="4">
        <v>44880</v>
      </c>
      <c r="I814" s="1">
        <v>615</v>
      </c>
    </row>
    <row r="815" spans="2:18">
      <c r="C815" s="2" t="s">
        <v>7</v>
      </c>
      <c r="D815" s="2" t="s">
        <v>136</v>
      </c>
      <c r="E815" s="3">
        <v>32</v>
      </c>
      <c r="F815" s="3">
        <f>20/4</f>
        <v>5</v>
      </c>
      <c r="G815" s="4">
        <v>42528</v>
      </c>
    </row>
    <row r="816" spans="2:18">
      <c r="C816" s="2" t="s">
        <v>8</v>
      </c>
      <c r="D816" s="2" t="s">
        <v>57</v>
      </c>
      <c r="E816" s="3">
        <v>200</v>
      </c>
      <c r="F816" s="3">
        <v>18.75</v>
      </c>
      <c r="G816" s="4">
        <v>44055</v>
      </c>
      <c r="I816" s="1">
        <v>2000</v>
      </c>
      <c r="J816" s="1">
        <v>7000</v>
      </c>
    </row>
    <row r="817" spans="2:18">
      <c r="C817" s="2" t="s">
        <v>18</v>
      </c>
      <c r="D817" s="2" t="s">
        <v>57</v>
      </c>
      <c r="E817" s="3">
        <v>65</v>
      </c>
      <c r="F817" s="3">
        <v>8</v>
      </c>
      <c r="G817" s="4">
        <v>43802</v>
      </c>
      <c r="I817" s="1">
        <v>685</v>
      </c>
      <c r="J817" s="1">
        <v>7000</v>
      </c>
    </row>
    <row r="818" spans="2:18">
      <c r="C818" s="2" t="s">
        <v>7</v>
      </c>
      <c r="D818" s="2" t="s">
        <v>57</v>
      </c>
      <c r="E818" s="3">
        <v>40</v>
      </c>
      <c r="F818" s="3">
        <v>6.25</v>
      </c>
      <c r="G818" s="4">
        <v>43503</v>
      </c>
      <c r="J818" s="1">
        <v>7000</v>
      </c>
    </row>
    <row r="819" spans="2:18">
      <c r="C819" s="2" t="s">
        <v>5</v>
      </c>
      <c r="D819" s="2" t="s">
        <v>57</v>
      </c>
      <c r="E819" s="3">
        <v>22</v>
      </c>
      <c r="F819" s="3">
        <v>10</v>
      </c>
      <c r="G819" s="4">
        <v>46550</v>
      </c>
      <c r="J819" s="1">
        <v>7000</v>
      </c>
    </row>
    <row r="820" spans="2:18">
      <c r="C820" s="2" t="s">
        <v>4</v>
      </c>
      <c r="D820" s="2" t="s">
        <v>57</v>
      </c>
      <c r="E820" s="3">
        <v>6</v>
      </c>
      <c r="F820" s="3">
        <v>6</v>
      </c>
      <c r="G820" s="4">
        <v>42542</v>
      </c>
      <c r="J820" s="1">
        <v>7000</v>
      </c>
    </row>
    <row r="821" spans="2:18">
      <c r="C821" s="86" t="s">
        <v>8</v>
      </c>
      <c r="D821" s="86" t="s">
        <v>5084</v>
      </c>
      <c r="E821" s="3">
        <v>83</v>
      </c>
      <c r="F821" s="3">
        <f>68/10</f>
        <v>6.8</v>
      </c>
      <c r="G821" s="4">
        <v>44320</v>
      </c>
      <c r="I821" s="1">
        <v>3600</v>
      </c>
      <c r="J821" s="1">
        <v>3600</v>
      </c>
    </row>
    <row r="822" spans="2:18">
      <c r="C822" s="86" t="s">
        <v>18</v>
      </c>
      <c r="D822" s="86" t="s">
        <v>5084</v>
      </c>
      <c r="E822" s="3">
        <v>100</v>
      </c>
      <c r="F822" s="3">
        <v>10</v>
      </c>
      <c r="G822" s="4">
        <v>43937</v>
      </c>
      <c r="I822" s="1">
        <v>1100</v>
      </c>
      <c r="J822" s="1">
        <v>3600</v>
      </c>
    </row>
    <row r="823" spans="2:18">
      <c r="C823" s="86" t="s">
        <v>7</v>
      </c>
      <c r="D823" s="86" t="s">
        <v>5084</v>
      </c>
      <c r="E823" s="3">
        <v>40</v>
      </c>
      <c r="F823" s="3">
        <v>10</v>
      </c>
      <c r="G823" s="4">
        <v>43522</v>
      </c>
      <c r="J823" s="1">
        <v>3600</v>
      </c>
    </row>
    <row r="824" spans="2:18">
      <c r="C824" s="86" t="s">
        <v>5</v>
      </c>
      <c r="D824" s="86" t="s">
        <v>5084</v>
      </c>
      <c r="E824" s="3">
        <v>25</v>
      </c>
      <c r="F824" s="3">
        <f>E824/4</f>
        <v>6.25</v>
      </c>
      <c r="G824" s="4">
        <v>43172</v>
      </c>
      <c r="J824" s="1">
        <v>3600</v>
      </c>
    </row>
    <row r="825" spans="2:18">
      <c r="C825" s="86" t="s">
        <v>5</v>
      </c>
      <c r="D825" s="86" t="s">
        <v>5084</v>
      </c>
      <c r="E825" s="3">
        <v>15</v>
      </c>
      <c r="F825" s="3">
        <f>E825/2</f>
        <v>7.5</v>
      </c>
      <c r="G825" s="4">
        <v>42371</v>
      </c>
      <c r="J825" s="1">
        <v>3600</v>
      </c>
    </row>
    <row r="826" spans="2:18">
      <c r="G826" s="4"/>
    </row>
    <row r="827" spans="2:18" s="12" customFormat="1">
      <c r="B827" s="12" t="s">
        <v>1122</v>
      </c>
      <c r="C827" s="13" t="s">
        <v>984</v>
      </c>
      <c r="D827" s="13" t="s">
        <v>983</v>
      </c>
      <c r="E827" s="15"/>
      <c r="F827" s="15">
        <f>SUM(F828:F829)</f>
        <v>130</v>
      </c>
      <c r="G827" s="14">
        <f>G828</f>
        <v>44376</v>
      </c>
    </row>
    <row r="828" spans="2:18">
      <c r="C828" s="2" t="s">
        <v>513</v>
      </c>
      <c r="D828" s="2" t="s">
        <v>498</v>
      </c>
      <c r="E828" s="3">
        <v>250</v>
      </c>
      <c r="F828" s="3">
        <f>150/5</f>
        <v>30</v>
      </c>
      <c r="G828" s="4">
        <v>44376</v>
      </c>
      <c r="M828" s="1"/>
      <c r="N828" s="1"/>
      <c r="O828" s="1"/>
      <c r="P828" s="1"/>
      <c r="Q828" s="1"/>
      <c r="R828" s="1"/>
    </row>
    <row r="829" spans="2:18">
      <c r="C829" s="2" t="s">
        <v>9</v>
      </c>
      <c r="D829" s="2" t="s">
        <v>57</v>
      </c>
      <c r="E829" s="3">
        <v>250</v>
      </c>
      <c r="F829" s="3">
        <v>100</v>
      </c>
      <c r="G829" s="4">
        <v>44350</v>
      </c>
      <c r="I829" s="1">
        <v>7000</v>
      </c>
      <c r="J829" s="1">
        <v>7000</v>
      </c>
      <c r="M829" s="1"/>
      <c r="N829" s="1"/>
      <c r="O829" s="1"/>
      <c r="P829" s="1"/>
      <c r="Q829" s="1"/>
      <c r="R829" s="1"/>
    </row>
    <row r="830" spans="2:18">
      <c r="G830" s="4"/>
      <c r="M830" s="1"/>
      <c r="N830" s="1"/>
      <c r="O830" s="1"/>
      <c r="P830" s="1"/>
      <c r="Q830" s="1"/>
      <c r="R830" s="1"/>
    </row>
    <row r="831" spans="2:18">
      <c r="B831" s="12" t="s">
        <v>1121</v>
      </c>
      <c r="C831" s="13" t="s">
        <v>984</v>
      </c>
      <c r="D831" s="13" t="s">
        <v>983</v>
      </c>
      <c r="F831" s="15">
        <f>SUM(F832:F850)</f>
        <v>128.23333333333335</v>
      </c>
      <c r="G831" s="14">
        <f>G840</f>
        <v>45041</v>
      </c>
    </row>
    <row r="832" spans="2:18">
      <c r="B832" s="12"/>
      <c r="C832" s="2" t="s">
        <v>7</v>
      </c>
      <c r="D832" s="2" t="s">
        <v>964</v>
      </c>
      <c r="E832" s="3">
        <v>350</v>
      </c>
      <c r="F832" s="3">
        <v>20</v>
      </c>
      <c r="G832" s="4">
        <v>44999</v>
      </c>
    </row>
    <row r="833" spans="3:7">
      <c r="C833" s="2" t="s">
        <v>18</v>
      </c>
      <c r="D833" s="2" t="s">
        <v>939</v>
      </c>
      <c r="E833" s="3">
        <v>100</v>
      </c>
      <c r="F833" s="3">
        <v>9</v>
      </c>
      <c r="G833" s="4">
        <v>44690</v>
      </c>
    </row>
    <row r="834" spans="3:7">
      <c r="C834" s="2" t="s">
        <v>4</v>
      </c>
      <c r="D834" s="2" t="s">
        <v>939</v>
      </c>
      <c r="E834" s="3">
        <v>4</v>
      </c>
      <c r="F834" s="3">
        <v>1</v>
      </c>
      <c r="G834" s="4">
        <v>43243</v>
      </c>
    </row>
    <row r="835" spans="3:7">
      <c r="C835" s="2" t="s">
        <v>560</v>
      </c>
      <c r="D835" s="2" t="s">
        <v>939</v>
      </c>
      <c r="E835" s="3">
        <v>1.2</v>
      </c>
      <c r="F835" s="3">
        <v>0.2</v>
      </c>
      <c r="G835" s="4">
        <v>42799</v>
      </c>
    </row>
    <row r="836" spans="3:7">
      <c r="C836" s="2" t="s">
        <v>5</v>
      </c>
      <c r="D836" s="2" t="s">
        <v>948</v>
      </c>
      <c r="E836" s="3">
        <v>150</v>
      </c>
      <c r="F836" s="3">
        <v>10</v>
      </c>
      <c r="G836" s="4">
        <v>45008</v>
      </c>
    </row>
    <row r="837" spans="3:7">
      <c r="C837" s="2" t="s">
        <v>4</v>
      </c>
      <c r="D837" s="2" t="s">
        <v>1021</v>
      </c>
      <c r="E837" s="3">
        <v>5</v>
      </c>
      <c r="F837" s="3">
        <v>1</v>
      </c>
      <c r="G837" s="4">
        <v>43438</v>
      </c>
    </row>
    <row r="838" spans="3:7">
      <c r="C838" s="2" t="s">
        <v>4</v>
      </c>
      <c r="D838" s="2" t="s">
        <v>701</v>
      </c>
      <c r="E838" s="3">
        <v>30</v>
      </c>
      <c r="F838" s="3">
        <v>5</v>
      </c>
      <c r="G838" s="4">
        <v>44742</v>
      </c>
    </row>
    <row r="839" spans="3:7">
      <c r="C839" s="2" t="s">
        <v>5</v>
      </c>
      <c r="D839" s="2" t="s">
        <v>695</v>
      </c>
      <c r="E839" s="3">
        <v>21</v>
      </c>
      <c r="F839" s="3">
        <f>11/3</f>
        <v>3.6666666666666665</v>
      </c>
      <c r="G839" s="4">
        <v>45027</v>
      </c>
    </row>
    <row r="840" spans="3:7">
      <c r="C840" s="2" t="s">
        <v>7</v>
      </c>
      <c r="D840" s="2" t="s">
        <v>920</v>
      </c>
      <c r="E840" s="3">
        <v>97.4</v>
      </c>
      <c r="F840" s="3">
        <f>47/6</f>
        <v>7.833333333333333</v>
      </c>
      <c r="G840" s="4">
        <v>45041</v>
      </c>
    </row>
    <row r="841" spans="3:7">
      <c r="C841" s="2" t="s">
        <v>285</v>
      </c>
      <c r="D841" s="2" t="s">
        <v>788</v>
      </c>
      <c r="E841" s="3">
        <v>4.5</v>
      </c>
      <c r="F841" s="3">
        <v>1</v>
      </c>
      <c r="G841" s="4">
        <v>44691</v>
      </c>
    </row>
    <row r="842" spans="3:7">
      <c r="C842" s="2" t="s">
        <v>5</v>
      </c>
      <c r="D842" s="2" t="s">
        <v>1085</v>
      </c>
      <c r="E842" s="3">
        <v>5.3</v>
      </c>
      <c r="F842" s="3">
        <v>2.5</v>
      </c>
      <c r="G842" s="4">
        <v>44978</v>
      </c>
    </row>
    <row r="843" spans="3:7">
      <c r="C843" s="2" t="s">
        <v>5</v>
      </c>
      <c r="D843" s="2" t="s">
        <v>530</v>
      </c>
      <c r="E843" s="3">
        <v>7</v>
      </c>
      <c r="F843" s="3">
        <v>1</v>
      </c>
      <c r="G843" s="4">
        <v>42885</v>
      </c>
    </row>
    <row r="844" spans="3:7">
      <c r="C844" s="2" t="s">
        <v>4</v>
      </c>
      <c r="D844" s="2" t="s">
        <v>530</v>
      </c>
      <c r="E844" s="3">
        <v>3</v>
      </c>
      <c r="F844" s="3">
        <v>0.5</v>
      </c>
      <c r="G844" s="4">
        <v>42606</v>
      </c>
    </row>
    <row r="845" spans="3:7">
      <c r="C845" s="2" t="s">
        <v>7</v>
      </c>
      <c r="D845" s="2" t="s">
        <v>1120</v>
      </c>
      <c r="E845" s="3">
        <v>18</v>
      </c>
      <c r="F845" s="3">
        <v>4.5</v>
      </c>
      <c r="G845" s="4">
        <v>44831</v>
      </c>
    </row>
    <row r="846" spans="3:7">
      <c r="C846" s="2" t="s">
        <v>5</v>
      </c>
      <c r="D846" s="2" t="s">
        <v>1120</v>
      </c>
      <c r="E846" s="3">
        <v>18.5</v>
      </c>
      <c r="F846" s="3">
        <v>5</v>
      </c>
      <c r="G846" s="4">
        <v>44658</v>
      </c>
    </row>
    <row r="847" spans="3:7">
      <c r="C847" s="2" t="s">
        <v>4</v>
      </c>
      <c r="D847" s="2" t="s">
        <v>432</v>
      </c>
      <c r="E847" s="3">
        <v>7</v>
      </c>
      <c r="F847" s="3">
        <v>0.83333333333333337</v>
      </c>
      <c r="G847" s="4">
        <v>43046</v>
      </c>
    </row>
    <row r="848" spans="3:7">
      <c r="C848" s="2" t="s">
        <v>4</v>
      </c>
      <c r="D848" s="2" t="s">
        <v>309</v>
      </c>
      <c r="E848" s="3">
        <v>1.8</v>
      </c>
      <c r="F848" s="3">
        <f>+E848/9</f>
        <v>0.2</v>
      </c>
      <c r="G848" s="4">
        <v>42690</v>
      </c>
    </row>
    <row r="849" spans="2:18">
      <c r="C849" s="2" t="s">
        <v>7</v>
      </c>
      <c r="D849" s="2" t="s">
        <v>76</v>
      </c>
      <c r="E849" s="3">
        <v>25</v>
      </c>
      <c r="F849" s="3">
        <v>5</v>
      </c>
      <c r="G849" s="4">
        <v>42723</v>
      </c>
      <c r="I849" s="1">
        <v>245</v>
      </c>
      <c r="J849" s="1">
        <v>3800</v>
      </c>
    </row>
    <row r="850" spans="2:18">
      <c r="C850" s="2" t="s">
        <v>1</v>
      </c>
      <c r="D850" s="2" t="s">
        <v>0</v>
      </c>
      <c r="E850" s="3">
        <v>300</v>
      </c>
      <c r="F850" s="3">
        <v>50</v>
      </c>
      <c r="G850" s="4">
        <v>45044</v>
      </c>
      <c r="I850" s="1">
        <v>28700</v>
      </c>
      <c r="J850" s="1">
        <v>28700</v>
      </c>
    </row>
    <row r="851" spans="2:18">
      <c r="G851" s="4"/>
    </row>
    <row r="852" spans="2:18" s="12" customFormat="1">
      <c r="B852" s="12" t="s">
        <v>1119</v>
      </c>
      <c r="C852" s="13" t="s">
        <v>984</v>
      </c>
      <c r="D852" s="13" t="s">
        <v>983</v>
      </c>
      <c r="E852" s="15"/>
      <c r="F852" s="15">
        <f>SUM(F853:F859)</f>
        <v>127.32619047619048</v>
      </c>
      <c r="G852" s="14">
        <f>G854</f>
        <v>44811</v>
      </c>
      <c r="M852" s="13"/>
      <c r="N852" s="13"/>
      <c r="O852" s="13"/>
      <c r="P852" s="13"/>
      <c r="Q852" s="13"/>
      <c r="R852" s="13"/>
    </row>
    <row r="853" spans="2:18">
      <c r="C853" s="2" t="s">
        <v>4</v>
      </c>
      <c r="D853" s="2" t="s">
        <v>689</v>
      </c>
      <c r="E853" s="3">
        <v>15</v>
      </c>
      <c r="F853" s="3">
        <f>15/7</f>
        <v>2.1428571428571428</v>
      </c>
      <c r="G853" s="4">
        <v>44691</v>
      </c>
    </row>
    <row r="854" spans="2:18">
      <c r="C854" s="2" t="s">
        <v>7</v>
      </c>
      <c r="D854" s="2" t="s">
        <v>552</v>
      </c>
      <c r="E854" s="3">
        <v>40</v>
      </c>
      <c r="F854" s="3">
        <f>25/4</f>
        <v>6.25</v>
      </c>
      <c r="G854" s="4">
        <v>44811</v>
      </c>
    </row>
    <row r="855" spans="2:18">
      <c r="C855" s="2" t="s">
        <v>5</v>
      </c>
      <c r="D855" s="2" t="s">
        <v>552</v>
      </c>
      <c r="E855" s="3">
        <v>14</v>
      </c>
      <c r="F855" s="3">
        <f>8/5</f>
        <v>1.6</v>
      </c>
      <c r="G855" s="4">
        <v>44447</v>
      </c>
    </row>
    <row r="856" spans="2:18">
      <c r="C856" s="2" t="s">
        <v>5</v>
      </c>
      <c r="D856" s="2" t="s">
        <v>552</v>
      </c>
      <c r="E856" s="3">
        <v>12</v>
      </c>
      <c r="F856" s="3">
        <v>4</v>
      </c>
      <c r="G856" s="4">
        <v>43532</v>
      </c>
    </row>
    <row r="857" spans="2:18">
      <c r="C857" s="2" t="s">
        <v>9</v>
      </c>
      <c r="D857" s="2" t="s">
        <v>3</v>
      </c>
      <c r="E857" s="3">
        <v>90</v>
      </c>
      <c r="F857" s="3">
        <v>10</v>
      </c>
      <c r="G857" s="4">
        <v>44721</v>
      </c>
      <c r="I857" s="1">
        <v>2200</v>
      </c>
      <c r="J857" s="1">
        <v>2200</v>
      </c>
    </row>
    <row r="858" spans="2:18">
      <c r="C858" s="2" t="s">
        <v>8</v>
      </c>
      <c r="D858" s="2" t="s">
        <v>3</v>
      </c>
      <c r="E858" s="3">
        <v>210</v>
      </c>
      <c r="F858" s="3">
        <v>33.333333333333336</v>
      </c>
      <c r="G858" s="4">
        <v>44432</v>
      </c>
      <c r="I858" s="1">
        <v>1000</v>
      </c>
      <c r="J858" s="1">
        <v>2200</v>
      </c>
    </row>
    <row r="859" spans="2:18">
      <c r="C859" s="2" t="s">
        <v>18</v>
      </c>
      <c r="D859" s="2" t="s">
        <v>3</v>
      </c>
      <c r="E859" s="3">
        <v>70</v>
      </c>
      <c r="F859" s="3">
        <v>70</v>
      </c>
      <c r="G859" s="4">
        <v>44250</v>
      </c>
      <c r="J859" s="1">
        <v>2200</v>
      </c>
    </row>
    <row r="860" spans="2:18">
      <c r="G860" s="4"/>
    </row>
    <row r="861" spans="2:18" s="12" customFormat="1">
      <c r="B861" s="12" t="s">
        <v>517</v>
      </c>
      <c r="C861" s="13" t="s">
        <v>984</v>
      </c>
      <c r="D861" s="13" t="s">
        <v>983</v>
      </c>
      <c r="E861" s="15"/>
      <c r="F861" s="15">
        <f>SUM(F862:F865)</f>
        <v>125.5</v>
      </c>
      <c r="G861" s="14">
        <f>G862</f>
        <v>44376</v>
      </c>
    </row>
    <row r="862" spans="2:18">
      <c r="C862" s="2" t="s">
        <v>513</v>
      </c>
      <c r="D862" s="2" t="s">
        <v>498</v>
      </c>
      <c r="E862" s="3">
        <v>250</v>
      </c>
      <c r="F862" s="3">
        <v>50</v>
      </c>
      <c r="G862" s="4">
        <v>44376</v>
      </c>
      <c r="M862" s="1"/>
      <c r="N862" s="1"/>
      <c r="O862" s="1"/>
      <c r="P862" s="1"/>
      <c r="Q862" s="1"/>
      <c r="R862" s="1"/>
    </row>
    <row r="863" spans="2:18">
      <c r="C863" s="2" t="s">
        <v>55</v>
      </c>
      <c r="D863" s="2" t="s">
        <v>498</v>
      </c>
      <c r="E863" s="3">
        <v>270</v>
      </c>
      <c r="F863" s="3">
        <v>50</v>
      </c>
      <c r="G863" s="4">
        <v>44152</v>
      </c>
      <c r="M863" s="1"/>
      <c r="N863" s="1"/>
      <c r="O863" s="1"/>
      <c r="P863" s="1"/>
      <c r="Q863" s="1"/>
      <c r="R863" s="1"/>
    </row>
    <row r="864" spans="2:18">
      <c r="C864" s="2" t="s">
        <v>8</v>
      </c>
      <c r="D864" s="2" t="s">
        <v>247</v>
      </c>
      <c r="E864" s="3">
        <v>81</v>
      </c>
      <c r="F864" s="3">
        <f>+E864/6</f>
        <v>13.5</v>
      </c>
      <c r="G864" s="4">
        <v>43418</v>
      </c>
      <c r="I864" s="1">
        <v>1700</v>
      </c>
      <c r="J864" s="1">
        <v>3800</v>
      </c>
      <c r="M864" s="1"/>
      <c r="N864" s="1"/>
      <c r="O864" s="1"/>
      <c r="P864" s="1"/>
      <c r="Q864" s="1"/>
      <c r="R864" s="1"/>
    </row>
    <row r="865" spans="2:18">
      <c r="C865" s="2" t="s">
        <v>18</v>
      </c>
      <c r="D865" s="2" t="s">
        <v>247</v>
      </c>
      <c r="E865" s="3">
        <v>60</v>
      </c>
      <c r="F865" s="3">
        <f>+E865/5</f>
        <v>12</v>
      </c>
      <c r="G865" s="4">
        <v>42736</v>
      </c>
      <c r="I865" s="1">
        <v>800</v>
      </c>
      <c r="J865" s="1">
        <v>3800</v>
      </c>
      <c r="M865" s="1"/>
      <c r="N865" s="1"/>
      <c r="O865" s="1"/>
      <c r="P865" s="1"/>
      <c r="Q865" s="1"/>
      <c r="R865" s="1"/>
    </row>
    <row r="866" spans="2:18">
      <c r="G866" s="4"/>
      <c r="M866" s="1"/>
      <c r="N866" s="1"/>
      <c r="O866" s="1"/>
      <c r="P866" s="1"/>
      <c r="Q866" s="1"/>
      <c r="R866" s="1"/>
    </row>
    <row r="867" spans="2:18" s="12" customFormat="1">
      <c r="B867" s="12" t="s">
        <v>165</v>
      </c>
      <c r="C867" s="13" t="s">
        <v>984</v>
      </c>
      <c r="D867" s="13" t="s">
        <v>983</v>
      </c>
      <c r="E867" s="15"/>
      <c r="F867" s="15">
        <f>SUM(F868:F870)</f>
        <v>125.55555555555556</v>
      </c>
      <c r="G867" s="14">
        <f>G868</f>
        <v>44907</v>
      </c>
      <c r="M867" s="13"/>
      <c r="N867" s="13"/>
      <c r="O867" s="13"/>
      <c r="P867" s="13"/>
      <c r="Q867" s="13"/>
      <c r="R867" s="13"/>
    </row>
    <row r="868" spans="2:18">
      <c r="C868" s="2" t="s">
        <v>55</v>
      </c>
      <c r="D868" s="2" t="s">
        <v>159</v>
      </c>
      <c r="E868" s="3">
        <v>200</v>
      </c>
      <c r="F868" s="3">
        <v>50</v>
      </c>
      <c r="G868" s="4">
        <v>44907</v>
      </c>
      <c r="I868" s="1">
        <v>3500</v>
      </c>
    </row>
    <row r="869" spans="2:18">
      <c r="C869" s="2" t="s">
        <v>9</v>
      </c>
      <c r="D869" s="2" t="s">
        <v>159</v>
      </c>
      <c r="E869" s="3">
        <v>400</v>
      </c>
      <c r="F869" s="3">
        <f>320/9</f>
        <v>35.555555555555557</v>
      </c>
      <c r="G869" s="4">
        <v>44413</v>
      </c>
      <c r="I869" s="1">
        <v>4200</v>
      </c>
    </row>
    <row r="870" spans="2:18">
      <c r="C870" s="2" t="s">
        <v>18</v>
      </c>
      <c r="D870" s="2" t="s">
        <v>34</v>
      </c>
      <c r="E870" s="3">
        <v>230</v>
      </c>
      <c r="F870" s="3">
        <v>40</v>
      </c>
      <c r="G870" s="4">
        <v>43634</v>
      </c>
      <c r="I870" s="1">
        <v>770</v>
      </c>
      <c r="J870" s="1">
        <v>770</v>
      </c>
    </row>
    <row r="871" spans="2:18">
      <c r="G871" s="4"/>
    </row>
    <row r="872" spans="2:18" s="12" customFormat="1">
      <c r="B872" s="12" t="s">
        <v>177</v>
      </c>
      <c r="C872" s="13" t="s">
        <v>984</v>
      </c>
      <c r="D872" s="13" t="s">
        <v>983</v>
      </c>
      <c r="E872" s="15"/>
      <c r="F872" s="15">
        <f>SUM(F873:F878)</f>
        <v>125.4</v>
      </c>
      <c r="G872" s="14">
        <f>G877</f>
        <v>44550</v>
      </c>
      <c r="M872" s="13"/>
      <c r="N872" s="13"/>
      <c r="O872" s="13"/>
      <c r="P872" s="13"/>
      <c r="Q872" s="13"/>
      <c r="R872" s="13"/>
    </row>
    <row r="873" spans="2:18">
      <c r="C873" s="2" t="s">
        <v>18</v>
      </c>
      <c r="D873" s="2" t="s">
        <v>166</v>
      </c>
      <c r="E873" s="3">
        <v>100</v>
      </c>
      <c r="F873" s="3">
        <v>14</v>
      </c>
      <c r="G873" s="4">
        <v>44235</v>
      </c>
      <c r="I873" s="1">
        <v>5200</v>
      </c>
    </row>
    <row r="874" spans="2:18">
      <c r="C874" s="2" t="s">
        <v>18</v>
      </c>
      <c r="D874" s="2" t="s">
        <v>166</v>
      </c>
      <c r="E874" s="3">
        <v>267</v>
      </c>
      <c r="F874" s="3">
        <f>167/5</f>
        <v>33.4</v>
      </c>
      <c r="G874" s="4">
        <v>44140</v>
      </c>
      <c r="I874" s="1">
        <v>5000</v>
      </c>
    </row>
    <row r="875" spans="2:18">
      <c r="C875" s="2" t="s">
        <v>5</v>
      </c>
      <c r="D875" s="2" t="s">
        <v>166</v>
      </c>
      <c r="E875" s="3">
        <v>102</v>
      </c>
      <c r="F875" s="3">
        <v>8</v>
      </c>
      <c r="G875" s="4">
        <v>43292</v>
      </c>
    </row>
    <row r="876" spans="2:18">
      <c r="C876" s="2" t="s">
        <v>5</v>
      </c>
      <c r="D876" s="2" t="s">
        <v>166</v>
      </c>
      <c r="E876" s="3">
        <v>112</v>
      </c>
      <c r="F876" s="3">
        <v>20</v>
      </c>
      <c r="G876" s="4">
        <v>43115</v>
      </c>
    </row>
    <row r="877" spans="2:18">
      <c r="C877" s="2" t="s">
        <v>7</v>
      </c>
      <c r="D877" s="2" t="s">
        <v>66</v>
      </c>
      <c r="E877" s="3">
        <f>1600/7</f>
        <v>228.57142857142858</v>
      </c>
      <c r="F877" s="3">
        <v>40</v>
      </c>
      <c r="G877" s="4">
        <v>44550</v>
      </c>
    </row>
    <row r="878" spans="2:18">
      <c r="C878" s="2" t="s">
        <v>5</v>
      </c>
      <c r="D878" s="2" t="s">
        <v>66</v>
      </c>
      <c r="E878" s="3">
        <v>50</v>
      </c>
      <c r="F878" s="3">
        <v>10</v>
      </c>
      <c r="G878" s="4">
        <v>44165</v>
      </c>
    </row>
    <row r="879" spans="2:18">
      <c r="G879" s="4"/>
    </row>
    <row r="880" spans="2:18" s="12" customFormat="1">
      <c r="B880" s="12" t="s">
        <v>1118</v>
      </c>
      <c r="C880" s="13" t="s">
        <v>984</v>
      </c>
      <c r="D880" s="13" t="s">
        <v>983</v>
      </c>
      <c r="E880" s="15"/>
      <c r="F880" s="15">
        <f>SUM(F881:F890)</f>
        <v>124.03571428571428</v>
      </c>
      <c r="G880" s="14">
        <f>G881</f>
        <v>45090</v>
      </c>
    </row>
    <row r="881" spans="2:18">
      <c r="C881" s="2" t="s">
        <v>18</v>
      </c>
      <c r="D881" s="2" t="s">
        <v>411</v>
      </c>
      <c r="E881" s="3">
        <v>90</v>
      </c>
      <c r="F881" s="3">
        <v>15</v>
      </c>
      <c r="G881" s="4">
        <v>45090</v>
      </c>
      <c r="M881" s="1"/>
      <c r="N881" s="1"/>
      <c r="O881" s="1"/>
      <c r="P881" s="1"/>
      <c r="Q881" s="1"/>
      <c r="R881" s="1"/>
    </row>
    <row r="882" spans="2:18">
      <c r="C882" s="2" t="s">
        <v>7</v>
      </c>
      <c r="D882" s="2" t="s">
        <v>411</v>
      </c>
      <c r="E882" s="3">
        <v>50</v>
      </c>
      <c r="F882" s="3">
        <f>30/6</f>
        <v>5</v>
      </c>
      <c r="G882" s="4">
        <v>44538</v>
      </c>
      <c r="M882" s="1"/>
      <c r="N882" s="1"/>
      <c r="O882" s="1"/>
      <c r="P882" s="1"/>
      <c r="Q882" s="1"/>
      <c r="R882" s="1"/>
    </row>
    <row r="883" spans="2:18">
      <c r="C883" s="2" t="s">
        <v>5</v>
      </c>
      <c r="D883" s="2" t="s">
        <v>411</v>
      </c>
      <c r="E883" s="3">
        <v>12.5</v>
      </c>
      <c r="F883" s="3">
        <f>+E883/2</f>
        <v>6.25</v>
      </c>
      <c r="G883" s="4">
        <v>44306</v>
      </c>
      <c r="M883" s="1"/>
      <c r="N883" s="1"/>
      <c r="O883" s="1"/>
      <c r="P883" s="1"/>
      <c r="Q883" s="1"/>
      <c r="R883" s="1"/>
    </row>
    <row r="884" spans="2:18">
      <c r="C884" s="2" t="s">
        <v>18</v>
      </c>
      <c r="D884" s="2" t="s">
        <v>381</v>
      </c>
      <c r="E884" s="3">
        <v>130</v>
      </c>
      <c r="F884" s="3">
        <f>100/7</f>
        <v>14.285714285714286</v>
      </c>
      <c r="G884" s="4">
        <v>44323</v>
      </c>
      <c r="M884" s="1"/>
      <c r="N884" s="1"/>
      <c r="O884" s="1"/>
      <c r="P884" s="1"/>
      <c r="Q884" s="1"/>
      <c r="R884" s="1"/>
    </row>
    <row r="885" spans="2:18">
      <c r="C885" s="2" t="s">
        <v>7</v>
      </c>
      <c r="D885" s="2" t="s">
        <v>381</v>
      </c>
      <c r="E885" s="3">
        <v>44</v>
      </c>
      <c r="F885" s="3">
        <v>5</v>
      </c>
      <c r="G885" s="4">
        <v>43909</v>
      </c>
      <c r="M885" s="1"/>
      <c r="N885" s="1"/>
      <c r="O885" s="1"/>
      <c r="P885" s="1"/>
      <c r="Q885" s="1"/>
      <c r="R885" s="1"/>
    </row>
    <row r="886" spans="2:18">
      <c r="C886" s="2" t="s">
        <v>5</v>
      </c>
      <c r="D886" s="2" t="s">
        <v>381</v>
      </c>
      <c r="E886" s="3">
        <v>15</v>
      </c>
      <c r="F886" s="3">
        <v>5</v>
      </c>
      <c r="G886" s="4">
        <v>43452</v>
      </c>
      <c r="M886" s="1"/>
      <c r="N886" s="1"/>
      <c r="O886" s="1"/>
      <c r="P886" s="1"/>
      <c r="Q886" s="1"/>
      <c r="R886" s="1"/>
    </row>
    <row r="887" spans="2:18">
      <c r="C887" s="2" t="s">
        <v>9</v>
      </c>
      <c r="D887" s="2" t="s">
        <v>159</v>
      </c>
      <c r="E887" s="3">
        <v>400</v>
      </c>
      <c r="F887" s="3">
        <v>36</v>
      </c>
      <c r="G887" s="4">
        <v>44413</v>
      </c>
      <c r="M887" s="1"/>
      <c r="N887" s="1"/>
      <c r="O887" s="1"/>
      <c r="P887" s="1"/>
      <c r="Q887" s="1"/>
      <c r="R887" s="1"/>
    </row>
    <row r="888" spans="2:18">
      <c r="C888" s="2" t="s">
        <v>8</v>
      </c>
      <c r="D888" s="2" t="s">
        <v>159</v>
      </c>
      <c r="E888" s="3">
        <v>100</v>
      </c>
      <c r="F888" s="3">
        <f>75/6</f>
        <v>12.5</v>
      </c>
      <c r="G888" s="4">
        <v>44067</v>
      </c>
      <c r="M888" s="1"/>
      <c r="N888" s="1"/>
      <c r="O888" s="1"/>
      <c r="P888" s="1"/>
      <c r="Q888" s="1"/>
      <c r="R888" s="1"/>
    </row>
    <row r="889" spans="2:18">
      <c r="C889" s="2" t="s">
        <v>18</v>
      </c>
      <c r="D889" s="2" t="s">
        <v>159</v>
      </c>
      <c r="E889" s="3">
        <v>101</v>
      </c>
      <c r="F889" s="3">
        <f>60/4</f>
        <v>15</v>
      </c>
      <c r="G889" s="4">
        <v>43453</v>
      </c>
      <c r="M889" s="1"/>
      <c r="N889" s="1"/>
      <c r="O889" s="1"/>
      <c r="P889" s="1"/>
      <c r="Q889" s="1"/>
      <c r="R889" s="1"/>
    </row>
    <row r="890" spans="2:18">
      <c r="C890" s="2" t="s">
        <v>7</v>
      </c>
      <c r="D890" s="2" t="s">
        <v>159</v>
      </c>
      <c r="E890" s="3">
        <v>14</v>
      </c>
      <c r="F890" s="3">
        <v>10</v>
      </c>
      <c r="G890" s="4">
        <v>42668</v>
      </c>
      <c r="M890" s="1"/>
      <c r="N890" s="1"/>
      <c r="O890" s="1"/>
      <c r="P890" s="1"/>
      <c r="Q890" s="1"/>
      <c r="R890" s="1"/>
    </row>
    <row r="891" spans="2:18">
      <c r="G891" s="4"/>
      <c r="M891" s="1"/>
      <c r="N891" s="1"/>
      <c r="O891" s="1"/>
      <c r="P891" s="1"/>
      <c r="Q891" s="1"/>
      <c r="R891" s="1"/>
    </row>
    <row r="892" spans="2:18" s="12" customFormat="1">
      <c r="B892" s="12" t="s">
        <v>1117</v>
      </c>
      <c r="C892" s="13" t="s">
        <v>984</v>
      </c>
      <c r="D892" s="13" t="s">
        <v>983</v>
      </c>
      <c r="E892" s="15"/>
      <c r="F892" s="15">
        <f>SUM(F893:F901)</f>
        <v>122.44444444444444</v>
      </c>
      <c r="G892" s="14">
        <f>G894</f>
        <v>45090</v>
      </c>
      <c r="M892" s="13"/>
      <c r="N892" s="13"/>
      <c r="O892" s="13"/>
      <c r="P892" s="13"/>
      <c r="Q892" s="13"/>
      <c r="R892" s="13"/>
    </row>
    <row r="893" spans="2:18">
      <c r="C893" s="2" t="s">
        <v>5</v>
      </c>
      <c r="D893" s="2" t="s">
        <v>1015</v>
      </c>
      <c r="E893" s="3">
        <v>25</v>
      </c>
      <c r="F893" s="3">
        <v>5</v>
      </c>
      <c r="G893" s="4">
        <v>44699</v>
      </c>
    </row>
    <row r="894" spans="2:18">
      <c r="C894" s="2" t="s">
        <v>4</v>
      </c>
      <c r="D894" s="2" t="s">
        <v>717</v>
      </c>
      <c r="E894" s="3">
        <v>113</v>
      </c>
      <c r="F894" s="3">
        <v>8</v>
      </c>
      <c r="G894" s="4">
        <v>45090</v>
      </c>
    </row>
    <row r="895" spans="2:18">
      <c r="C895" s="2" t="s">
        <v>4</v>
      </c>
      <c r="D895" s="2" t="s">
        <v>663</v>
      </c>
      <c r="E895" s="3">
        <v>12</v>
      </c>
      <c r="F895" s="3">
        <v>4</v>
      </c>
      <c r="G895" s="4">
        <v>44971</v>
      </c>
    </row>
    <row r="896" spans="2:18">
      <c r="C896" s="2" t="s">
        <v>5</v>
      </c>
      <c r="D896" s="2" t="s">
        <v>166</v>
      </c>
      <c r="E896" s="3">
        <v>102</v>
      </c>
      <c r="F896" s="3">
        <f>70/9</f>
        <v>7.7777777777777777</v>
      </c>
      <c r="G896" s="4">
        <v>43292</v>
      </c>
    </row>
    <row r="897" spans="2:10">
      <c r="C897" s="2" t="s">
        <v>18</v>
      </c>
      <c r="D897" s="2" t="s">
        <v>82</v>
      </c>
      <c r="E897" s="3">
        <v>257</v>
      </c>
      <c r="F897" s="3">
        <f>107/3</f>
        <v>35.666666666666664</v>
      </c>
      <c r="G897" s="4">
        <v>44201</v>
      </c>
    </row>
    <row r="898" spans="2:10">
      <c r="C898" s="2" t="s">
        <v>7</v>
      </c>
      <c r="D898" s="2" t="s">
        <v>82</v>
      </c>
      <c r="E898" s="3">
        <v>100</v>
      </c>
      <c r="F898" s="3">
        <v>20</v>
      </c>
      <c r="G898" s="4">
        <v>43958</v>
      </c>
    </row>
    <row r="899" spans="2:10">
      <c r="C899" s="2" t="s">
        <v>5</v>
      </c>
      <c r="D899" s="2" t="s">
        <v>82</v>
      </c>
      <c r="E899" s="3">
        <v>43</v>
      </c>
      <c r="F899" s="3">
        <f>+E899/6</f>
        <v>7.166666666666667</v>
      </c>
      <c r="G899" s="4">
        <v>43622</v>
      </c>
    </row>
    <row r="900" spans="2:10">
      <c r="C900" s="2" t="s">
        <v>7</v>
      </c>
      <c r="D900" s="2" t="s">
        <v>66</v>
      </c>
      <c r="E900" s="3">
        <f>1600/7</f>
        <v>228.57142857142858</v>
      </c>
      <c r="F900" s="3">
        <f>149/6</f>
        <v>24.833333333333332</v>
      </c>
      <c r="G900" s="4">
        <v>44550</v>
      </c>
    </row>
    <row r="901" spans="2:10">
      <c r="C901" s="2" t="s">
        <v>5</v>
      </c>
      <c r="D901" s="2" t="s">
        <v>66</v>
      </c>
      <c r="E901" s="3">
        <v>50</v>
      </c>
      <c r="F901" s="3">
        <v>10</v>
      </c>
      <c r="G901" s="4">
        <v>44165</v>
      </c>
    </row>
    <row r="902" spans="2:10">
      <c r="G902" s="4"/>
    </row>
    <row r="903" spans="2:10">
      <c r="B903" s="12" t="s">
        <v>1112</v>
      </c>
      <c r="C903" s="13" t="s">
        <v>984</v>
      </c>
      <c r="D903" s="13" t="s">
        <v>983</v>
      </c>
      <c r="F903" s="15">
        <f>SUM(F904:F913)</f>
        <v>121.91666666666667</v>
      </c>
      <c r="G903" s="14">
        <f>G904</f>
        <v>45036</v>
      </c>
    </row>
    <row r="904" spans="2:10">
      <c r="C904" s="2" t="s">
        <v>7</v>
      </c>
      <c r="D904" s="2" t="s">
        <v>808</v>
      </c>
      <c r="E904" s="3">
        <v>50</v>
      </c>
      <c r="F904" s="3">
        <v>6</v>
      </c>
      <c r="G904" s="4">
        <v>45036</v>
      </c>
    </row>
    <row r="905" spans="2:10">
      <c r="C905" s="2" t="s">
        <v>7</v>
      </c>
      <c r="D905" s="2" t="s">
        <v>999</v>
      </c>
      <c r="E905" s="3">
        <v>38</v>
      </c>
      <c r="F905" s="3">
        <f>20/3</f>
        <v>6.666666666666667</v>
      </c>
      <c r="G905" s="4">
        <v>44812</v>
      </c>
    </row>
    <row r="906" spans="2:10">
      <c r="C906" s="2" t="s">
        <v>5</v>
      </c>
      <c r="D906" s="2" t="s">
        <v>999</v>
      </c>
      <c r="E906" s="3">
        <v>19</v>
      </c>
      <c r="F906" s="3">
        <v>7</v>
      </c>
      <c r="G906" s="4">
        <v>44467</v>
      </c>
    </row>
    <row r="907" spans="2:10">
      <c r="C907" s="2" t="s">
        <v>5</v>
      </c>
      <c r="D907" s="2" t="s">
        <v>526</v>
      </c>
      <c r="E907" s="3">
        <v>14.5</v>
      </c>
      <c r="F907" s="3">
        <v>3</v>
      </c>
      <c r="G907" s="4">
        <v>43389</v>
      </c>
    </row>
    <row r="908" spans="2:10">
      <c r="C908" s="2" t="s">
        <v>9</v>
      </c>
      <c r="D908" s="2" t="s">
        <v>159</v>
      </c>
      <c r="E908" s="3">
        <v>400</v>
      </c>
      <c r="F908" s="3">
        <v>36</v>
      </c>
      <c r="G908" s="4">
        <v>44413</v>
      </c>
      <c r="I908" s="1">
        <v>4200</v>
      </c>
    </row>
    <row r="909" spans="2:10">
      <c r="C909" s="2" t="s">
        <v>8</v>
      </c>
      <c r="D909" s="2" t="s">
        <v>159</v>
      </c>
      <c r="E909" s="3">
        <v>100</v>
      </c>
      <c r="F909" s="3">
        <f>75/6</f>
        <v>12.5</v>
      </c>
      <c r="G909" s="4">
        <v>44067</v>
      </c>
    </row>
    <row r="910" spans="2:10">
      <c r="C910" s="2" t="s">
        <v>8</v>
      </c>
      <c r="D910" s="2" t="s">
        <v>57</v>
      </c>
      <c r="E910" s="3">
        <v>200</v>
      </c>
      <c r="F910" s="3">
        <f>150/8</f>
        <v>18.75</v>
      </c>
      <c r="G910" s="4">
        <v>44055</v>
      </c>
      <c r="I910" s="1">
        <v>2000</v>
      </c>
      <c r="J910" s="1">
        <v>7000</v>
      </c>
    </row>
    <row r="911" spans="2:10">
      <c r="C911" s="2" t="s">
        <v>18</v>
      </c>
      <c r="D911" s="2" t="s">
        <v>57</v>
      </c>
      <c r="E911" s="3">
        <v>65</v>
      </c>
      <c r="F911" s="3">
        <v>8</v>
      </c>
      <c r="G911" s="4">
        <v>43802</v>
      </c>
      <c r="I911" s="1">
        <v>685</v>
      </c>
      <c r="J911" s="1">
        <v>7000</v>
      </c>
    </row>
    <row r="912" spans="2:10">
      <c r="C912" s="2" t="s">
        <v>7</v>
      </c>
      <c r="D912" s="2" t="s">
        <v>57</v>
      </c>
      <c r="E912" s="3">
        <v>40</v>
      </c>
      <c r="F912" s="3">
        <v>15</v>
      </c>
      <c r="G912" s="4">
        <v>43503</v>
      </c>
      <c r="J912" s="1">
        <v>7000</v>
      </c>
    </row>
    <row r="913" spans="2:18">
      <c r="C913" s="2" t="s">
        <v>5</v>
      </c>
      <c r="D913" s="2" t="s">
        <v>2062</v>
      </c>
      <c r="E913" s="3">
        <v>18</v>
      </c>
      <c r="F913" s="3">
        <v>9</v>
      </c>
      <c r="G913" s="4">
        <v>44866</v>
      </c>
    </row>
    <row r="914" spans="2:18">
      <c r="G914" s="4"/>
    </row>
    <row r="915" spans="2:18" s="12" customFormat="1">
      <c r="B915" s="12" t="s">
        <v>5194</v>
      </c>
      <c r="C915" s="13" t="s">
        <v>984</v>
      </c>
      <c r="D915" s="13" t="s">
        <v>983</v>
      </c>
      <c r="E915" s="15"/>
      <c r="F915" s="15">
        <f>SUM(F916:F917)</f>
        <v>121</v>
      </c>
      <c r="G915" s="14">
        <f>G916</f>
        <v>44648</v>
      </c>
      <c r="M915" s="13"/>
      <c r="N915" s="13"/>
      <c r="O915" s="13"/>
      <c r="P915" s="13"/>
      <c r="Q915" s="13"/>
      <c r="R915" s="13"/>
    </row>
    <row r="916" spans="2:18">
      <c r="B916" s="95"/>
      <c r="C916" s="2" t="s">
        <v>7</v>
      </c>
      <c r="D916" s="2" t="s">
        <v>2171</v>
      </c>
      <c r="E916" s="3">
        <f>1300/7</f>
        <v>185.71428571428572</v>
      </c>
      <c r="F916" s="3">
        <v>96</v>
      </c>
      <c r="G916" s="4">
        <v>44648</v>
      </c>
    </row>
    <row r="917" spans="2:18">
      <c r="C917" s="96" t="s">
        <v>8</v>
      </c>
      <c r="D917" s="96" t="s">
        <v>2150</v>
      </c>
      <c r="E917" s="3">
        <v>72.5</v>
      </c>
      <c r="F917" s="3">
        <v>25</v>
      </c>
      <c r="G917" s="4">
        <v>43697</v>
      </c>
      <c r="J917" s="1">
        <v>1600</v>
      </c>
    </row>
    <row r="918" spans="2:18">
      <c r="G918" s="4"/>
    </row>
    <row r="919" spans="2:18" s="12" customFormat="1">
      <c r="B919" s="12" t="s">
        <v>1116</v>
      </c>
      <c r="C919" s="13" t="s">
        <v>984</v>
      </c>
      <c r="D919" s="13" t="s">
        <v>983</v>
      </c>
      <c r="E919" s="15"/>
      <c r="F919" s="15">
        <f>SUM(F920:F939)</f>
        <v>120.18333333333334</v>
      </c>
      <c r="G919" s="14">
        <f>G920</f>
        <v>45041</v>
      </c>
      <c r="M919" s="13"/>
      <c r="N919" s="13"/>
      <c r="O919" s="13"/>
      <c r="P919" s="13"/>
      <c r="Q919" s="13"/>
      <c r="R919" s="13"/>
    </row>
    <row r="920" spans="2:18">
      <c r="C920" s="2" t="s">
        <v>7</v>
      </c>
      <c r="D920" s="2" t="s">
        <v>920</v>
      </c>
      <c r="E920" s="3">
        <v>97.4</v>
      </c>
      <c r="F920" s="3">
        <f>47/6</f>
        <v>7.833333333333333</v>
      </c>
      <c r="G920" s="4">
        <v>45041</v>
      </c>
    </row>
    <row r="921" spans="2:18">
      <c r="C921" s="2" t="s">
        <v>7</v>
      </c>
      <c r="D921" s="2" t="s">
        <v>552</v>
      </c>
      <c r="E921" s="3">
        <v>40</v>
      </c>
      <c r="F921" s="3">
        <f>25/4</f>
        <v>6.25</v>
      </c>
      <c r="G921" s="4">
        <v>44811</v>
      </c>
    </row>
    <row r="922" spans="2:18">
      <c r="C922" s="2" t="s">
        <v>5</v>
      </c>
      <c r="D922" s="2" t="s">
        <v>552</v>
      </c>
      <c r="E922" s="3">
        <v>14</v>
      </c>
      <c r="F922" s="3">
        <v>6</v>
      </c>
      <c r="G922" s="4">
        <v>44447</v>
      </c>
    </row>
    <row r="923" spans="2:18">
      <c r="C923" s="2" t="s">
        <v>5</v>
      </c>
      <c r="D923" s="2" t="s">
        <v>474</v>
      </c>
      <c r="E923" s="3">
        <v>15.5</v>
      </c>
      <c r="F923" s="3">
        <v>1.625</v>
      </c>
      <c r="G923" s="4">
        <v>44727</v>
      </c>
    </row>
    <row r="924" spans="2:18">
      <c r="C924" s="2" t="s">
        <v>5</v>
      </c>
      <c r="D924" s="2" t="s">
        <v>474</v>
      </c>
      <c r="E924" s="3">
        <v>12</v>
      </c>
      <c r="F924" s="3">
        <v>3</v>
      </c>
      <c r="G924" s="4">
        <v>43948</v>
      </c>
    </row>
    <row r="925" spans="2:18">
      <c r="C925" s="2" t="s">
        <v>5</v>
      </c>
      <c r="D925" s="2" t="s">
        <v>551</v>
      </c>
      <c r="E925" s="3">
        <v>5</v>
      </c>
      <c r="F925" s="3">
        <v>3</v>
      </c>
      <c r="G925" s="4">
        <v>44514</v>
      </c>
    </row>
    <row r="926" spans="2:18">
      <c r="C926" s="2" t="s">
        <v>8</v>
      </c>
      <c r="D926" s="2" t="s">
        <v>456</v>
      </c>
      <c r="E926" s="3">
        <v>90</v>
      </c>
      <c r="F926" s="3">
        <v>5</v>
      </c>
      <c r="G926" s="4">
        <v>44776</v>
      </c>
    </row>
    <row r="927" spans="2:18">
      <c r="C927" s="2" t="s">
        <v>18</v>
      </c>
      <c r="D927" s="2" t="s">
        <v>456</v>
      </c>
      <c r="E927" s="3">
        <v>40</v>
      </c>
      <c r="F927" s="3">
        <v>4</v>
      </c>
      <c r="G927" s="4">
        <v>44176</v>
      </c>
    </row>
    <row r="928" spans="2:18">
      <c r="C928" s="2" t="s">
        <v>7</v>
      </c>
      <c r="D928" s="2" t="s">
        <v>456</v>
      </c>
      <c r="E928" s="3">
        <v>20</v>
      </c>
      <c r="F928" s="3">
        <v>3</v>
      </c>
      <c r="G928" s="4">
        <v>43879</v>
      </c>
    </row>
    <row r="929" spans="2:18">
      <c r="C929" s="2" t="s">
        <v>7</v>
      </c>
      <c r="D929" s="2" t="s">
        <v>424</v>
      </c>
      <c r="E929" s="3">
        <v>16</v>
      </c>
      <c r="F929" s="3">
        <v>4</v>
      </c>
      <c r="G929" s="4">
        <v>42995</v>
      </c>
    </row>
    <row r="930" spans="2:18">
      <c r="C930" s="2" t="s">
        <v>5</v>
      </c>
      <c r="D930" s="2" t="s">
        <v>424</v>
      </c>
      <c r="E930" s="3">
        <v>8</v>
      </c>
      <c r="F930" s="3">
        <v>4</v>
      </c>
      <c r="G930" s="4">
        <v>42416</v>
      </c>
    </row>
    <row r="931" spans="2:18">
      <c r="C931" s="2" t="s">
        <v>7</v>
      </c>
      <c r="D931" s="2" t="s">
        <v>367</v>
      </c>
      <c r="E931" s="3">
        <v>27.5</v>
      </c>
      <c r="F931" s="3">
        <f>E931/4</f>
        <v>6.875</v>
      </c>
      <c r="G931" s="4">
        <v>44181</v>
      </c>
    </row>
    <row r="932" spans="2:18">
      <c r="C932" s="2" t="s">
        <v>5</v>
      </c>
      <c r="D932" s="2" t="s">
        <v>367</v>
      </c>
      <c r="E932" s="3">
        <v>10.7</v>
      </c>
      <c r="F932" s="3">
        <v>4</v>
      </c>
      <c r="G932" s="4">
        <v>43250</v>
      </c>
    </row>
    <row r="933" spans="2:18">
      <c r="C933" s="2" t="s">
        <v>5</v>
      </c>
      <c r="D933" s="2" t="s">
        <v>309</v>
      </c>
      <c r="E933" s="3">
        <v>10</v>
      </c>
      <c r="F933" s="3">
        <v>3</v>
      </c>
      <c r="G933" s="4">
        <v>44637</v>
      </c>
    </row>
    <row r="934" spans="2:18">
      <c r="C934" s="2" t="s">
        <v>4</v>
      </c>
      <c r="D934" s="2" t="s">
        <v>309</v>
      </c>
      <c r="E934" s="3">
        <v>4.5</v>
      </c>
      <c r="F934" s="3">
        <v>2</v>
      </c>
      <c r="G934" s="4">
        <v>44175</v>
      </c>
    </row>
    <row r="935" spans="2:18">
      <c r="C935" s="2" t="s">
        <v>4</v>
      </c>
      <c r="D935" s="2" t="s">
        <v>1072</v>
      </c>
      <c r="E935" s="3">
        <v>4.3</v>
      </c>
      <c r="F935" s="3">
        <f>E935/3</f>
        <v>1.4333333333333333</v>
      </c>
      <c r="G935" s="4">
        <v>42821</v>
      </c>
    </row>
    <row r="936" spans="2:18">
      <c r="C936" s="2" t="s">
        <v>55</v>
      </c>
      <c r="D936" s="2" t="s">
        <v>49</v>
      </c>
      <c r="E936" s="3">
        <v>100</v>
      </c>
      <c r="F936" s="3">
        <v>11</v>
      </c>
      <c r="G936" s="4">
        <v>44515</v>
      </c>
      <c r="I936" s="1">
        <v>4100</v>
      </c>
      <c r="J936" s="1">
        <v>4100</v>
      </c>
    </row>
    <row r="937" spans="2:18">
      <c r="C937" s="2" t="s">
        <v>8</v>
      </c>
      <c r="D937" s="2" t="s">
        <v>49</v>
      </c>
      <c r="E937" s="3">
        <v>145</v>
      </c>
      <c r="F937" s="3">
        <f>85/6</f>
        <v>14.166666666666666</v>
      </c>
      <c r="G937" s="4">
        <v>43228</v>
      </c>
      <c r="I937" s="1">
        <v>855</v>
      </c>
      <c r="J937" s="1">
        <v>4100</v>
      </c>
    </row>
    <row r="938" spans="2:18">
      <c r="C938" s="2" t="s">
        <v>18</v>
      </c>
      <c r="D938" s="2" t="s">
        <v>49</v>
      </c>
      <c r="E938" s="3">
        <v>50</v>
      </c>
      <c r="F938" s="3">
        <v>10</v>
      </c>
      <c r="G938" s="4">
        <v>42509</v>
      </c>
      <c r="J938" s="1">
        <v>4100</v>
      </c>
    </row>
    <row r="939" spans="2:18">
      <c r="C939" s="2" t="s">
        <v>7</v>
      </c>
      <c r="D939" s="2" t="s">
        <v>49</v>
      </c>
      <c r="E939" s="3">
        <v>30</v>
      </c>
      <c r="F939" s="3">
        <v>20</v>
      </c>
      <c r="G939" s="4">
        <v>41808</v>
      </c>
      <c r="J939" s="1">
        <v>4100</v>
      </c>
    </row>
    <row r="940" spans="2:18">
      <c r="G940" s="4"/>
    </row>
    <row r="941" spans="2:18" s="12" customFormat="1">
      <c r="B941" s="12" t="s">
        <v>11</v>
      </c>
      <c r="C941" s="13" t="s">
        <v>984</v>
      </c>
      <c r="D941" s="13" t="s">
        <v>983</v>
      </c>
      <c r="E941" s="15"/>
      <c r="F941" s="15">
        <f>SUM(F942:F943)</f>
        <v>120</v>
      </c>
      <c r="G941" s="14">
        <f>G942</f>
        <v>44721</v>
      </c>
      <c r="M941" s="13"/>
      <c r="N941" s="13"/>
      <c r="O941" s="13"/>
      <c r="P941" s="13"/>
      <c r="Q941" s="13"/>
      <c r="R941" s="13"/>
    </row>
    <row r="942" spans="2:18">
      <c r="C942" s="2" t="s">
        <v>9</v>
      </c>
      <c r="D942" s="2" t="s">
        <v>3</v>
      </c>
      <c r="E942" s="3">
        <v>90</v>
      </c>
      <c r="F942" s="3">
        <v>10</v>
      </c>
      <c r="G942" s="4">
        <v>44721</v>
      </c>
      <c r="I942" s="1">
        <v>2200</v>
      </c>
      <c r="J942" s="1">
        <v>2200</v>
      </c>
    </row>
    <row r="943" spans="2:18">
      <c r="C943" s="2" t="s">
        <v>8</v>
      </c>
      <c r="D943" s="2" t="s">
        <v>3</v>
      </c>
      <c r="E943" s="3">
        <v>210</v>
      </c>
      <c r="F943" s="3">
        <v>110</v>
      </c>
      <c r="G943" s="4">
        <v>44432</v>
      </c>
      <c r="I943" s="1">
        <v>1000</v>
      </c>
      <c r="J943" s="1">
        <v>2200</v>
      </c>
    </row>
    <row r="944" spans="2:18">
      <c r="G944" s="4"/>
    </row>
    <row r="945" spans="2:18" s="12" customFormat="1">
      <c r="B945" s="12" t="s">
        <v>214</v>
      </c>
      <c r="C945" s="13" t="s">
        <v>984</v>
      </c>
      <c r="D945" s="13" t="s">
        <v>983</v>
      </c>
      <c r="E945" s="15"/>
      <c r="F945" s="15">
        <f>SUM(F946:F947)</f>
        <v>120</v>
      </c>
      <c r="G945" s="14">
        <f>G946</f>
        <v>44274</v>
      </c>
      <c r="M945" s="13"/>
      <c r="N945" s="13"/>
      <c r="O945" s="13"/>
      <c r="P945" s="13"/>
      <c r="Q945" s="13"/>
      <c r="R945" s="13"/>
    </row>
    <row r="946" spans="2:18">
      <c r="C946" s="2" t="s">
        <v>18</v>
      </c>
      <c r="D946" s="2" t="s">
        <v>203</v>
      </c>
      <c r="E946" s="3">
        <v>500</v>
      </c>
      <c r="F946" s="3">
        <v>100</v>
      </c>
      <c r="G946" s="4">
        <v>44274</v>
      </c>
    </row>
    <row r="947" spans="2:18">
      <c r="C947" s="2" t="s">
        <v>8</v>
      </c>
      <c r="D947" s="2" t="s">
        <v>2176</v>
      </c>
      <c r="E947" s="3">
        <v>200</v>
      </c>
      <c r="F947" s="3">
        <v>20</v>
      </c>
      <c r="G947" s="4">
        <v>44237</v>
      </c>
    </row>
    <row r="948" spans="2:18">
      <c r="G948" s="4"/>
    </row>
    <row r="949" spans="2:18">
      <c r="B949" s="12" t="s">
        <v>1114</v>
      </c>
      <c r="C949" s="13" t="s">
        <v>984</v>
      </c>
      <c r="D949" s="13" t="s">
        <v>983</v>
      </c>
      <c r="F949" s="15">
        <f>SUM(F950:F954)</f>
        <v>118.75</v>
      </c>
      <c r="G949" s="14">
        <f>G951</f>
        <v>45050</v>
      </c>
    </row>
    <row r="950" spans="2:18">
      <c r="C950" s="2" t="s">
        <v>18</v>
      </c>
      <c r="D950" s="2" t="s">
        <v>815</v>
      </c>
      <c r="E950" s="3">
        <v>100</v>
      </c>
      <c r="F950" s="3">
        <v>13</v>
      </c>
      <c r="G950" s="4">
        <v>43682</v>
      </c>
    </row>
    <row r="951" spans="2:18">
      <c r="C951" s="2" t="s">
        <v>4</v>
      </c>
      <c r="D951" s="2" t="s">
        <v>1113</v>
      </c>
      <c r="E951" s="3">
        <v>8</v>
      </c>
      <c r="F951" s="3">
        <v>7</v>
      </c>
      <c r="G951" s="4">
        <v>45050</v>
      </c>
    </row>
    <row r="952" spans="2:18">
      <c r="C952" s="2" t="s">
        <v>9</v>
      </c>
      <c r="D952" s="2" t="s">
        <v>57</v>
      </c>
      <c r="E952" s="3">
        <v>250</v>
      </c>
      <c r="F952" s="3">
        <f>150/5</f>
        <v>30</v>
      </c>
      <c r="G952" s="4">
        <v>44350</v>
      </c>
      <c r="I952" s="1">
        <v>7000</v>
      </c>
      <c r="J952" s="1">
        <v>7000</v>
      </c>
    </row>
    <row r="953" spans="2:18">
      <c r="C953" s="2" t="s">
        <v>8</v>
      </c>
      <c r="D953" s="2" t="s">
        <v>57</v>
      </c>
      <c r="E953" s="3">
        <v>200</v>
      </c>
      <c r="F953" s="3">
        <f>150/8</f>
        <v>18.75</v>
      </c>
      <c r="G953" s="4">
        <v>44055</v>
      </c>
      <c r="I953" s="1">
        <v>2000</v>
      </c>
      <c r="J953" s="1">
        <v>7000</v>
      </c>
    </row>
    <row r="954" spans="2:18">
      <c r="C954" s="2" t="s">
        <v>1</v>
      </c>
      <c r="D954" s="2" t="s">
        <v>0</v>
      </c>
      <c r="E954" s="3">
        <v>300</v>
      </c>
      <c r="F954" s="3">
        <v>50</v>
      </c>
      <c r="G954" s="4">
        <v>45044</v>
      </c>
      <c r="I954" s="1">
        <v>28700</v>
      </c>
      <c r="J954" s="1">
        <v>28700</v>
      </c>
    </row>
    <row r="955" spans="2:18">
      <c r="G955" s="4"/>
    </row>
    <row r="956" spans="2:18" s="12" customFormat="1">
      <c r="B956" s="12" t="s">
        <v>505</v>
      </c>
      <c r="C956" s="13" t="s">
        <v>984</v>
      </c>
      <c r="D956" s="13" t="s">
        <v>983</v>
      </c>
      <c r="E956" s="15"/>
      <c r="F956" s="15">
        <f>SUM(F957:F958)</f>
        <v>114</v>
      </c>
      <c r="G956" s="14">
        <f>G958</f>
        <v>44608</v>
      </c>
    </row>
    <row r="957" spans="2:18">
      <c r="C957" s="2" t="s">
        <v>9</v>
      </c>
      <c r="D957" s="2" t="s">
        <v>498</v>
      </c>
      <c r="E957" s="3">
        <v>206</v>
      </c>
      <c r="F957" s="3">
        <v>14</v>
      </c>
      <c r="G957" s="4">
        <v>43725</v>
      </c>
      <c r="M957" s="1"/>
      <c r="N957" s="1"/>
      <c r="O957" s="1"/>
      <c r="P957" s="1"/>
      <c r="Q957" s="1"/>
      <c r="R957" s="1"/>
    </row>
    <row r="958" spans="2:18">
      <c r="C958" s="2" t="s">
        <v>9</v>
      </c>
      <c r="D958" s="2" t="s">
        <v>393</v>
      </c>
      <c r="E958" s="3">
        <v>400</v>
      </c>
      <c r="F958" s="3">
        <v>100</v>
      </c>
      <c r="G958" s="4">
        <v>44608</v>
      </c>
      <c r="M958" s="1"/>
      <c r="N958" s="1"/>
      <c r="O958" s="1"/>
      <c r="P958" s="1"/>
      <c r="Q958" s="1"/>
      <c r="R958" s="1"/>
    </row>
    <row r="959" spans="2:18">
      <c r="G959" s="4"/>
      <c r="M959" s="1"/>
      <c r="N959" s="1"/>
      <c r="O959" s="1"/>
      <c r="P959" s="1"/>
      <c r="Q959" s="1"/>
      <c r="R959" s="1"/>
    </row>
    <row r="960" spans="2:18">
      <c r="B960" s="12" t="s">
        <v>1107</v>
      </c>
      <c r="C960" s="13" t="s">
        <v>984</v>
      </c>
      <c r="D960" s="13" t="s">
        <v>983</v>
      </c>
      <c r="E960" s="15"/>
      <c r="F960" s="15">
        <f>SUM(F961:F970)</f>
        <v>126.08571428571427</v>
      </c>
      <c r="G960" s="14">
        <f>G961</f>
        <v>45048</v>
      </c>
      <c r="I960" s="1" t="s">
        <v>1</v>
      </c>
      <c r="J960" s="1" t="s">
        <v>1</v>
      </c>
      <c r="K960" s="1" t="s">
        <v>1</v>
      </c>
    </row>
    <row r="961" spans="2:18">
      <c r="C961" s="2" t="s">
        <v>18</v>
      </c>
      <c r="D961" s="2" t="s">
        <v>967</v>
      </c>
      <c r="E961" s="3">
        <v>270</v>
      </c>
      <c r="F961" s="3">
        <v>24</v>
      </c>
      <c r="G961" s="4">
        <v>45048</v>
      </c>
    </row>
    <row r="962" spans="2:18">
      <c r="C962" s="2" t="s">
        <v>7</v>
      </c>
      <c r="D962" s="2" t="s">
        <v>964</v>
      </c>
      <c r="E962" s="3">
        <v>350</v>
      </c>
      <c r="F962" s="3">
        <v>20</v>
      </c>
      <c r="G962" s="4">
        <v>44999</v>
      </c>
    </row>
    <row r="963" spans="2:18">
      <c r="C963" s="2" t="s">
        <v>7</v>
      </c>
      <c r="D963" s="2" t="s">
        <v>464</v>
      </c>
      <c r="E963" s="3">
        <v>26.8</v>
      </c>
      <c r="F963" s="3">
        <f>20/5</f>
        <v>4</v>
      </c>
      <c r="G963" s="4">
        <v>44600</v>
      </c>
    </row>
    <row r="964" spans="2:18">
      <c r="C964" s="2" t="s">
        <v>8</v>
      </c>
      <c r="D964" s="2" t="s">
        <v>136</v>
      </c>
      <c r="E964" s="3">
        <v>135</v>
      </c>
      <c r="F964" s="3">
        <v>8</v>
      </c>
      <c r="G964" s="4">
        <v>44880</v>
      </c>
    </row>
    <row r="965" spans="2:18">
      <c r="C965" s="2" t="s">
        <v>18</v>
      </c>
      <c r="D965" s="2" t="s">
        <v>136</v>
      </c>
      <c r="E965" s="3">
        <v>73</v>
      </c>
      <c r="F965" s="3">
        <f>53/7</f>
        <v>7.5714285714285712</v>
      </c>
      <c r="G965" s="4">
        <v>44565</v>
      </c>
    </row>
    <row r="966" spans="2:18">
      <c r="C966" s="2" t="s">
        <v>18</v>
      </c>
      <c r="D966" s="2" t="s">
        <v>136</v>
      </c>
      <c r="E966" s="3">
        <v>31.7</v>
      </c>
      <c r="F966" s="3">
        <v>7</v>
      </c>
      <c r="G966" s="4">
        <v>43599</v>
      </c>
    </row>
    <row r="967" spans="2:18">
      <c r="C967" s="2" t="s">
        <v>9</v>
      </c>
      <c r="D967" s="2" t="s">
        <v>41</v>
      </c>
      <c r="E967" s="3">
        <v>230</v>
      </c>
      <c r="F967" s="3">
        <v>24</v>
      </c>
      <c r="G967" s="4">
        <v>44984</v>
      </c>
      <c r="I967" s="1">
        <v>2000</v>
      </c>
      <c r="J967" s="1">
        <v>2000</v>
      </c>
    </row>
    <row r="968" spans="2:18">
      <c r="C968" s="86" t="s">
        <v>8</v>
      </c>
      <c r="D968" s="86" t="s">
        <v>5084</v>
      </c>
      <c r="E968" s="3">
        <v>83</v>
      </c>
      <c r="F968" s="3">
        <f>68/10</f>
        <v>6.8</v>
      </c>
      <c r="G968" s="4">
        <v>44320</v>
      </c>
      <c r="I968" s="1">
        <v>3600</v>
      </c>
      <c r="J968" s="1">
        <v>3600</v>
      </c>
    </row>
    <row r="969" spans="2:18">
      <c r="C969" s="96" t="s">
        <v>9</v>
      </c>
      <c r="D969" s="96" t="s">
        <v>2150</v>
      </c>
      <c r="E969" s="3">
        <v>100</v>
      </c>
      <c r="F969" s="3">
        <f>75/7</f>
        <v>10.714285714285714</v>
      </c>
      <c r="G969" s="4">
        <v>44507</v>
      </c>
      <c r="I969" s="1">
        <v>1600</v>
      </c>
      <c r="J969" s="1">
        <v>1600</v>
      </c>
    </row>
    <row r="970" spans="2:18">
      <c r="C970" s="96" t="s">
        <v>55</v>
      </c>
      <c r="D970" s="96" t="s">
        <v>5209</v>
      </c>
      <c r="E970" s="3">
        <v>100</v>
      </c>
      <c r="F970" s="3">
        <f>70/5</f>
        <v>14</v>
      </c>
      <c r="G970" s="4">
        <v>44474</v>
      </c>
    </row>
    <row r="971" spans="2:18">
      <c r="G971" s="4"/>
    </row>
    <row r="972" spans="2:18" s="12" customFormat="1">
      <c r="B972" s="12" t="s">
        <v>836</v>
      </c>
      <c r="C972" s="13" t="s">
        <v>4402</v>
      </c>
      <c r="D972" s="13" t="s">
        <v>983</v>
      </c>
      <c r="E972" s="15"/>
      <c r="F972" s="15">
        <f>SUM(F973:F975)</f>
        <v>110.5</v>
      </c>
      <c r="G972" s="14">
        <f>G973</f>
        <v>44578</v>
      </c>
      <c r="M972" s="13"/>
      <c r="N972" s="13"/>
      <c r="O972" s="13"/>
      <c r="P972" s="13"/>
      <c r="Q972" s="13"/>
      <c r="R972" s="13"/>
    </row>
    <row r="973" spans="2:18">
      <c r="C973" s="2" t="s">
        <v>5</v>
      </c>
      <c r="D973" s="2" t="s">
        <v>831</v>
      </c>
      <c r="E973" s="3">
        <v>20</v>
      </c>
      <c r="F973" s="3">
        <v>2</v>
      </c>
      <c r="G973" s="4">
        <v>44578</v>
      </c>
    </row>
    <row r="974" spans="2:18">
      <c r="C974" s="2" t="s">
        <v>8</v>
      </c>
      <c r="D974" s="2" t="s">
        <v>260</v>
      </c>
      <c r="E974" s="3">
        <v>600</v>
      </c>
      <c r="F974" s="3">
        <f>500/8</f>
        <v>62.5</v>
      </c>
      <c r="G974" s="4">
        <v>44502</v>
      </c>
    </row>
    <row r="975" spans="2:18">
      <c r="C975" s="2" t="s">
        <v>5</v>
      </c>
      <c r="D975" s="2" t="s">
        <v>260</v>
      </c>
      <c r="E975" s="3">
        <v>92</v>
      </c>
      <c r="F975" s="3">
        <f>E975/2</f>
        <v>46</v>
      </c>
      <c r="G975" s="4">
        <v>43130</v>
      </c>
    </row>
    <row r="976" spans="2:18">
      <c r="G976" s="4"/>
    </row>
    <row r="977" spans="2:19">
      <c r="B977" s="12" t="s">
        <v>1111</v>
      </c>
      <c r="C977" s="13" t="s">
        <v>984</v>
      </c>
      <c r="D977" s="13" t="s">
        <v>983</v>
      </c>
      <c r="E977" s="15"/>
      <c r="F977" s="15">
        <f>SUM(F978:F984)</f>
        <v>108.33333333333333</v>
      </c>
      <c r="G977" s="14">
        <f>+G981</f>
        <v>45104</v>
      </c>
      <c r="I977" s="1">
        <v>350</v>
      </c>
      <c r="J977" s="19">
        <f>+F977/I977</f>
        <v>0.30952380952380953</v>
      </c>
      <c r="K977" s="1">
        <v>2017</v>
      </c>
      <c r="S977" s="1" t="s">
        <v>1110</v>
      </c>
    </row>
    <row r="978" spans="2:19">
      <c r="C978" s="2" t="s">
        <v>7</v>
      </c>
      <c r="D978" s="2" t="s">
        <v>967</v>
      </c>
      <c r="E978" s="3">
        <v>130</v>
      </c>
      <c r="F978" s="3">
        <f>70/3</f>
        <v>23.333333333333332</v>
      </c>
      <c r="G978" s="4">
        <v>44607</v>
      </c>
    </row>
    <row r="979" spans="2:19">
      <c r="C979" s="2" t="s">
        <v>5</v>
      </c>
      <c r="D979" s="2" t="s">
        <v>967</v>
      </c>
      <c r="E979" s="3">
        <v>40</v>
      </c>
      <c r="F979" s="3">
        <v>10</v>
      </c>
      <c r="G979" s="4">
        <v>44446</v>
      </c>
    </row>
    <row r="980" spans="2:19">
      <c r="C980" s="2" t="s">
        <v>5</v>
      </c>
      <c r="D980" s="2" t="s">
        <v>791</v>
      </c>
      <c r="E980" s="3">
        <v>33</v>
      </c>
      <c r="F980" s="3">
        <v>10</v>
      </c>
      <c r="G980" s="4">
        <v>44893</v>
      </c>
    </row>
    <row r="981" spans="2:19">
      <c r="C981" s="2" t="s">
        <v>5</v>
      </c>
      <c r="D981" s="2" t="s">
        <v>556</v>
      </c>
      <c r="E981" s="3">
        <v>58</v>
      </c>
      <c r="F981" s="3">
        <v>25</v>
      </c>
      <c r="G981" s="4">
        <v>45104</v>
      </c>
    </row>
    <row r="982" spans="2:19">
      <c r="C982" s="2" t="s">
        <v>18</v>
      </c>
      <c r="D982" s="2" t="s">
        <v>432</v>
      </c>
      <c r="E982" s="3">
        <v>75</v>
      </c>
      <c r="F982" s="3">
        <v>20</v>
      </c>
      <c r="G982" s="4">
        <v>45020</v>
      </c>
    </row>
    <row r="983" spans="2:19">
      <c r="C983" s="2" t="s">
        <v>18</v>
      </c>
      <c r="D983" s="2" t="s">
        <v>432</v>
      </c>
      <c r="E983" s="3">
        <v>80</v>
      </c>
      <c r="F983" s="3">
        <v>10</v>
      </c>
      <c r="G983" s="4">
        <v>44404</v>
      </c>
    </row>
    <row r="984" spans="2:19">
      <c r="C984" s="2" t="s">
        <v>7</v>
      </c>
      <c r="D984" s="2" t="s">
        <v>432</v>
      </c>
      <c r="E984" s="3">
        <v>40</v>
      </c>
      <c r="F984" s="3">
        <v>10</v>
      </c>
      <c r="G984" s="4">
        <v>43957</v>
      </c>
    </row>
    <row r="985" spans="2:19">
      <c r="G985" s="4"/>
    </row>
    <row r="986" spans="2:19" s="12" customFormat="1">
      <c r="B986" s="12" t="s">
        <v>255</v>
      </c>
      <c r="C986" s="13" t="s">
        <v>984</v>
      </c>
      <c r="D986" s="13" t="s">
        <v>983</v>
      </c>
      <c r="E986" s="15"/>
      <c r="F986" s="15">
        <f>SUM(F987:F988)</f>
        <v>105</v>
      </c>
      <c r="G986" s="14">
        <f>G987</f>
        <v>43223</v>
      </c>
      <c r="M986" s="13"/>
      <c r="N986" s="13"/>
      <c r="O986" s="13"/>
      <c r="P986" s="13"/>
      <c r="Q986" s="13"/>
      <c r="R986" s="13"/>
    </row>
    <row r="987" spans="2:19">
      <c r="C987" s="2" t="s">
        <v>18</v>
      </c>
      <c r="D987" s="2" t="s">
        <v>252</v>
      </c>
      <c r="E987" s="3">
        <v>820</v>
      </c>
      <c r="F987" s="3">
        <f>600/6</f>
        <v>100</v>
      </c>
      <c r="G987" s="4">
        <v>43223</v>
      </c>
    </row>
    <row r="988" spans="2:19">
      <c r="C988" s="96" t="s">
        <v>18</v>
      </c>
      <c r="D988" s="96" t="s">
        <v>2150</v>
      </c>
      <c r="E988" s="3">
        <v>40</v>
      </c>
      <c r="F988" s="3">
        <v>5</v>
      </c>
      <c r="G988" s="4">
        <v>43069</v>
      </c>
      <c r="J988" s="1">
        <v>1600</v>
      </c>
    </row>
    <row r="989" spans="2:19">
      <c r="G989" s="4"/>
    </row>
    <row r="990" spans="2:19" s="12" customFormat="1">
      <c r="B990" s="12" t="s">
        <v>78</v>
      </c>
      <c r="C990" s="13" t="s">
        <v>984</v>
      </c>
      <c r="D990" s="13" t="s">
        <v>983</v>
      </c>
      <c r="E990" s="15"/>
      <c r="F990" s="15">
        <f>SUM(F991:F997)</f>
        <v>104.5</v>
      </c>
      <c r="G990" s="14">
        <f>G995</f>
        <v>44578</v>
      </c>
      <c r="K990" s="74"/>
      <c r="M990" s="13"/>
      <c r="N990" s="13"/>
      <c r="O990" s="13"/>
      <c r="P990" s="13"/>
      <c r="Q990" s="13"/>
      <c r="R990" s="13"/>
    </row>
    <row r="991" spans="2:19">
      <c r="C991" s="2" t="s">
        <v>8</v>
      </c>
      <c r="D991" s="2" t="s">
        <v>76</v>
      </c>
      <c r="E991" s="3">
        <v>81</v>
      </c>
      <c r="F991" s="3">
        <f>+E991/6</f>
        <v>13.5</v>
      </c>
      <c r="G991" s="4">
        <v>43418</v>
      </c>
      <c r="I991" s="1">
        <v>1700</v>
      </c>
      <c r="J991" s="1">
        <v>3800</v>
      </c>
      <c r="K991" s="5">
        <f>(E991/(I991+E991))*J991*(F991/E991)</f>
        <v>28.804042672655811</v>
      </c>
    </row>
    <row r="992" spans="2:19">
      <c r="C992" s="2" t="s">
        <v>18</v>
      </c>
      <c r="D992" s="2" t="s">
        <v>76</v>
      </c>
      <c r="E992" s="3">
        <v>60</v>
      </c>
      <c r="F992" s="3">
        <f>+E992/5</f>
        <v>12</v>
      </c>
      <c r="G992" s="4">
        <v>42736</v>
      </c>
      <c r="I992" s="1">
        <v>800</v>
      </c>
      <c r="J992" s="1">
        <v>3800</v>
      </c>
      <c r="K992" s="5">
        <f>(E992/(I992+E992))*J992*(F992/E992)</f>
        <v>53.023255813953483</v>
      </c>
    </row>
    <row r="993" spans="2:18">
      <c r="C993" s="2" t="s">
        <v>7</v>
      </c>
      <c r="D993" s="2" t="s">
        <v>76</v>
      </c>
      <c r="E993" s="3">
        <v>25</v>
      </c>
      <c r="F993" s="3">
        <v>15</v>
      </c>
      <c r="G993" s="4">
        <v>42723</v>
      </c>
      <c r="I993" s="1">
        <v>245</v>
      </c>
      <c r="J993" s="1">
        <v>3800</v>
      </c>
      <c r="K993" s="5">
        <f>(E993/(I993+E993))*J993*(F993/E993)</f>
        <v>211.11111111111111</v>
      </c>
    </row>
    <row r="994" spans="2:18">
      <c r="C994" s="2" t="s">
        <v>5</v>
      </c>
      <c r="D994" s="2" t="s">
        <v>76</v>
      </c>
      <c r="E994" s="3">
        <v>27</v>
      </c>
      <c r="F994" s="3">
        <v>27</v>
      </c>
      <c r="G994" s="4">
        <v>42495</v>
      </c>
      <c r="I994" s="5">
        <v>62.5</v>
      </c>
      <c r="J994" s="1">
        <v>3800</v>
      </c>
      <c r="K994" s="5">
        <f>(E994/(I994+E994))*J994*(F994/E994)</f>
        <v>1146.3687150837989</v>
      </c>
    </row>
    <row r="995" spans="2:18">
      <c r="C995" s="2" t="s">
        <v>7</v>
      </c>
      <c r="D995" s="2" t="s">
        <v>2170</v>
      </c>
      <c r="E995" s="3">
        <v>176</v>
      </c>
      <c r="F995" s="3">
        <v>26</v>
      </c>
      <c r="G995" s="4">
        <v>44578</v>
      </c>
      <c r="I995" s="5"/>
      <c r="K995" s="5"/>
    </row>
    <row r="996" spans="2:18">
      <c r="C996" s="2" t="s">
        <v>5</v>
      </c>
      <c r="D996" s="2" t="s">
        <v>2170</v>
      </c>
      <c r="E996" s="3">
        <v>20</v>
      </c>
      <c r="F996" s="3">
        <v>3</v>
      </c>
      <c r="G996" s="4">
        <v>44044</v>
      </c>
      <c r="I996" s="5"/>
      <c r="K996" s="5"/>
    </row>
    <row r="997" spans="2:18">
      <c r="C997" s="2" t="s">
        <v>5</v>
      </c>
      <c r="D997" s="2" t="s">
        <v>2170</v>
      </c>
      <c r="E997" s="3">
        <v>20</v>
      </c>
      <c r="F997" s="3">
        <v>8</v>
      </c>
      <c r="G997" s="4">
        <v>43647</v>
      </c>
      <c r="I997" s="5"/>
      <c r="K997" s="5"/>
    </row>
    <row r="998" spans="2:18">
      <c r="G998" s="4"/>
      <c r="I998" s="5"/>
      <c r="K998" s="5"/>
    </row>
    <row r="999" spans="2:18" s="12" customFormat="1">
      <c r="B999" s="12" t="s">
        <v>1109</v>
      </c>
      <c r="C999" s="13" t="s">
        <v>984</v>
      </c>
      <c r="D999" s="13" t="s">
        <v>983</v>
      </c>
      <c r="E999" s="15"/>
      <c r="F999" s="15">
        <f>SUM(F1000:F1005)</f>
        <v>104.26984126984127</v>
      </c>
      <c r="G999" s="14">
        <f>G1001</f>
        <v>45104</v>
      </c>
      <c r="I999" s="1" t="s">
        <v>1</v>
      </c>
      <c r="J999" s="1" t="s">
        <v>1</v>
      </c>
      <c r="K999" s="1" t="s">
        <v>1</v>
      </c>
      <c r="M999" s="13"/>
      <c r="N999" s="13"/>
      <c r="O999" s="13"/>
      <c r="P999" s="13"/>
      <c r="Q999" s="13"/>
      <c r="R999" s="13"/>
    </row>
    <row r="1000" spans="2:18">
      <c r="C1000" s="2" t="s">
        <v>18</v>
      </c>
      <c r="D1000" s="2" t="s">
        <v>1021</v>
      </c>
      <c r="E1000" s="3">
        <v>100</v>
      </c>
      <c r="F1000" s="3">
        <v>10</v>
      </c>
      <c r="G1000" s="4">
        <v>44754</v>
      </c>
    </row>
    <row r="1001" spans="2:18">
      <c r="C1001" s="2" t="s">
        <v>5</v>
      </c>
      <c r="D1001" s="2" t="s">
        <v>556</v>
      </c>
      <c r="E1001" s="3">
        <v>58</v>
      </c>
      <c r="F1001" s="3">
        <v>8</v>
      </c>
      <c r="G1001" s="4">
        <v>45104</v>
      </c>
    </row>
    <row r="1002" spans="2:18">
      <c r="C1002" s="2" t="s">
        <v>55</v>
      </c>
      <c r="D1002" s="2" t="s">
        <v>498</v>
      </c>
      <c r="E1002" s="3">
        <v>50</v>
      </c>
      <c r="F1002" s="3">
        <v>20</v>
      </c>
      <c r="G1002" s="4">
        <v>44174</v>
      </c>
    </row>
    <row r="1003" spans="2:18">
      <c r="C1003" s="2" t="s">
        <v>9</v>
      </c>
      <c r="D1003" s="2" t="s">
        <v>159</v>
      </c>
      <c r="E1003" s="3">
        <v>400</v>
      </c>
      <c r="F1003" s="3">
        <v>35.555555555555557</v>
      </c>
      <c r="G1003" s="4">
        <v>44413</v>
      </c>
    </row>
    <row r="1004" spans="2:18">
      <c r="C1004" s="2" t="s">
        <v>55</v>
      </c>
      <c r="D1004" s="2" t="s">
        <v>49</v>
      </c>
      <c r="E1004" s="3">
        <v>100</v>
      </c>
      <c r="F1004" s="3">
        <f>75/7</f>
        <v>10.714285714285714</v>
      </c>
      <c r="G1004" s="4">
        <v>44515</v>
      </c>
      <c r="I1004" s="1">
        <v>4100</v>
      </c>
      <c r="J1004" s="1">
        <v>4100</v>
      </c>
    </row>
    <row r="1005" spans="2:18">
      <c r="C1005" s="2" t="s">
        <v>1108</v>
      </c>
      <c r="D1005" s="2" t="s">
        <v>49</v>
      </c>
      <c r="E1005" s="3">
        <v>20</v>
      </c>
      <c r="F1005" s="3">
        <v>20</v>
      </c>
      <c r="G1005" s="4">
        <v>44265</v>
      </c>
    </row>
    <row r="1006" spans="2:18">
      <c r="G1006" s="4"/>
    </row>
    <row r="1007" spans="2:18" s="12" customFormat="1">
      <c r="B1007" s="12" t="s">
        <v>80</v>
      </c>
      <c r="C1007" s="13" t="s">
        <v>984</v>
      </c>
      <c r="D1007" s="13" t="s">
        <v>983</v>
      </c>
      <c r="E1007" s="15"/>
      <c r="F1007" s="15">
        <f>SUM(F1008:F1010)</f>
        <v>101.5</v>
      </c>
      <c r="G1007" s="14">
        <f>G1008</f>
        <v>44510</v>
      </c>
      <c r="K1007" s="74"/>
      <c r="M1007" s="13"/>
      <c r="N1007" s="13"/>
      <c r="O1007" s="13"/>
      <c r="P1007" s="13"/>
      <c r="Q1007" s="13"/>
      <c r="R1007" s="13"/>
    </row>
    <row r="1008" spans="2:18">
      <c r="C1008" s="2" t="s">
        <v>55</v>
      </c>
      <c r="D1008" s="2" t="s">
        <v>76</v>
      </c>
      <c r="E1008" s="3">
        <v>250</v>
      </c>
      <c r="F1008" s="3">
        <v>50</v>
      </c>
      <c r="G1008" s="4">
        <v>44510</v>
      </c>
      <c r="I1008" s="1">
        <v>3800</v>
      </c>
      <c r="J1008" s="1">
        <v>3800</v>
      </c>
      <c r="K1008" s="5">
        <f>(E1008/(I1008+E1008))*J1008*(F1008/E1008)</f>
        <v>46.913580246913583</v>
      </c>
    </row>
    <row r="1009" spans="2:18">
      <c r="C1009" s="2" t="s">
        <v>9</v>
      </c>
      <c r="D1009" s="2" t="s">
        <v>49</v>
      </c>
      <c r="E1009" s="3">
        <v>248</v>
      </c>
      <c r="F1009" s="3">
        <f>150/4</f>
        <v>37.5</v>
      </c>
      <c r="G1009" s="4">
        <v>43678</v>
      </c>
      <c r="I1009" s="1">
        <v>1700</v>
      </c>
      <c r="J1009" s="1">
        <v>4100</v>
      </c>
      <c r="K1009" s="5">
        <f>(E1009/(I1009+E1009))*J1009*(F1009/E1009)</f>
        <v>78.927104722792606</v>
      </c>
    </row>
    <row r="1010" spans="2:18">
      <c r="C1010" s="96" t="s">
        <v>55</v>
      </c>
      <c r="D1010" s="96" t="s">
        <v>5209</v>
      </c>
      <c r="E1010" s="3">
        <v>100</v>
      </c>
      <c r="F1010" s="3">
        <f>70/5</f>
        <v>14</v>
      </c>
      <c r="G1010" s="4">
        <v>44474</v>
      </c>
      <c r="K1010" s="5"/>
    </row>
    <row r="1011" spans="2:18">
      <c r="G1011" s="4"/>
      <c r="K1011" s="5"/>
    </row>
    <row r="1012" spans="2:18" s="12" customFormat="1">
      <c r="B1012" s="12" t="s">
        <v>523</v>
      </c>
      <c r="C1012" s="13" t="s">
        <v>984</v>
      </c>
      <c r="D1012" s="13" t="s">
        <v>983</v>
      </c>
      <c r="E1012" s="15"/>
      <c r="F1012" s="15">
        <f>SUM(F1013:F1016)</f>
        <v>99.185714285714297</v>
      </c>
      <c r="G1012" s="14">
        <f>G1013</f>
        <v>45037</v>
      </c>
    </row>
    <row r="1013" spans="2:18">
      <c r="C1013" s="2" t="s">
        <v>4</v>
      </c>
      <c r="D1013" s="2" t="s">
        <v>518</v>
      </c>
      <c r="E1013" s="3">
        <v>3</v>
      </c>
      <c r="F1013" s="3">
        <v>0.5</v>
      </c>
      <c r="G1013" s="4">
        <v>45037</v>
      </c>
      <c r="M1013" s="1"/>
      <c r="N1013" s="1"/>
      <c r="O1013" s="1"/>
      <c r="P1013" s="1"/>
      <c r="Q1013" s="1"/>
      <c r="R1013" s="1"/>
    </row>
    <row r="1014" spans="2:18">
      <c r="C1014" s="2" t="s">
        <v>7</v>
      </c>
      <c r="D1014" s="2" t="s">
        <v>484</v>
      </c>
      <c r="E1014" s="3">
        <v>90</v>
      </c>
      <c r="F1014" s="3">
        <v>6</v>
      </c>
      <c r="G1014" s="4">
        <v>44398</v>
      </c>
      <c r="M1014" s="1"/>
      <c r="N1014" s="1"/>
      <c r="O1014" s="1"/>
      <c r="P1014" s="1"/>
      <c r="Q1014" s="1"/>
      <c r="R1014" s="1"/>
    </row>
    <row r="1015" spans="2:18">
      <c r="C1015" s="2" t="s">
        <v>9</v>
      </c>
      <c r="D1015" s="2" t="s">
        <v>181</v>
      </c>
      <c r="E1015" s="3">
        <v>392</v>
      </c>
      <c r="F1015" s="3">
        <f>E1015/5</f>
        <v>78.400000000000006</v>
      </c>
      <c r="G1015" s="4">
        <v>43280</v>
      </c>
      <c r="M1015" s="1"/>
      <c r="N1015" s="1"/>
      <c r="O1015" s="1"/>
      <c r="P1015" s="1"/>
      <c r="Q1015" s="1"/>
      <c r="R1015" s="1"/>
    </row>
    <row r="1016" spans="2:18">
      <c r="C1016" s="86" t="s">
        <v>18</v>
      </c>
      <c r="D1016" s="86" t="s">
        <v>2157</v>
      </c>
      <c r="E1016" s="3">
        <v>300</v>
      </c>
      <c r="F1016" s="3">
        <f>200/14</f>
        <v>14.285714285714286</v>
      </c>
      <c r="G1016" s="4">
        <v>44300</v>
      </c>
      <c r="M1016" s="1"/>
      <c r="N1016" s="1"/>
      <c r="O1016" s="1"/>
      <c r="P1016" s="1"/>
      <c r="Q1016" s="1"/>
      <c r="R1016" s="1"/>
    </row>
    <row r="1017" spans="2:18">
      <c r="G1017" s="4"/>
      <c r="M1017" s="1"/>
      <c r="N1017" s="1"/>
      <c r="O1017" s="1"/>
      <c r="P1017" s="1"/>
      <c r="Q1017" s="1"/>
      <c r="R1017" s="1"/>
    </row>
    <row r="1018" spans="2:18" s="12" customFormat="1">
      <c r="B1018" s="12" t="s">
        <v>1089</v>
      </c>
      <c r="C1018" s="13" t="s">
        <v>984</v>
      </c>
      <c r="D1018" s="13" t="s">
        <v>983</v>
      </c>
      <c r="E1018" s="15"/>
      <c r="F1018" s="15">
        <f>SUM(F1019:F1030)</f>
        <v>98.05</v>
      </c>
      <c r="G1018" s="14">
        <f>G1020</f>
        <v>44860</v>
      </c>
      <c r="M1018" s="13"/>
      <c r="N1018" s="13"/>
      <c r="O1018" s="13"/>
      <c r="P1018" s="13"/>
      <c r="Q1018" s="13"/>
      <c r="R1018" s="13"/>
    </row>
    <row r="1019" spans="2:18">
      <c r="C1019" s="2" t="s">
        <v>7</v>
      </c>
      <c r="D1019" s="2" t="s">
        <v>904</v>
      </c>
      <c r="E1019" s="3">
        <v>40</v>
      </c>
      <c r="F1019" s="3">
        <v>10</v>
      </c>
      <c r="G1019" s="4">
        <v>44650</v>
      </c>
    </row>
    <row r="1020" spans="2:18">
      <c r="C1020" s="2" t="s">
        <v>7</v>
      </c>
      <c r="D1020" s="2" t="s">
        <v>1088</v>
      </c>
      <c r="E1020" s="3">
        <v>37</v>
      </c>
      <c r="F1020" s="3">
        <v>4</v>
      </c>
      <c r="G1020" s="4">
        <v>44860</v>
      </c>
    </row>
    <row r="1021" spans="2:18">
      <c r="C1021" s="2" t="s">
        <v>7</v>
      </c>
      <c r="D1021" s="2" t="s">
        <v>1088</v>
      </c>
      <c r="E1021" s="3">
        <v>80</v>
      </c>
      <c r="F1021" s="3">
        <v>10</v>
      </c>
      <c r="G1021" s="4">
        <v>44327</v>
      </c>
    </row>
    <row r="1022" spans="2:18">
      <c r="C1022" s="2" t="s">
        <v>5</v>
      </c>
      <c r="D1022" s="2" t="s">
        <v>1088</v>
      </c>
      <c r="E1022" s="3">
        <v>30</v>
      </c>
      <c r="F1022" s="3">
        <v>10</v>
      </c>
      <c r="G1022" s="4">
        <v>43963</v>
      </c>
    </row>
    <row r="1023" spans="2:18">
      <c r="C1023" s="2" t="s">
        <v>9</v>
      </c>
      <c r="D1023" s="2" t="s">
        <v>23</v>
      </c>
      <c r="E1023" s="3">
        <v>222</v>
      </c>
      <c r="F1023" s="3">
        <v>10</v>
      </c>
      <c r="G1023" s="4">
        <v>44194</v>
      </c>
      <c r="I1023" s="1">
        <v>2500</v>
      </c>
      <c r="J1023" s="1">
        <v>2500</v>
      </c>
    </row>
    <row r="1024" spans="2:18">
      <c r="C1024" s="2" t="s">
        <v>8</v>
      </c>
      <c r="D1024" s="2" t="s">
        <v>23</v>
      </c>
      <c r="E1024" s="3">
        <v>200</v>
      </c>
      <c r="F1024" s="3">
        <v>13</v>
      </c>
      <c r="G1024" s="4">
        <v>43452</v>
      </c>
      <c r="I1024" s="1">
        <v>1500</v>
      </c>
      <c r="J1024" s="1">
        <v>2500</v>
      </c>
    </row>
    <row r="1025" spans="2:18">
      <c r="C1025" s="2" t="s">
        <v>18</v>
      </c>
      <c r="D1025" s="2" t="s">
        <v>23</v>
      </c>
      <c r="E1025" s="3">
        <v>50</v>
      </c>
      <c r="F1025" s="3">
        <v>5</v>
      </c>
      <c r="G1025" s="4">
        <v>43051</v>
      </c>
      <c r="J1025" s="1">
        <v>2500</v>
      </c>
    </row>
    <row r="1026" spans="2:18">
      <c r="C1026" s="2" t="s">
        <v>7</v>
      </c>
      <c r="D1026" s="2" t="s">
        <v>23</v>
      </c>
      <c r="E1026" s="3">
        <v>30</v>
      </c>
      <c r="F1026" s="3">
        <v>3</v>
      </c>
      <c r="G1026" s="4">
        <v>42936</v>
      </c>
      <c r="J1026" s="1">
        <v>2500</v>
      </c>
    </row>
    <row r="1027" spans="2:18">
      <c r="C1027" s="86" t="s">
        <v>8</v>
      </c>
      <c r="D1027" s="86" t="s">
        <v>5084</v>
      </c>
      <c r="E1027" s="3">
        <v>83</v>
      </c>
      <c r="F1027" s="3">
        <v>6.8</v>
      </c>
      <c r="G1027" s="4">
        <v>44320</v>
      </c>
      <c r="I1027" s="1">
        <v>3600</v>
      </c>
      <c r="J1027" s="1">
        <v>3600</v>
      </c>
    </row>
    <row r="1028" spans="2:18">
      <c r="C1028" s="86" t="s">
        <v>18</v>
      </c>
      <c r="D1028" s="86" t="s">
        <v>5084</v>
      </c>
      <c r="E1028" s="3">
        <v>100</v>
      </c>
      <c r="F1028" s="3">
        <v>10</v>
      </c>
      <c r="G1028" s="4">
        <v>43937</v>
      </c>
      <c r="I1028" s="1">
        <v>1100</v>
      </c>
      <c r="J1028" s="1">
        <v>3600</v>
      </c>
    </row>
    <row r="1029" spans="2:18">
      <c r="C1029" s="86" t="s">
        <v>7</v>
      </c>
      <c r="D1029" s="86" t="s">
        <v>5084</v>
      </c>
      <c r="E1029" s="3">
        <v>40</v>
      </c>
      <c r="F1029" s="3">
        <v>10</v>
      </c>
      <c r="G1029" s="4">
        <v>43522</v>
      </c>
      <c r="J1029" s="1">
        <v>3600</v>
      </c>
    </row>
    <row r="1030" spans="2:18">
      <c r="C1030" s="86" t="s">
        <v>5</v>
      </c>
      <c r="D1030" s="86" t="s">
        <v>5084</v>
      </c>
      <c r="E1030" s="3">
        <v>25</v>
      </c>
      <c r="F1030" s="3">
        <f>E1030/4</f>
        <v>6.25</v>
      </c>
      <c r="G1030" s="4">
        <v>43172</v>
      </c>
      <c r="J1030" s="1">
        <v>3600</v>
      </c>
    </row>
    <row r="1031" spans="2:18">
      <c r="C1031" s="96" t="s">
        <v>9</v>
      </c>
      <c r="D1031" s="96" t="s">
        <v>5209</v>
      </c>
      <c r="E1031" s="3">
        <v>43</v>
      </c>
      <c r="F1031" s="3">
        <f>23/3</f>
        <v>7.666666666666667</v>
      </c>
      <c r="G1031" s="4">
        <v>43992</v>
      </c>
    </row>
    <row r="1032" spans="2:18">
      <c r="G1032" s="4"/>
    </row>
    <row r="1033" spans="2:18" s="12" customFormat="1">
      <c r="B1033" s="12" t="s">
        <v>1106</v>
      </c>
      <c r="C1033" s="13" t="s">
        <v>984</v>
      </c>
      <c r="D1033" s="13" t="s">
        <v>983</v>
      </c>
      <c r="E1033" s="15"/>
      <c r="F1033" s="15">
        <f>SUM(F1034:F1049)</f>
        <v>92.738095238095241</v>
      </c>
      <c r="G1033" s="14">
        <f>G1034</f>
        <v>45042</v>
      </c>
      <c r="M1033" s="13"/>
      <c r="N1033" s="13"/>
      <c r="O1033" s="13"/>
      <c r="P1033" s="13"/>
      <c r="Q1033" s="13"/>
      <c r="R1033" s="13"/>
    </row>
    <row r="1034" spans="2:18">
      <c r="C1034" s="2" t="s">
        <v>7</v>
      </c>
      <c r="D1034" s="2" t="s">
        <v>1105</v>
      </c>
      <c r="E1034" s="3">
        <v>100</v>
      </c>
      <c r="F1034" s="3">
        <v>5</v>
      </c>
      <c r="G1034" s="4">
        <v>45042</v>
      </c>
    </row>
    <row r="1035" spans="2:18">
      <c r="C1035" s="2" t="s">
        <v>5</v>
      </c>
      <c r="D1035" s="2" t="s">
        <v>1105</v>
      </c>
      <c r="E1035" s="3">
        <v>28</v>
      </c>
      <c r="F1035" s="3">
        <v>6</v>
      </c>
      <c r="G1035" s="4">
        <v>44649</v>
      </c>
    </row>
    <row r="1036" spans="2:18">
      <c r="C1036" s="2" t="s">
        <v>4</v>
      </c>
      <c r="D1036" s="2" t="s">
        <v>1105</v>
      </c>
      <c r="E1036" s="3">
        <v>10</v>
      </c>
      <c r="F1036" s="3">
        <v>5</v>
      </c>
      <c r="G1036" s="4">
        <v>44223</v>
      </c>
    </row>
    <row r="1037" spans="2:18">
      <c r="C1037" s="2" t="s">
        <v>7</v>
      </c>
      <c r="D1037" s="2" t="s">
        <v>1027</v>
      </c>
      <c r="E1037" s="3">
        <v>43</v>
      </c>
      <c r="F1037" s="3">
        <f>30/5</f>
        <v>6</v>
      </c>
      <c r="G1037" s="4">
        <v>44978</v>
      </c>
    </row>
    <row r="1038" spans="2:18">
      <c r="C1038" s="2" t="s">
        <v>7</v>
      </c>
      <c r="D1038" s="2" t="s">
        <v>872</v>
      </c>
      <c r="E1038" s="3">
        <v>25</v>
      </c>
      <c r="F1038" s="3">
        <f>18/7</f>
        <v>2.5714285714285716</v>
      </c>
      <c r="G1038" s="4">
        <v>44636</v>
      </c>
    </row>
    <row r="1039" spans="2:18">
      <c r="C1039" s="2" t="s">
        <v>5</v>
      </c>
      <c r="D1039" s="2" t="s">
        <v>872</v>
      </c>
      <c r="E1039" s="3">
        <v>12.2</v>
      </c>
      <c r="F1039" s="3">
        <v>4</v>
      </c>
      <c r="G1039" s="4">
        <v>44179</v>
      </c>
    </row>
    <row r="1040" spans="2:18">
      <c r="C1040" s="2" t="s">
        <v>4</v>
      </c>
      <c r="D1040" s="2" t="s">
        <v>872</v>
      </c>
      <c r="E1040" s="3">
        <v>5.0999999999999996</v>
      </c>
      <c r="F1040" s="3">
        <v>1</v>
      </c>
      <c r="G1040" s="4">
        <v>44046</v>
      </c>
    </row>
    <row r="1041" spans="2:18">
      <c r="C1041" s="2" t="s">
        <v>4</v>
      </c>
      <c r="D1041" s="2" t="s">
        <v>841</v>
      </c>
      <c r="E1041" s="3">
        <v>4.5</v>
      </c>
      <c r="F1041" s="3">
        <v>0.5</v>
      </c>
      <c r="G1041" s="4">
        <v>45056</v>
      </c>
    </row>
    <row r="1042" spans="2:18">
      <c r="C1042" s="2" t="s">
        <v>5</v>
      </c>
      <c r="D1042" s="2" t="s">
        <v>731</v>
      </c>
      <c r="E1042" s="3">
        <v>11</v>
      </c>
      <c r="F1042" s="3">
        <v>4</v>
      </c>
      <c r="G1042" s="4">
        <v>44483</v>
      </c>
    </row>
    <row r="1043" spans="2:18">
      <c r="C1043" s="2" t="s">
        <v>7</v>
      </c>
      <c r="D1043" s="2" t="s">
        <v>406</v>
      </c>
      <c r="E1043" s="3">
        <v>37</v>
      </c>
      <c r="F1043" s="3">
        <v>4</v>
      </c>
      <c r="G1043" s="4">
        <v>44860</v>
      </c>
    </row>
    <row r="1044" spans="2:18">
      <c r="C1044" s="2" t="s">
        <v>7</v>
      </c>
      <c r="D1044" s="2" t="s">
        <v>406</v>
      </c>
      <c r="E1044" s="3">
        <v>80</v>
      </c>
      <c r="F1044" s="3">
        <v>10</v>
      </c>
      <c r="G1044" s="4">
        <v>44327</v>
      </c>
    </row>
    <row r="1045" spans="2:18">
      <c r="C1045" s="2" t="s">
        <v>5</v>
      </c>
      <c r="D1045" s="2" t="s">
        <v>406</v>
      </c>
      <c r="E1045" s="3">
        <v>30</v>
      </c>
      <c r="F1045" s="3">
        <v>6.666666666666667</v>
      </c>
      <c r="G1045" s="4">
        <v>43963</v>
      </c>
    </row>
    <row r="1046" spans="2:18">
      <c r="C1046" s="2" t="s">
        <v>8</v>
      </c>
      <c r="D1046" s="2" t="s">
        <v>57</v>
      </c>
      <c r="E1046" s="3">
        <v>200</v>
      </c>
      <c r="F1046" s="3">
        <f>150/8</f>
        <v>18.75</v>
      </c>
      <c r="G1046" s="4">
        <v>44055</v>
      </c>
      <c r="I1046" s="1">
        <v>2000</v>
      </c>
      <c r="J1046" s="1">
        <v>7000</v>
      </c>
    </row>
    <row r="1047" spans="2:18">
      <c r="C1047" s="2" t="s">
        <v>18</v>
      </c>
      <c r="D1047" s="2" t="s">
        <v>57</v>
      </c>
      <c r="E1047" s="3">
        <v>65</v>
      </c>
      <c r="F1047" s="3">
        <v>8</v>
      </c>
      <c r="G1047" s="4">
        <v>43802</v>
      </c>
      <c r="I1047" s="1">
        <v>685</v>
      </c>
      <c r="J1047" s="1">
        <v>7000</v>
      </c>
    </row>
    <row r="1048" spans="2:18">
      <c r="C1048" s="2" t="s">
        <v>7</v>
      </c>
      <c r="D1048" s="2" t="s">
        <v>57</v>
      </c>
      <c r="E1048" s="3">
        <v>40</v>
      </c>
      <c r="F1048" s="3">
        <v>6.25</v>
      </c>
      <c r="G1048" s="4">
        <v>43503</v>
      </c>
      <c r="J1048" s="1">
        <v>7000</v>
      </c>
    </row>
    <row r="1049" spans="2:18">
      <c r="C1049" s="2" t="s">
        <v>5</v>
      </c>
      <c r="D1049" s="2" t="s">
        <v>57</v>
      </c>
      <c r="E1049" s="3">
        <v>20</v>
      </c>
      <c r="F1049" s="3">
        <v>5</v>
      </c>
      <c r="G1049" s="4">
        <v>42898</v>
      </c>
    </row>
    <row r="1050" spans="2:18">
      <c r="G1050" s="4"/>
    </row>
    <row r="1051" spans="2:18" s="12" customFormat="1">
      <c r="B1051" s="12" t="s">
        <v>243</v>
      </c>
      <c r="C1051" s="13" t="s">
        <v>984</v>
      </c>
      <c r="D1051" s="13" t="s">
        <v>983</v>
      </c>
      <c r="E1051" s="15"/>
      <c r="F1051" s="15">
        <f>SUM(F1052:F1054)</f>
        <v>88.8888888888889</v>
      </c>
      <c r="G1051" s="14">
        <f>G1053</f>
        <v>44218</v>
      </c>
      <c r="M1051" s="13"/>
      <c r="N1051" s="13"/>
      <c r="O1051" s="13"/>
      <c r="P1051" s="13"/>
      <c r="Q1051" s="13"/>
      <c r="R1051" s="13"/>
    </row>
    <row r="1052" spans="2:18">
      <c r="C1052" s="2" t="s">
        <v>18</v>
      </c>
      <c r="D1052" s="2" t="s">
        <v>239</v>
      </c>
      <c r="E1052" s="3">
        <v>460</v>
      </c>
      <c r="F1052" s="3">
        <f>160/4</f>
        <v>40</v>
      </c>
      <c r="G1052" s="4">
        <v>43040</v>
      </c>
    </row>
    <row r="1053" spans="2:18">
      <c r="C1053" s="2" t="s">
        <v>8</v>
      </c>
      <c r="D1053" s="2" t="s">
        <v>218</v>
      </c>
      <c r="E1053" s="3">
        <v>700</v>
      </c>
      <c r="F1053" s="3">
        <f>400/12</f>
        <v>33.333333333333336</v>
      </c>
      <c r="G1053" s="4">
        <v>44218</v>
      </c>
    </row>
    <row r="1054" spans="2:18">
      <c r="C1054" s="2" t="s">
        <v>18</v>
      </c>
      <c r="D1054" s="2" t="s">
        <v>218</v>
      </c>
      <c r="E1054" s="3">
        <v>140</v>
      </c>
      <c r="F1054" s="3">
        <f>E1054/9</f>
        <v>15.555555555555555</v>
      </c>
      <c r="G1054" s="4">
        <v>43453</v>
      </c>
    </row>
    <row r="1055" spans="2:18">
      <c r="G1055" s="4"/>
    </row>
    <row r="1056" spans="2:18" s="12" customFormat="1">
      <c r="B1056" s="12" t="s">
        <v>614</v>
      </c>
      <c r="C1056" s="13" t="s">
        <v>984</v>
      </c>
      <c r="D1056" s="13" t="s">
        <v>983</v>
      </c>
      <c r="E1056" s="15"/>
      <c r="F1056" s="15">
        <f>SUM(F1057:F1061)</f>
        <v>86.174999999999997</v>
      </c>
      <c r="G1056" s="14">
        <f>G1057</f>
        <v>44663</v>
      </c>
    </row>
    <row r="1057" spans="2:18">
      <c r="C1057" s="2" t="s">
        <v>18</v>
      </c>
      <c r="D1057" s="2" t="s">
        <v>610</v>
      </c>
      <c r="E1057" s="3">
        <v>125</v>
      </c>
      <c r="F1057" s="3">
        <f>75/8</f>
        <v>9.375</v>
      </c>
      <c r="G1057" s="4">
        <v>44663</v>
      </c>
      <c r="M1057" s="1"/>
      <c r="N1057" s="1"/>
      <c r="O1057" s="1"/>
      <c r="P1057" s="1"/>
      <c r="Q1057" s="1"/>
      <c r="R1057" s="1"/>
    </row>
    <row r="1058" spans="2:18">
      <c r="C1058" s="2" t="s">
        <v>7</v>
      </c>
      <c r="D1058" s="2" t="s">
        <v>610</v>
      </c>
      <c r="E1058" s="3">
        <v>54</v>
      </c>
      <c r="F1058" s="3">
        <f>40/5</f>
        <v>8</v>
      </c>
      <c r="G1058" s="4">
        <v>44089</v>
      </c>
      <c r="M1058" s="1"/>
      <c r="N1058" s="1"/>
      <c r="O1058" s="1"/>
      <c r="P1058" s="1"/>
      <c r="Q1058" s="1"/>
      <c r="R1058" s="1"/>
    </row>
    <row r="1059" spans="2:18">
      <c r="C1059" s="2" t="s">
        <v>8</v>
      </c>
      <c r="D1059" s="2" t="s">
        <v>41</v>
      </c>
      <c r="E1059" s="3">
        <v>170</v>
      </c>
      <c r="F1059" s="3">
        <v>22</v>
      </c>
      <c r="G1059" s="4">
        <v>44255</v>
      </c>
      <c r="I1059" s="1">
        <v>830</v>
      </c>
      <c r="J1059" s="1">
        <v>2000</v>
      </c>
      <c r="M1059" s="1"/>
      <c r="N1059" s="1"/>
      <c r="O1059" s="1"/>
      <c r="P1059" s="1"/>
      <c r="Q1059" s="1"/>
      <c r="R1059" s="1"/>
    </row>
    <row r="1060" spans="2:18">
      <c r="C1060" s="2" t="s">
        <v>18</v>
      </c>
      <c r="D1060" s="2" t="s">
        <v>41</v>
      </c>
      <c r="E1060" s="3">
        <v>100</v>
      </c>
      <c r="F1060" s="3">
        <v>40</v>
      </c>
      <c r="G1060" s="4">
        <v>44025</v>
      </c>
      <c r="J1060" s="1">
        <v>2000</v>
      </c>
      <c r="M1060" s="1"/>
      <c r="N1060" s="1"/>
      <c r="O1060" s="1"/>
      <c r="P1060" s="1"/>
      <c r="Q1060" s="1"/>
      <c r="R1060" s="1"/>
    </row>
    <row r="1061" spans="2:18">
      <c r="C1061" s="86" t="s">
        <v>8</v>
      </c>
      <c r="D1061" s="86" t="s">
        <v>5084</v>
      </c>
      <c r="E1061" s="3">
        <v>83</v>
      </c>
      <c r="F1061" s="3">
        <v>6.8</v>
      </c>
      <c r="G1061" s="4">
        <v>44320</v>
      </c>
      <c r="I1061" s="1">
        <v>3600</v>
      </c>
      <c r="J1061" s="1">
        <v>3600</v>
      </c>
      <c r="M1061" s="1"/>
      <c r="N1061" s="1"/>
      <c r="O1061" s="1"/>
      <c r="P1061" s="1"/>
      <c r="Q1061" s="1"/>
      <c r="R1061" s="1"/>
    </row>
    <row r="1062" spans="2:18">
      <c r="C1062" s="86" t="s">
        <v>18</v>
      </c>
      <c r="D1062" s="86" t="s">
        <v>5084</v>
      </c>
      <c r="E1062" s="3">
        <v>100</v>
      </c>
      <c r="F1062" s="3">
        <v>20</v>
      </c>
      <c r="G1062" s="4">
        <v>43937</v>
      </c>
      <c r="I1062" s="1">
        <v>1100</v>
      </c>
      <c r="J1062" s="1">
        <v>3600</v>
      </c>
      <c r="M1062" s="1"/>
      <c r="N1062" s="1"/>
      <c r="O1062" s="1"/>
      <c r="P1062" s="1"/>
      <c r="Q1062" s="1"/>
      <c r="R1062" s="1"/>
    </row>
    <row r="1063" spans="2:18">
      <c r="G1063" s="4"/>
      <c r="M1063" s="1"/>
      <c r="N1063" s="1"/>
      <c r="O1063" s="1"/>
      <c r="P1063" s="1"/>
      <c r="Q1063" s="1"/>
      <c r="R1063" s="1"/>
    </row>
    <row r="1064" spans="2:18" s="12" customFormat="1">
      <c r="B1064" s="12" t="s">
        <v>630</v>
      </c>
      <c r="C1064" s="13" t="s">
        <v>984</v>
      </c>
      <c r="D1064" s="13" t="s">
        <v>983</v>
      </c>
      <c r="E1064" s="15"/>
      <c r="F1064" s="15">
        <f>SUM(F1065:F1069)</f>
        <v>85.333333333333343</v>
      </c>
      <c r="G1064" s="14">
        <f>G1068</f>
        <v>44867</v>
      </c>
    </row>
    <row r="1065" spans="2:18">
      <c r="C1065" s="2" t="s">
        <v>9</v>
      </c>
      <c r="D1065" s="2" t="s">
        <v>617</v>
      </c>
      <c r="E1065" s="3">
        <v>132</v>
      </c>
      <c r="F1065" s="3">
        <v>20</v>
      </c>
      <c r="G1065" s="4">
        <v>44215</v>
      </c>
      <c r="M1065" s="1"/>
      <c r="N1065" s="1"/>
      <c r="O1065" s="1"/>
      <c r="P1065" s="1"/>
      <c r="Q1065" s="1"/>
      <c r="R1065" s="1"/>
    </row>
    <row r="1066" spans="2:18">
      <c r="C1066" s="2" t="s">
        <v>8</v>
      </c>
      <c r="D1066" s="2" t="s">
        <v>617</v>
      </c>
      <c r="E1066" s="3">
        <v>42</v>
      </c>
      <c r="F1066" s="3">
        <v>12</v>
      </c>
      <c r="G1066" s="4">
        <v>44153</v>
      </c>
      <c r="M1066" s="1"/>
      <c r="N1066" s="1"/>
      <c r="O1066" s="1"/>
      <c r="P1066" s="1"/>
      <c r="Q1066" s="1"/>
      <c r="R1066" s="1"/>
    </row>
    <row r="1067" spans="2:18">
      <c r="C1067" s="2" t="s">
        <v>7</v>
      </c>
      <c r="D1067" s="2" t="s">
        <v>325</v>
      </c>
      <c r="E1067" s="3">
        <v>55</v>
      </c>
      <c r="F1067" s="3">
        <f>30/6</f>
        <v>5</v>
      </c>
      <c r="G1067" s="4">
        <v>44200</v>
      </c>
      <c r="M1067" s="1"/>
      <c r="N1067" s="1"/>
      <c r="O1067" s="1"/>
      <c r="P1067" s="1"/>
      <c r="Q1067" s="1"/>
      <c r="R1067" s="1"/>
    </row>
    <row r="1068" spans="2:18">
      <c r="C1068" s="2" t="s">
        <v>18</v>
      </c>
      <c r="D1068" s="2" t="s">
        <v>325</v>
      </c>
      <c r="E1068" s="3">
        <v>91</v>
      </c>
      <c r="F1068" s="3">
        <v>8.75</v>
      </c>
      <c r="G1068" s="4">
        <v>44867</v>
      </c>
      <c r="M1068" s="1"/>
      <c r="N1068" s="1"/>
      <c r="O1068" s="1"/>
      <c r="P1068" s="1"/>
      <c r="Q1068" s="1"/>
      <c r="R1068" s="1"/>
    </row>
    <row r="1069" spans="2:18">
      <c r="C1069" s="2" t="s">
        <v>55</v>
      </c>
      <c r="D1069" s="2" t="s">
        <v>181</v>
      </c>
      <c r="E1069" s="3">
        <v>475</v>
      </c>
      <c r="F1069" s="3">
        <f>E1069/12</f>
        <v>39.583333333333336</v>
      </c>
      <c r="G1069" s="4">
        <v>44278</v>
      </c>
      <c r="M1069" s="1"/>
      <c r="N1069" s="1"/>
      <c r="O1069" s="1"/>
      <c r="P1069" s="1"/>
      <c r="Q1069" s="1"/>
      <c r="R1069" s="1"/>
    </row>
    <row r="1070" spans="2:18">
      <c r="G1070" s="4"/>
      <c r="M1070" s="1"/>
      <c r="N1070" s="1"/>
      <c r="O1070" s="1"/>
      <c r="P1070" s="1"/>
      <c r="Q1070" s="1"/>
      <c r="R1070" s="1"/>
    </row>
    <row r="1071" spans="2:18" s="12" customFormat="1">
      <c r="B1071" s="12" t="s">
        <v>217</v>
      </c>
      <c r="C1071" s="13" t="s">
        <v>984</v>
      </c>
      <c r="D1071" s="13" t="s">
        <v>983</v>
      </c>
      <c r="E1071" s="15"/>
      <c r="F1071" s="15">
        <f>SUM(F1072:F1073)</f>
        <v>82.428571428571431</v>
      </c>
      <c r="G1071" s="14">
        <f>G1073</f>
        <v>44515</v>
      </c>
      <c r="M1071" s="13"/>
      <c r="N1071" s="13"/>
      <c r="O1071" s="13"/>
      <c r="P1071" s="13"/>
      <c r="Q1071" s="13"/>
      <c r="R1071" s="13"/>
    </row>
    <row r="1072" spans="2:18">
      <c r="C1072" s="2" t="s">
        <v>8</v>
      </c>
      <c r="D1072" s="2" t="s">
        <v>215</v>
      </c>
      <c r="E1072" s="3">
        <v>676</v>
      </c>
      <c r="F1072" s="3">
        <f>500/7</f>
        <v>71.428571428571431</v>
      </c>
      <c r="G1072" s="4">
        <v>44299</v>
      </c>
      <c r="I1072" s="1">
        <v>4400</v>
      </c>
      <c r="J1072" s="1">
        <v>4400</v>
      </c>
    </row>
    <row r="1073" spans="2:18">
      <c r="C1073" s="2" t="s">
        <v>55</v>
      </c>
      <c r="D1073" s="2" t="s">
        <v>49</v>
      </c>
      <c r="E1073" s="3">
        <v>100</v>
      </c>
      <c r="F1073" s="3">
        <v>11</v>
      </c>
      <c r="G1073" s="4">
        <v>44515</v>
      </c>
      <c r="I1073" s="1">
        <v>4100</v>
      </c>
      <c r="J1073" s="1">
        <v>4100</v>
      </c>
    </row>
    <row r="1074" spans="2:18">
      <c r="G1074" s="4"/>
    </row>
    <row r="1075" spans="2:18" s="12" customFormat="1">
      <c r="B1075" s="12" t="s">
        <v>56</v>
      </c>
      <c r="C1075" s="13" t="s">
        <v>984</v>
      </c>
      <c r="D1075" s="13" t="s">
        <v>983</v>
      </c>
      <c r="E1075" s="15"/>
      <c r="F1075" s="15">
        <f>SUM(F1076:F1080)</f>
        <v>82.083333333333329</v>
      </c>
      <c r="G1075" s="14">
        <f>G1076</f>
        <v>44515</v>
      </c>
      <c r="M1075" s="13"/>
      <c r="N1075" s="13"/>
      <c r="O1075" s="13"/>
      <c r="P1075" s="13"/>
      <c r="Q1075" s="13"/>
      <c r="R1075" s="13"/>
    </row>
    <row r="1076" spans="2:18">
      <c r="C1076" s="2" t="s">
        <v>55</v>
      </c>
      <c r="D1076" s="2" t="s">
        <v>49</v>
      </c>
      <c r="E1076" s="3">
        <v>100</v>
      </c>
      <c r="F1076" s="3">
        <v>11</v>
      </c>
      <c r="G1076" s="4">
        <v>44515</v>
      </c>
      <c r="I1076" s="1">
        <v>4100</v>
      </c>
      <c r="J1076" s="1">
        <v>4100</v>
      </c>
    </row>
    <row r="1077" spans="2:18">
      <c r="C1077" s="2" t="s">
        <v>18</v>
      </c>
      <c r="D1077" s="2" t="s">
        <v>49</v>
      </c>
      <c r="E1077" s="3">
        <v>60</v>
      </c>
      <c r="F1077" s="3">
        <v>20</v>
      </c>
      <c r="G1077" s="4">
        <v>42964</v>
      </c>
      <c r="J1077" s="1">
        <v>4100</v>
      </c>
    </row>
    <row r="1078" spans="2:18">
      <c r="C1078" s="2" t="s">
        <v>9</v>
      </c>
      <c r="D1078" s="2" t="s">
        <v>54</v>
      </c>
      <c r="E1078" s="3">
        <v>220</v>
      </c>
      <c r="F1078" s="3">
        <v>28</v>
      </c>
      <c r="G1078" s="4">
        <v>44357</v>
      </c>
      <c r="I1078" s="1">
        <v>1900</v>
      </c>
      <c r="J1078" s="1">
        <v>1900</v>
      </c>
    </row>
    <row r="1079" spans="2:18">
      <c r="C1079" s="2" t="s">
        <v>8</v>
      </c>
      <c r="D1079" s="2" t="s">
        <v>54</v>
      </c>
      <c r="E1079" s="3">
        <v>125</v>
      </c>
      <c r="F1079" s="3">
        <v>18.75</v>
      </c>
      <c r="G1079" s="4">
        <v>44131</v>
      </c>
      <c r="I1079" s="1">
        <v>875</v>
      </c>
      <c r="J1079" s="1">
        <v>1900</v>
      </c>
    </row>
    <row r="1080" spans="2:18">
      <c r="C1080" s="96" t="s">
        <v>7</v>
      </c>
      <c r="D1080" s="96" t="s">
        <v>2150</v>
      </c>
      <c r="E1080" s="3">
        <v>20</v>
      </c>
      <c r="F1080" s="3">
        <f>13/3</f>
        <v>4.333333333333333</v>
      </c>
      <c r="G1080" s="4">
        <v>42317</v>
      </c>
      <c r="J1080" s="1">
        <v>1600</v>
      </c>
    </row>
    <row r="1081" spans="2:18">
      <c r="G1081" s="4"/>
    </row>
    <row r="1082" spans="2:18">
      <c r="B1082" s="12" t="s">
        <v>1102</v>
      </c>
      <c r="C1082" s="13" t="s">
        <v>984</v>
      </c>
      <c r="D1082" s="13" t="s">
        <v>983</v>
      </c>
      <c r="E1082" s="15"/>
      <c r="F1082" s="15">
        <f>SUM(F1083:F1084)</f>
        <v>80</v>
      </c>
      <c r="G1082" s="14">
        <f>G1084</f>
        <v>44679</v>
      </c>
      <c r="I1082" s="1">
        <v>7000</v>
      </c>
      <c r="J1082" s="19">
        <f>+F1082/I1082</f>
        <v>1.1428571428571429E-2</v>
      </c>
      <c r="K1082" s="1">
        <v>2012</v>
      </c>
    </row>
    <row r="1083" spans="2:18">
      <c r="C1083" s="2" t="s">
        <v>9</v>
      </c>
      <c r="D1083" s="2" t="s">
        <v>815</v>
      </c>
      <c r="E1083" s="3">
        <v>325</v>
      </c>
      <c r="F1083" s="3">
        <f>32.5*2</f>
        <v>65</v>
      </c>
      <c r="G1083" s="4">
        <v>44299</v>
      </c>
    </row>
    <row r="1084" spans="2:18">
      <c r="C1084" s="2" t="s">
        <v>5</v>
      </c>
      <c r="D1084" s="2" t="s">
        <v>1100</v>
      </c>
      <c r="E1084" s="3">
        <v>25</v>
      </c>
      <c r="F1084" s="3">
        <v>15</v>
      </c>
      <c r="G1084" s="4">
        <v>44679</v>
      </c>
    </row>
    <row r="1085" spans="2:18">
      <c r="G1085" s="4"/>
    </row>
    <row r="1086" spans="2:18" s="12" customFormat="1">
      <c r="B1086" s="12" t="s">
        <v>504</v>
      </c>
      <c r="C1086" s="13" t="s">
        <v>984</v>
      </c>
      <c r="D1086" s="13" t="s">
        <v>983</v>
      </c>
      <c r="E1086" s="15"/>
      <c r="F1086" s="15">
        <f>SUM(F1087:F1090)</f>
        <v>78.5</v>
      </c>
      <c r="G1086" s="14">
        <f>G1090</f>
        <v>44557</v>
      </c>
    </row>
    <row r="1087" spans="2:18">
      <c r="C1087" s="2" t="s">
        <v>9</v>
      </c>
      <c r="D1087" s="2" t="s">
        <v>498</v>
      </c>
      <c r="E1087" s="3">
        <v>206</v>
      </c>
      <c r="F1087" s="3">
        <v>14</v>
      </c>
      <c r="G1087" s="4">
        <v>43725</v>
      </c>
      <c r="M1087" s="1"/>
      <c r="N1087" s="1"/>
      <c r="O1087" s="1"/>
      <c r="P1087" s="1"/>
      <c r="Q1087" s="1"/>
      <c r="R1087" s="1"/>
    </row>
    <row r="1088" spans="2:18">
      <c r="C1088" s="2" t="s">
        <v>9</v>
      </c>
      <c r="D1088" s="2" t="s">
        <v>49</v>
      </c>
      <c r="E1088" s="3">
        <v>248</v>
      </c>
      <c r="F1088" s="3">
        <f>150/4</f>
        <v>37.5</v>
      </c>
      <c r="G1088" s="4">
        <v>43678</v>
      </c>
      <c r="I1088" s="1">
        <v>1700</v>
      </c>
      <c r="J1088" s="1">
        <v>4100</v>
      </c>
      <c r="M1088" s="1"/>
      <c r="N1088" s="1"/>
      <c r="O1088" s="1"/>
      <c r="P1088" s="1"/>
      <c r="Q1088" s="1"/>
      <c r="R1088" s="1"/>
    </row>
    <row r="1089" spans="2:18">
      <c r="C1089" s="2" t="s">
        <v>18</v>
      </c>
      <c r="D1089" s="2" t="s">
        <v>49</v>
      </c>
      <c r="E1089" s="3">
        <v>50</v>
      </c>
      <c r="F1089" s="3">
        <v>15</v>
      </c>
      <c r="G1089" s="4">
        <v>42509</v>
      </c>
      <c r="J1089" s="1">
        <v>4100</v>
      </c>
      <c r="M1089" s="1"/>
      <c r="N1089" s="1"/>
      <c r="O1089" s="1"/>
      <c r="P1089" s="1"/>
      <c r="Q1089" s="1"/>
      <c r="R1089" s="1"/>
    </row>
    <row r="1090" spans="2:18">
      <c r="C1090" s="2" t="s">
        <v>18</v>
      </c>
      <c r="D1090" s="2" t="s">
        <v>2168</v>
      </c>
      <c r="E1090" s="3">
        <v>200</v>
      </c>
      <c r="F1090" s="3">
        <v>12</v>
      </c>
      <c r="G1090" s="4">
        <v>44557</v>
      </c>
      <c r="I1090" s="1">
        <v>1300</v>
      </c>
      <c r="J1090" s="1">
        <v>1300</v>
      </c>
      <c r="M1090" s="1"/>
      <c r="N1090" s="1"/>
      <c r="O1090" s="1"/>
      <c r="P1090" s="1"/>
      <c r="Q1090" s="1"/>
      <c r="R1090" s="1"/>
    </row>
    <row r="1091" spans="2:18">
      <c r="G1091" s="4"/>
      <c r="M1091" s="1"/>
      <c r="N1091" s="1"/>
      <c r="O1091" s="1"/>
      <c r="P1091" s="1"/>
      <c r="Q1091" s="1"/>
      <c r="R1091" s="1"/>
    </row>
    <row r="1092" spans="2:18" s="12" customFormat="1">
      <c r="B1092" s="12" t="s">
        <v>253</v>
      </c>
      <c r="C1092" s="13" t="s">
        <v>984</v>
      </c>
      <c r="D1092" s="13" t="s">
        <v>983</v>
      </c>
      <c r="E1092" s="15"/>
      <c r="F1092" s="15">
        <f>SUM(F1093:F1096)</f>
        <v>79</v>
      </c>
      <c r="G1092" s="14">
        <f>G1095</f>
        <v>42735</v>
      </c>
      <c r="M1092" s="13"/>
      <c r="N1092" s="13"/>
      <c r="O1092" s="13"/>
      <c r="P1092" s="13"/>
      <c r="Q1092" s="13"/>
      <c r="R1092" s="13"/>
    </row>
    <row r="1093" spans="2:18">
      <c r="C1093" s="2" t="s">
        <v>7</v>
      </c>
      <c r="D1093" s="2" t="s">
        <v>252</v>
      </c>
      <c r="E1093" s="3">
        <v>100</v>
      </c>
      <c r="F1093" s="3">
        <v>25</v>
      </c>
      <c r="G1093" s="4">
        <v>42576</v>
      </c>
    </row>
    <row r="1094" spans="2:18">
      <c r="C1094" s="2" t="s">
        <v>5</v>
      </c>
      <c r="D1094" s="2" t="s">
        <v>252</v>
      </c>
      <c r="E1094" s="3">
        <v>20</v>
      </c>
      <c r="F1094" s="3">
        <v>20</v>
      </c>
      <c r="G1094" s="4">
        <v>42339</v>
      </c>
    </row>
    <row r="1095" spans="2:18">
      <c r="C1095" s="2" t="s">
        <v>18</v>
      </c>
      <c r="D1095" s="2" t="s">
        <v>239</v>
      </c>
      <c r="E1095" s="3">
        <v>100</v>
      </c>
      <c r="F1095" s="3">
        <v>20</v>
      </c>
      <c r="G1095" s="4">
        <v>42735</v>
      </c>
    </row>
    <row r="1096" spans="2:18">
      <c r="C1096" s="2" t="s">
        <v>7</v>
      </c>
      <c r="D1096" s="2" t="s">
        <v>239</v>
      </c>
      <c r="E1096" s="3">
        <v>22</v>
      </c>
      <c r="F1096" s="3">
        <v>14</v>
      </c>
      <c r="G1096" s="4">
        <v>41821</v>
      </c>
    </row>
    <row r="1097" spans="2:18">
      <c r="G1097" s="4"/>
    </row>
    <row r="1098" spans="2:18" s="12" customFormat="1">
      <c r="B1098" s="12" t="s">
        <v>1093</v>
      </c>
      <c r="C1098" s="13" t="s">
        <v>984</v>
      </c>
      <c r="D1098" s="13" t="s">
        <v>983</v>
      </c>
      <c r="E1098" s="15"/>
      <c r="F1098" s="15">
        <f>SUM(F1099:F1105)</f>
        <v>79.099999999999994</v>
      </c>
      <c r="G1098" s="14">
        <f>G1100</f>
        <v>44880</v>
      </c>
    </row>
    <row r="1099" spans="2:18">
      <c r="C1099" s="2" t="s">
        <v>5</v>
      </c>
      <c r="D1099" s="2" t="s">
        <v>474</v>
      </c>
      <c r="E1099" s="3">
        <v>15.5</v>
      </c>
      <c r="F1099" s="3">
        <v>3</v>
      </c>
      <c r="G1099" s="4">
        <v>44727</v>
      </c>
      <c r="M1099" s="1"/>
      <c r="N1099" s="1"/>
      <c r="O1099" s="1"/>
      <c r="P1099" s="1"/>
      <c r="Q1099" s="1"/>
      <c r="R1099" s="1"/>
    </row>
    <row r="1100" spans="2:18">
      <c r="C1100" s="2" t="s">
        <v>8</v>
      </c>
      <c r="D1100" s="2" t="s">
        <v>136</v>
      </c>
      <c r="E1100" s="3">
        <v>135</v>
      </c>
      <c r="F1100" s="3">
        <v>8</v>
      </c>
      <c r="G1100" s="4">
        <v>44880</v>
      </c>
      <c r="M1100" s="1"/>
      <c r="N1100" s="1"/>
      <c r="O1100" s="1"/>
      <c r="P1100" s="1"/>
      <c r="Q1100" s="1"/>
      <c r="R1100" s="1"/>
    </row>
    <row r="1101" spans="2:18">
      <c r="C1101" s="2" t="s">
        <v>18</v>
      </c>
      <c r="D1101" s="2" t="s">
        <v>136</v>
      </c>
      <c r="E1101" s="3">
        <v>31.7</v>
      </c>
      <c r="F1101" s="3">
        <v>7</v>
      </c>
      <c r="G1101" s="4">
        <v>43599</v>
      </c>
      <c r="M1101" s="1"/>
      <c r="N1101" s="1"/>
      <c r="O1101" s="1"/>
      <c r="P1101" s="1"/>
      <c r="Q1101" s="1"/>
      <c r="R1101" s="1"/>
    </row>
    <row r="1102" spans="2:18">
      <c r="C1102" s="2" t="s">
        <v>7</v>
      </c>
      <c r="D1102" s="2" t="s">
        <v>136</v>
      </c>
      <c r="E1102" s="3">
        <v>32</v>
      </c>
      <c r="F1102" s="3">
        <f>20/4</f>
        <v>5</v>
      </c>
      <c r="G1102" s="4">
        <v>42528</v>
      </c>
      <c r="M1102" s="1"/>
      <c r="N1102" s="1"/>
      <c r="O1102" s="1"/>
      <c r="P1102" s="1"/>
      <c r="Q1102" s="1"/>
      <c r="R1102" s="1"/>
    </row>
    <row r="1103" spans="2:18">
      <c r="C1103" s="2" t="s">
        <v>18</v>
      </c>
      <c r="D1103" s="2" t="s">
        <v>197</v>
      </c>
      <c r="E1103" s="3">
        <v>235</v>
      </c>
      <c r="F1103" s="3">
        <f>85/2</f>
        <v>42.5</v>
      </c>
      <c r="G1103" s="4">
        <v>44384</v>
      </c>
      <c r="M1103" s="1"/>
      <c r="N1103" s="1"/>
      <c r="O1103" s="1"/>
      <c r="P1103" s="1"/>
      <c r="Q1103" s="1"/>
      <c r="R1103" s="1"/>
    </row>
    <row r="1104" spans="2:18">
      <c r="C1104" s="2" t="s">
        <v>7</v>
      </c>
      <c r="D1104" s="2" t="s">
        <v>197</v>
      </c>
      <c r="E1104" s="3">
        <f>43</f>
        <v>43</v>
      </c>
      <c r="F1104" s="3">
        <f>E1104/5</f>
        <v>8.6</v>
      </c>
      <c r="G1104" s="4">
        <v>44077</v>
      </c>
      <c r="M1104" s="1"/>
      <c r="N1104" s="1"/>
      <c r="O1104" s="1"/>
      <c r="P1104" s="1"/>
      <c r="Q1104" s="1"/>
      <c r="R1104" s="1"/>
    </row>
    <row r="1105" spans="2:18">
      <c r="C1105" s="2" t="s">
        <v>5</v>
      </c>
      <c r="D1105" s="2" t="s">
        <v>197</v>
      </c>
      <c r="E1105" s="3">
        <v>15</v>
      </c>
      <c r="F1105" s="3">
        <v>5</v>
      </c>
      <c r="G1105" s="4">
        <v>43479</v>
      </c>
      <c r="M1105" s="1"/>
      <c r="N1105" s="1"/>
      <c r="O1105" s="1"/>
      <c r="P1105" s="1"/>
      <c r="Q1105" s="1"/>
      <c r="R1105" s="1"/>
    </row>
    <row r="1106" spans="2:18">
      <c r="G1106" s="4"/>
      <c r="M1106" s="1"/>
      <c r="N1106" s="1"/>
      <c r="O1106" s="1"/>
      <c r="P1106" s="1"/>
      <c r="Q1106" s="1"/>
      <c r="R1106" s="1"/>
    </row>
    <row r="1107" spans="2:18" s="12" customFormat="1">
      <c r="B1107" s="12" t="s">
        <v>319</v>
      </c>
      <c r="C1107" s="13" t="s">
        <v>984</v>
      </c>
      <c r="D1107" s="13" t="s">
        <v>983</v>
      </c>
      <c r="E1107" s="15"/>
      <c r="F1107" s="15">
        <f>SUM(F1108:F1109)</f>
        <v>79</v>
      </c>
      <c r="G1107" s="14">
        <f>G1108</f>
        <v>45091</v>
      </c>
    </row>
    <row r="1108" spans="2:18">
      <c r="C1108" s="2" t="s">
        <v>8</v>
      </c>
      <c r="D1108" s="2" t="s">
        <v>317</v>
      </c>
      <c r="E1108" s="3">
        <v>69</v>
      </c>
      <c r="F1108" s="3">
        <v>19</v>
      </c>
      <c r="G1108" s="4">
        <v>45091</v>
      </c>
      <c r="M1108" s="1"/>
      <c r="N1108" s="1"/>
      <c r="O1108" s="1"/>
      <c r="P1108" s="1"/>
      <c r="Q1108" s="1"/>
      <c r="R1108" s="1"/>
    </row>
    <row r="1109" spans="2:18">
      <c r="C1109" s="2" t="s">
        <v>9</v>
      </c>
      <c r="D1109" s="2" t="s">
        <v>3</v>
      </c>
      <c r="E1109" s="3">
        <v>60</v>
      </c>
      <c r="F1109" s="3">
        <v>60</v>
      </c>
      <c r="G1109" s="4">
        <v>44908</v>
      </c>
      <c r="I1109" s="1">
        <v>2200</v>
      </c>
      <c r="J1109" s="1">
        <v>2200</v>
      </c>
      <c r="M1109" s="1"/>
      <c r="N1109" s="1"/>
      <c r="O1109" s="1"/>
      <c r="P1109" s="1"/>
      <c r="Q1109" s="1"/>
      <c r="R1109" s="1"/>
    </row>
    <row r="1110" spans="2:18">
      <c r="G1110" s="4"/>
      <c r="M1110" s="1"/>
      <c r="N1110" s="1"/>
      <c r="O1110" s="1"/>
      <c r="P1110" s="1"/>
      <c r="Q1110" s="1"/>
      <c r="R1110" s="1"/>
    </row>
    <row r="1111" spans="2:18" s="12" customFormat="1">
      <c r="B1111" s="12" t="s">
        <v>1092</v>
      </c>
      <c r="C1111" s="13" t="s">
        <v>984</v>
      </c>
      <c r="D1111" s="13" t="s">
        <v>983</v>
      </c>
      <c r="E1111" s="15"/>
      <c r="F1111" s="15">
        <f>SUM(F1112:F1118)</f>
        <v>74.904761904761898</v>
      </c>
      <c r="G1111" s="14">
        <f>G1115</f>
        <v>44565</v>
      </c>
    </row>
    <row r="1112" spans="2:18">
      <c r="C1112" s="2" t="s">
        <v>8</v>
      </c>
      <c r="D1112" s="2" t="s">
        <v>393</v>
      </c>
      <c r="E1112" s="3">
        <v>140</v>
      </c>
      <c r="F1112" s="3">
        <v>10</v>
      </c>
      <c r="G1112" s="4">
        <v>44286</v>
      </c>
      <c r="M1112" s="1"/>
      <c r="N1112" s="1"/>
      <c r="O1112" s="1"/>
      <c r="P1112" s="1"/>
      <c r="Q1112" s="1"/>
      <c r="R1112" s="1"/>
    </row>
    <row r="1113" spans="2:18">
      <c r="C1113" s="2" t="s">
        <v>18</v>
      </c>
      <c r="D1113" s="2" t="s">
        <v>299</v>
      </c>
      <c r="E1113" s="3">
        <v>38</v>
      </c>
      <c r="F1113" s="3">
        <v>3</v>
      </c>
      <c r="G1113" s="4">
        <v>43104</v>
      </c>
      <c r="M1113" s="1"/>
      <c r="N1113" s="1"/>
      <c r="O1113" s="1"/>
      <c r="P1113" s="1"/>
      <c r="Q1113" s="1"/>
      <c r="R1113" s="1"/>
    </row>
    <row r="1114" spans="2:18">
      <c r="C1114" s="2" t="s">
        <v>18</v>
      </c>
      <c r="D1114" s="2" t="s">
        <v>218</v>
      </c>
      <c r="E1114" s="3">
        <v>230</v>
      </c>
      <c r="F1114" s="3">
        <f>E1114/6</f>
        <v>38.333333333333336</v>
      </c>
      <c r="G1114" s="4">
        <v>43923</v>
      </c>
      <c r="M1114" s="1"/>
      <c r="N1114" s="1"/>
      <c r="O1114" s="1"/>
      <c r="P1114" s="1"/>
      <c r="Q1114" s="1"/>
      <c r="R1114" s="1"/>
    </row>
    <row r="1115" spans="2:18">
      <c r="C1115" s="2" t="s">
        <v>18</v>
      </c>
      <c r="D1115" s="2" t="s">
        <v>136</v>
      </c>
      <c r="E1115" s="3">
        <v>73</v>
      </c>
      <c r="F1115" s="3">
        <f>53/7</f>
        <v>7.5714285714285712</v>
      </c>
      <c r="G1115" s="4">
        <v>44565</v>
      </c>
      <c r="J1115" s="1">
        <v>615</v>
      </c>
      <c r="M1115" s="1"/>
      <c r="N1115" s="1"/>
      <c r="O1115" s="1"/>
      <c r="P1115" s="1"/>
      <c r="Q1115" s="1"/>
      <c r="R1115" s="1"/>
    </row>
    <row r="1116" spans="2:18">
      <c r="C1116" s="2" t="s">
        <v>18</v>
      </c>
      <c r="D1116" s="2" t="s">
        <v>57</v>
      </c>
      <c r="E1116" s="3">
        <v>65</v>
      </c>
      <c r="F1116" s="3">
        <v>8</v>
      </c>
      <c r="G1116" s="4">
        <v>43802</v>
      </c>
      <c r="I1116" s="1">
        <v>685</v>
      </c>
      <c r="J1116" s="1">
        <v>7000</v>
      </c>
      <c r="M1116" s="1"/>
      <c r="N1116" s="1"/>
      <c r="O1116" s="1"/>
      <c r="P1116" s="1"/>
      <c r="Q1116" s="1"/>
      <c r="R1116" s="1"/>
    </row>
    <row r="1117" spans="2:18">
      <c r="C1117" s="2" t="s">
        <v>7</v>
      </c>
      <c r="D1117" s="2" t="s">
        <v>57</v>
      </c>
      <c r="E1117" s="3">
        <v>40</v>
      </c>
      <c r="F1117" s="3">
        <v>6</v>
      </c>
      <c r="G1117" s="4">
        <v>43503</v>
      </c>
      <c r="J1117" s="1">
        <v>7000</v>
      </c>
      <c r="M1117" s="1"/>
      <c r="N1117" s="1"/>
      <c r="O1117" s="1"/>
      <c r="P1117" s="1"/>
      <c r="Q1117" s="1"/>
      <c r="R1117" s="1"/>
    </row>
    <row r="1118" spans="2:18">
      <c r="C1118" s="2" t="s">
        <v>5</v>
      </c>
      <c r="D1118" s="2" t="s">
        <v>57</v>
      </c>
      <c r="E1118" s="3">
        <v>2</v>
      </c>
      <c r="F1118" s="3">
        <v>2</v>
      </c>
      <c r="G1118" s="4">
        <v>42928</v>
      </c>
      <c r="J1118" s="1">
        <v>7000</v>
      </c>
      <c r="M1118" s="1"/>
      <c r="N1118" s="1"/>
      <c r="O1118" s="1"/>
      <c r="P1118" s="1"/>
      <c r="Q1118" s="1"/>
      <c r="R1118" s="1"/>
    </row>
    <row r="1119" spans="2:18">
      <c r="G1119" s="4"/>
    </row>
    <row r="1120" spans="2:18" s="12" customFormat="1">
      <c r="B1120" s="12" t="s">
        <v>1099</v>
      </c>
      <c r="C1120" s="13" t="s">
        <v>984</v>
      </c>
      <c r="D1120" s="13" t="s">
        <v>983</v>
      </c>
      <c r="E1120" s="15"/>
      <c r="F1120" s="15">
        <f>SUM(F1121:F1125)</f>
        <v>74.5</v>
      </c>
      <c r="G1120" s="14">
        <f>G1123</f>
        <v>45077</v>
      </c>
      <c r="M1120" s="13"/>
      <c r="N1120" s="13"/>
      <c r="O1120" s="13"/>
      <c r="P1120" s="13"/>
      <c r="Q1120" s="13"/>
      <c r="R1120" s="13"/>
    </row>
    <row r="1121" spans="2:7">
      <c r="C1121" s="2" t="s">
        <v>18</v>
      </c>
      <c r="D1121" s="2" t="s">
        <v>977</v>
      </c>
      <c r="E1121" s="3">
        <v>135</v>
      </c>
      <c r="F1121" s="3">
        <v>42.5</v>
      </c>
      <c r="G1121" s="4">
        <v>44482</v>
      </c>
    </row>
    <row r="1122" spans="2:7">
      <c r="C1122" s="2" t="s">
        <v>18</v>
      </c>
      <c r="D1122" s="2" t="s">
        <v>972</v>
      </c>
      <c r="E1122" s="3">
        <v>50</v>
      </c>
      <c r="F1122" s="3">
        <v>20</v>
      </c>
      <c r="G1122" s="4">
        <v>44900</v>
      </c>
    </row>
    <row r="1123" spans="2:7">
      <c r="C1123" s="2" t="s">
        <v>5</v>
      </c>
      <c r="D1123" s="2" t="s">
        <v>700</v>
      </c>
      <c r="E1123" s="3">
        <v>28.5</v>
      </c>
      <c r="F1123" s="3">
        <v>6</v>
      </c>
      <c r="G1123" s="4">
        <v>45077</v>
      </c>
    </row>
    <row r="1124" spans="2:7">
      <c r="C1124" s="2" t="s">
        <v>7</v>
      </c>
      <c r="D1124" s="2" t="s">
        <v>424</v>
      </c>
      <c r="E1124" s="3">
        <v>16</v>
      </c>
      <c r="F1124" s="3">
        <v>4</v>
      </c>
      <c r="G1124" s="4">
        <v>42995</v>
      </c>
    </row>
    <row r="1125" spans="2:7">
      <c r="C1125" s="2" t="s">
        <v>5</v>
      </c>
      <c r="D1125" s="2" t="s">
        <v>424</v>
      </c>
      <c r="E1125" s="3">
        <v>8</v>
      </c>
      <c r="F1125" s="3">
        <v>2</v>
      </c>
      <c r="G1125" s="4">
        <v>42416</v>
      </c>
    </row>
    <row r="1126" spans="2:7">
      <c r="G1126" s="4"/>
    </row>
    <row r="1127" spans="2:7">
      <c r="B1127" s="12" t="s">
        <v>1098</v>
      </c>
      <c r="C1127" s="13" t="s">
        <v>984</v>
      </c>
      <c r="D1127" s="13" t="s">
        <v>983</v>
      </c>
      <c r="F1127" s="15">
        <f>SUM(F1128:F1131)</f>
        <v>75</v>
      </c>
      <c r="G1127" s="14">
        <f>+G1130</f>
        <v>44622</v>
      </c>
    </row>
    <row r="1128" spans="2:7">
      <c r="C1128" s="2" t="s">
        <v>18</v>
      </c>
      <c r="D1128" s="2" t="s">
        <v>810</v>
      </c>
      <c r="E1128" s="3">
        <v>50</v>
      </c>
      <c r="F1128" s="3">
        <v>8</v>
      </c>
      <c r="G1128" s="4">
        <v>44496</v>
      </c>
    </row>
    <row r="1129" spans="2:7">
      <c r="C1129" s="2" t="s">
        <v>18</v>
      </c>
      <c r="D1129" s="2" t="s">
        <v>895</v>
      </c>
      <c r="E1129" s="3">
        <v>200</v>
      </c>
      <c r="F1129" s="3">
        <v>50</v>
      </c>
      <c r="G1129" s="4">
        <v>44377</v>
      </c>
    </row>
    <row r="1130" spans="2:7">
      <c r="C1130" s="2" t="s">
        <v>8</v>
      </c>
      <c r="D1130" s="2" t="s">
        <v>265</v>
      </c>
      <c r="E1130" s="3">
        <v>111</v>
      </c>
      <c r="F1130" s="3">
        <v>7</v>
      </c>
      <c r="G1130" s="4">
        <v>44622</v>
      </c>
    </row>
    <row r="1131" spans="2:7">
      <c r="C1131" s="2" t="s">
        <v>18</v>
      </c>
      <c r="D1131" s="2" t="s">
        <v>265</v>
      </c>
      <c r="E1131" s="3">
        <v>55</v>
      </c>
      <c r="F1131" s="3">
        <v>10</v>
      </c>
      <c r="G1131" s="4">
        <v>44314</v>
      </c>
    </row>
    <row r="1132" spans="2:7">
      <c r="G1132" s="4"/>
    </row>
    <row r="1133" spans="2:7">
      <c r="B1133" s="12" t="s">
        <v>1097</v>
      </c>
      <c r="C1133" s="13" t="s">
        <v>984</v>
      </c>
      <c r="D1133" s="13" t="s">
        <v>983</v>
      </c>
      <c r="E1133" s="15"/>
      <c r="F1133" s="15">
        <f>SUM(F1134:F1136)</f>
        <v>73.920454545454547</v>
      </c>
      <c r="G1133" s="14">
        <f>G1134</f>
        <v>45069</v>
      </c>
    </row>
    <row r="1134" spans="2:7">
      <c r="C1134" s="2" t="s">
        <v>18</v>
      </c>
      <c r="D1134" s="2" t="s">
        <v>979</v>
      </c>
      <c r="E1134" s="3">
        <v>450</v>
      </c>
      <c r="F1134" s="3">
        <f>300/5</f>
        <v>60</v>
      </c>
      <c r="G1134" s="4">
        <v>45069</v>
      </c>
    </row>
    <row r="1135" spans="2:7">
      <c r="C1135" s="2" t="s">
        <v>18</v>
      </c>
      <c r="D1135" s="2" t="s">
        <v>703</v>
      </c>
      <c r="E1135" s="3">
        <v>125</v>
      </c>
      <c r="F1135" s="3">
        <f>75/8</f>
        <v>9.375</v>
      </c>
      <c r="G1135" s="4">
        <v>44663</v>
      </c>
    </row>
    <row r="1136" spans="2:7">
      <c r="C1136" s="2" t="s">
        <v>8</v>
      </c>
      <c r="D1136" s="2" t="s">
        <v>456</v>
      </c>
      <c r="E1136" s="3">
        <v>90</v>
      </c>
      <c r="F1136" s="3">
        <f>50/11</f>
        <v>4.5454545454545459</v>
      </c>
      <c r="G1136" s="4">
        <v>44776</v>
      </c>
    </row>
    <row r="1137" spans="2:18">
      <c r="G1137" s="4"/>
    </row>
    <row r="1138" spans="2:18" s="12" customFormat="1">
      <c r="B1138" s="12" t="s">
        <v>232</v>
      </c>
      <c r="C1138" s="13" t="s">
        <v>984</v>
      </c>
      <c r="D1138" s="13" t="s">
        <v>983</v>
      </c>
      <c r="E1138" s="15"/>
      <c r="F1138" s="15">
        <f>SUM(F1139:F1140)</f>
        <v>73.333333333333343</v>
      </c>
      <c r="G1138" s="14">
        <f>G1140</f>
        <v>44287</v>
      </c>
      <c r="M1138" s="13"/>
      <c r="N1138" s="13"/>
      <c r="O1138" s="13"/>
      <c r="P1138" s="13"/>
      <c r="Q1138" s="13"/>
      <c r="R1138" s="13"/>
    </row>
    <row r="1139" spans="2:18">
      <c r="C1139" s="2" t="s">
        <v>8</v>
      </c>
      <c r="D1139" s="2" t="s">
        <v>218</v>
      </c>
      <c r="E1139" s="3">
        <v>700</v>
      </c>
      <c r="F1139" s="3">
        <f t="shared" ref="F1139:F3179" si="0">400/12</f>
        <v>33.333333333333336</v>
      </c>
      <c r="G1139" s="4">
        <v>44218</v>
      </c>
    </row>
    <row r="1140" spans="2:18">
      <c r="C1140" s="2" t="s">
        <v>8</v>
      </c>
      <c r="D1140" s="2" t="s">
        <v>2176</v>
      </c>
      <c r="E1140" s="3">
        <v>220</v>
      </c>
      <c r="F1140" s="3">
        <v>40</v>
      </c>
      <c r="G1140" s="4">
        <v>44287</v>
      </c>
    </row>
    <row r="1141" spans="2:18">
      <c r="G1141" s="4"/>
    </row>
    <row r="1142" spans="2:18" s="12" customFormat="1">
      <c r="B1142" s="12" t="s">
        <v>366</v>
      </c>
      <c r="C1142" s="13" t="s">
        <v>984</v>
      </c>
      <c r="D1142" s="13" t="s">
        <v>983</v>
      </c>
      <c r="E1142" s="15"/>
      <c r="F1142" s="15">
        <f>SUM(F1143:F1146)</f>
        <v>73</v>
      </c>
      <c r="G1142" s="14">
        <f>G1143</f>
        <v>44663</v>
      </c>
    </row>
    <row r="1143" spans="2:18">
      <c r="C1143" s="2" t="s">
        <v>5</v>
      </c>
      <c r="D1143" s="2" t="s">
        <v>362</v>
      </c>
      <c r="E1143" s="3">
        <v>16</v>
      </c>
      <c r="F1143" s="3">
        <v>10</v>
      </c>
      <c r="G1143" s="4">
        <v>44663</v>
      </c>
      <c r="M1143" s="1"/>
      <c r="N1143" s="1"/>
      <c r="O1143" s="1"/>
      <c r="P1143" s="1"/>
      <c r="Q1143" s="1"/>
      <c r="R1143" s="1"/>
    </row>
    <row r="1144" spans="2:18">
      <c r="C1144" s="2" t="s">
        <v>18</v>
      </c>
      <c r="D1144" s="2" t="s">
        <v>166</v>
      </c>
      <c r="E1144" s="3">
        <v>100</v>
      </c>
      <c r="F1144" s="3">
        <f>70/5</f>
        <v>14</v>
      </c>
      <c r="G1144" s="4">
        <v>44235</v>
      </c>
      <c r="I1144" s="1">
        <v>5200</v>
      </c>
      <c r="M1144" s="1"/>
      <c r="N1144" s="1"/>
      <c r="O1144" s="1"/>
      <c r="P1144" s="1"/>
      <c r="Q1144" s="1"/>
      <c r="R1144" s="1"/>
    </row>
    <row r="1145" spans="2:18">
      <c r="C1145" s="2" t="s">
        <v>18</v>
      </c>
      <c r="D1145" s="2" t="s">
        <v>166</v>
      </c>
      <c r="E1145" s="3">
        <v>267</v>
      </c>
      <c r="F1145" s="3">
        <v>33</v>
      </c>
      <c r="G1145" s="4">
        <v>44235</v>
      </c>
      <c r="I1145" s="1">
        <v>5000</v>
      </c>
      <c r="M1145" s="1"/>
      <c r="N1145" s="1"/>
      <c r="O1145" s="1"/>
      <c r="P1145" s="1"/>
      <c r="Q1145" s="1"/>
      <c r="R1145" s="1"/>
    </row>
    <row r="1146" spans="2:18">
      <c r="C1146" s="2" t="s">
        <v>5</v>
      </c>
      <c r="D1146" s="2" t="s">
        <v>166</v>
      </c>
      <c r="E1146" s="3">
        <v>102</v>
      </c>
      <c r="F1146" s="3">
        <v>16</v>
      </c>
      <c r="G1146" s="4">
        <v>43292</v>
      </c>
      <c r="M1146" s="1"/>
      <c r="N1146" s="1"/>
      <c r="O1146" s="1"/>
      <c r="P1146" s="1"/>
      <c r="Q1146" s="1"/>
      <c r="R1146" s="1"/>
    </row>
    <row r="1147" spans="2:18">
      <c r="G1147" s="4"/>
      <c r="M1147" s="1"/>
      <c r="N1147" s="1"/>
      <c r="O1147" s="1"/>
      <c r="P1147" s="1"/>
      <c r="Q1147" s="1"/>
      <c r="R1147" s="1"/>
    </row>
    <row r="1148" spans="2:18" s="12" customFormat="1">
      <c r="B1148" s="12" t="s">
        <v>720</v>
      </c>
      <c r="C1148" s="13" t="s">
        <v>984</v>
      </c>
      <c r="D1148" s="13" t="s">
        <v>983</v>
      </c>
      <c r="E1148" s="15"/>
      <c r="F1148" s="15" cm="1">
        <f t="array" ref="F1148">SUM(F1149+F1149:F1152)</f>
        <v>72.166666666666671</v>
      </c>
      <c r="G1148" s="14">
        <f>G1149</f>
        <v>45090</v>
      </c>
      <c r="M1148" s="13"/>
      <c r="N1148" s="13"/>
      <c r="O1148" s="13"/>
      <c r="P1148" s="13"/>
      <c r="Q1148" s="13"/>
      <c r="R1148" s="13"/>
    </row>
    <row r="1149" spans="2:18">
      <c r="C1149" s="2" t="s">
        <v>4</v>
      </c>
      <c r="D1149" s="2" t="s">
        <v>717</v>
      </c>
      <c r="E1149" s="3">
        <v>113</v>
      </c>
      <c r="F1149" s="3">
        <v>8</v>
      </c>
      <c r="G1149" s="4">
        <v>45090</v>
      </c>
    </row>
    <row r="1150" spans="2:18">
      <c r="C1150" s="2" t="s">
        <v>5</v>
      </c>
      <c r="D1150" s="2" t="s">
        <v>388</v>
      </c>
      <c r="E1150" s="3">
        <v>86</v>
      </c>
      <c r="F1150" s="3">
        <v>10</v>
      </c>
      <c r="G1150" s="4">
        <v>44488</v>
      </c>
    </row>
    <row r="1151" spans="2:18">
      <c r="C1151" s="2" t="s">
        <v>4</v>
      </c>
      <c r="D1151" s="2" t="s">
        <v>388</v>
      </c>
      <c r="E1151" s="3">
        <v>8.5</v>
      </c>
      <c r="F1151" s="3">
        <v>5.5</v>
      </c>
      <c r="G1151" s="4">
        <v>43796</v>
      </c>
    </row>
    <row r="1152" spans="2:18">
      <c r="C1152" s="2" t="s">
        <v>8</v>
      </c>
      <c r="D1152" s="2" t="s">
        <v>719</v>
      </c>
      <c r="E1152" s="3">
        <v>150</v>
      </c>
      <c r="F1152" s="3">
        <f>100/6</f>
        <v>16.666666666666668</v>
      </c>
      <c r="G1152" s="4">
        <v>43885</v>
      </c>
      <c r="I1152" s="1">
        <v>1800</v>
      </c>
      <c r="J1152" s="1">
        <v>2500</v>
      </c>
    </row>
    <row r="1153" spans="2:18">
      <c r="G1153" s="4"/>
    </row>
    <row r="1154" spans="2:18" s="12" customFormat="1">
      <c r="B1154" s="12" t="s">
        <v>1096</v>
      </c>
      <c r="C1154" s="13" t="s">
        <v>984</v>
      </c>
      <c r="D1154" s="13" t="s">
        <v>983</v>
      </c>
      <c r="E1154" s="15"/>
      <c r="F1154" s="15">
        <f>SUM(F1155:F1162)</f>
        <v>71.5</v>
      </c>
      <c r="G1154" s="14">
        <f>G1157</f>
        <v>44578</v>
      </c>
      <c r="M1154" s="13"/>
      <c r="N1154" s="13"/>
      <c r="O1154" s="13"/>
      <c r="P1154" s="13"/>
      <c r="Q1154" s="13"/>
      <c r="R1154" s="13"/>
    </row>
    <row r="1155" spans="2:18">
      <c r="C1155" s="2" t="s">
        <v>5</v>
      </c>
      <c r="D1155" s="2" t="s">
        <v>885</v>
      </c>
      <c r="E1155" s="3">
        <v>30</v>
      </c>
      <c r="F1155" s="3">
        <v>4</v>
      </c>
      <c r="G1155" s="4">
        <v>44522</v>
      </c>
    </row>
    <row r="1156" spans="2:18">
      <c r="C1156" s="2" t="s">
        <v>4</v>
      </c>
      <c r="D1156" s="2" t="s">
        <v>885</v>
      </c>
      <c r="E1156" s="3">
        <v>5.5</v>
      </c>
      <c r="F1156" s="3">
        <v>3.5</v>
      </c>
      <c r="G1156" s="4">
        <v>44096</v>
      </c>
    </row>
    <row r="1157" spans="2:18">
      <c r="C1157" s="2" t="s">
        <v>5</v>
      </c>
      <c r="D1157" s="2" t="s">
        <v>831</v>
      </c>
      <c r="E1157" s="3">
        <v>20</v>
      </c>
      <c r="F1157" s="3">
        <v>2</v>
      </c>
      <c r="G1157" s="4">
        <v>44578</v>
      </c>
    </row>
    <row r="1158" spans="2:18">
      <c r="C1158" s="2" t="s">
        <v>9</v>
      </c>
      <c r="D1158" s="2" t="s">
        <v>617</v>
      </c>
      <c r="E1158" s="3">
        <v>132</v>
      </c>
      <c r="F1158" s="3">
        <v>20</v>
      </c>
      <c r="G1158" s="4">
        <v>44215</v>
      </c>
    </row>
    <row r="1159" spans="2:18">
      <c r="C1159" s="2" t="s">
        <v>18</v>
      </c>
      <c r="D1159" s="2" t="s">
        <v>530</v>
      </c>
      <c r="E1159" s="3">
        <v>60</v>
      </c>
      <c r="F1159" s="3">
        <v>5</v>
      </c>
      <c r="G1159" s="4">
        <v>43606</v>
      </c>
    </row>
    <row r="1160" spans="2:18">
      <c r="C1160" s="2" t="s">
        <v>7</v>
      </c>
      <c r="D1160" s="2" t="s">
        <v>530</v>
      </c>
      <c r="E1160" s="3">
        <v>30</v>
      </c>
      <c r="F1160" s="3">
        <v>5</v>
      </c>
      <c r="G1160" s="4">
        <v>43396</v>
      </c>
    </row>
    <row r="1161" spans="2:18">
      <c r="C1161" s="2" t="s">
        <v>7</v>
      </c>
      <c r="D1161" s="2" t="s">
        <v>203</v>
      </c>
      <c r="E1161" s="3">
        <v>21</v>
      </c>
      <c r="F1161" s="3">
        <v>21</v>
      </c>
      <c r="G1161" s="4">
        <v>43140</v>
      </c>
    </row>
    <row r="1162" spans="2:18">
      <c r="C1162" s="2" t="s">
        <v>7</v>
      </c>
      <c r="D1162" s="2" t="s">
        <v>203</v>
      </c>
      <c r="E1162" s="3">
        <v>11</v>
      </c>
      <c r="F1162" s="3">
        <v>11</v>
      </c>
      <c r="G1162" s="4">
        <v>43025</v>
      </c>
    </row>
    <row r="1163" spans="2:18">
      <c r="G1163" s="4"/>
    </row>
    <row r="1164" spans="2:18" s="12" customFormat="1">
      <c r="B1164" s="12" t="s">
        <v>1095</v>
      </c>
      <c r="C1164" s="13" t="s">
        <v>984</v>
      </c>
      <c r="D1164" s="13" t="s">
        <v>983</v>
      </c>
      <c r="E1164" s="15"/>
      <c r="F1164" s="15">
        <f>SUM(F1165:F1169)</f>
        <v>69.833333333333329</v>
      </c>
      <c r="G1164" s="14">
        <f>G1165</f>
        <v>45048</v>
      </c>
      <c r="M1164" s="13"/>
      <c r="N1164" s="13"/>
      <c r="O1164" s="13"/>
      <c r="P1164" s="13"/>
      <c r="Q1164" s="13"/>
      <c r="R1164" s="13"/>
    </row>
    <row r="1165" spans="2:18">
      <c r="C1165" s="2" t="s">
        <v>18</v>
      </c>
      <c r="D1165" s="2" t="s">
        <v>967</v>
      </c>
      <c r="E1165" s="3">
        <v>270</v>
      </c>
      <c r="F1165" s="3">
        <v>24</v>
      </c>
      <c r="G1165" s="4">
        <v>45048</v>
      </c>
    </row>
    <row r="1166" spans="2:18">
      <c r="C1166" s="2" t="s">
        <v>7</v>
      </c>
      <c r="D1166" s="2" t="s">
        <v>484</v>
      </c>
      <c r="E1166" s="3">
        <v>90</v>
      </c>
      <c r="F1166" s="3">
        <v>6</v>
      </c>
      <c r="G1166" s="4">
        <v>44398</v>
      </c>
    </row>
    <row r="1167" spans="2:18">
      <c r="C1167" s="2" t="s">
        <v>8</v>
      </c>
      <c r="D1167" s="2" t="s">
        <v>265</v>
      </c>
      <c r="E1167" s="3">
        <v>111</v>
      </c>
      <c r="F1167" s="3">
        <v>7</v>
      </c>
      <c r="G1167" s="4">
        <v>44622</v>
      </c>
    </row>
    <row r="1168" spans="2:18">
      <c r="C1168" s="2" t="s">
        <v>8</v>
      </c>
      <c r="D1168" s="2" t="s">
        <v>136</v>
      </c>
      <c r="E1168" s="3">
        <v>135</v>
      </c>
      <c r="F1168" s="3">
        <v>8</v>
      </c>
      <c r="G1168" s="4">
        <v>44880</v>
      </c>
    </row>
    <row r="1169" spans="2:18">
      <c r="C1169" s="2" t="s">
        <v>7</v>
      </c>
      <c r="D1169" s="2" t="s">
        <v>66</v>
      </c>
      <c r="E1169" s="3">
        <f>1600/7</f>
        <v>228.57142857142858</v>
      </c>
      <c r="F1169" s="3">
        <f>149/6</f>
        <v>24.833333333333332</v>
      </c>
      <c r="G1169" s="4">
        <v>44550</v>
      </c>
    </row>
    <row r="1170" spans="2:18">
      <c r="G1170" s="4"/>
    </row>
    <row r="1171" spans="2:18" s="12" customFormat="1">
      <c r="B1171" s="12" t="s">
        <v>502</v>
      </c>
      <c r="C1171" s="13" t="s">
        <v>984</v>
      </c>
      <c r="D1171" s="13" t="s">
        <v>983</v>
      </c>
      <c r="E1171" s="15"/>
      <c r="F1171" s="15">
        <f>SUM(F1172:F1175)</f>
        <v>68.599999999999994</v>
      </c>
      <c r="G1171" s="14">
        <f>G1174</f>
        <v>44077</v>
      </c>
    </row>
    <row r="1172" spans="2:18">
      <c r="C1172" s="2" t="s">
        <v>9</v>
      </c>
      <c r="D1172" s="2" t="s">
        <v>498</v>
      </c>
      <c r="E1172" s="3">
        <v>206</v>
      </c>
      <c r="F1172" s="3">
        <v>14</v>
      </c>
      <c r="G1172" s="4">
        <v>43725</v>
      </c>
      <c r="M1172" s="1"/>
      <c r="N1172" s="1"/>
      <c r="O1172" s="1"/>
      <c r="P1172" s="1"/>
      <c r="Q1172" s="1"/>
      <c r="R1172" s="1"/>
    </row>
    <row r="1173" spans="2:18">
      <c r="C1173" s="2" t="s">
        <v>8</v>
      </c>
      <c r="D1173" s="2" t="s">
        <v>498</v>
      </c>
      <c r="E1173" s="3">
        <v>100</v>
      </c>
      <c r="F1173" s="3">
        <v>15</v>
      </c>
      <c r="G1173" s="4">
        <v>43397</v>
      </c>
      <c r="M1173" s="1"/>
      <c r="N1173" s="1"/>
      <c r="O1173" s="1"/>
      <c r="P1173" s="1"/>
      <c r="Q1173" s="1"/>
      <c r="R1173" s="1"/>
    </row>
    <row r="1174" spans="2:18">
      <c r="C1174" s="2" t="s">
        <v>7</v>
      </c>
      <c r="D1174" s="2" t="s">
        <v>197</v>
      </c>
      <c r="E1174" s="3">
        <v>43</v>
      </c>
      <c r="F1174" s="3">
        <f>E1174/5</f>
        <v>8.6</v>
      </c>
      <c r="G1174" s="4">
        <v>44077</v>
      </c>
      <c r="M1174" s="1"/>
      <c r="N1174" s="1"/>
      <c r="O1174" s="1"/>
      <c r="P1174" s="1"/>
      <c r="Q1174" s="1"/>
      <c r="R1174" s="1"/>
    </row>
    <row r="1175" spans="2:18">
      <c r="C1175" s="2" t="s">
        <v>5</v>
      </c>
      <c r="D1175" s="2" t="s">
        <v>502</v>
      </c>
      <c r="E1175" s="3">
        <v>31</v>
      </c>
      <c r="F1175" s="3">
        <v>31</v>
      </c>
      <c r="G1175" s="4">
        <v>43634</v>
      </c>
      <c r="M1175" s="1"/>
      <c r="N1175" s="1"/>
      <c r="O1175" s="1"/>
      <c r="P1175" s="1"/>
      <c r="Q1175" s="1"/>
      <c r="R1175" s="1"/>
    </row>
    <row r="1176" spans="2:18">
      <c r="G1176" s="4"/>
      <c r="M1176" s="1"/>
      <c r="N1176" s="1"/>
      <c r="O1176" s="1"/>
      <c r="P1176" s="1"/>
      <c r="Q1176" s="1"/>
      <c r="R1176" s="1"/>
    </row>
    <row r="1177" spans="2:18" s="12" customFormat="1">
      <c r="B1177" s="12" t="s">
        <v>1094</v>
      </c>
      <c r="C1177" s="13" t="s">
        <v>984</v>
      </c>
      <c r="D1177" s="13" t="s">
        <v>983</v>
      </c>
      <c r="E1177" s="15"/>
      <c r="F1177" s="15">
        <f>SUM(F1178:F1182)</f>
        <v>68.900000000000006</v>
      </c>
      <c r="G1177" s="14">
        <f>G1178</f>
        <v>44679</v>
      </c>
    </row>
    <row r="1178" spans="2:18">
      <c r="C1178" s="2" t="s">
        <v>5</v>
      </c>
      <c r="D1178" s="2" t="s">
        <v>674</v>
      </c>
      <c r="E1178" s="3">
        <v>17</v>
      </c>
      <c r="F1178" s="3">
        <v>1.5</v>
      </c>
      <c r="G1178" s="4">
        <v>44679</v>
      </c>
      <c r="M1178" s="1"/>
      <c r="N1178" s="1"/>
      <c r="O1178" s="1"/>
      <c r="P1178" s="1"/>
      <c r="Q1178" s="1"/>
      <c r="R1178" s="1"/>
    </row>
    <row r="1179" spans="2:18">
      <c r="C1179" s="2" t="s">
        <v>5</v>
      </c>
      <c r="D1179" s="2" t="s">
        <v>667</v>
      </c>
      <c r="E1179" s="3">
        <v>12.6</v>
      </c>
      <c r="F1179" s="3">
        <v>3</v>
      </c>
      <c r="G1179" s="4">
        <v>44579</v>
      </c>
      <c r="M1179" s="1"/>
      <c r="N1179" s="1"/>
      <c r="O1179" s="1"/>
      <c r="P1179" s="1"/>
      <c r="Q1179" s="1"/>
      <c r="R1179" s="1"/>
    </row>
    <row r="1180" spans="2:18">
      <c r="C1180" s="2" t="s">
        <v>5</v>
      </c>
      <c r="D1180" s="2" t="s">
        <v>526</v>
      </c>
      <c r="E1180" s="3">
        <v>14.5</v>
      </c>
      <c r="F1180" s="3">
        <v>3</v>
      </c>
      <c r="G1180" s="4">
        <v>43389</v>
      </c>
      <c r="M1180" s="1"/>
      <c r="N1180" s="1"/>
      <c r="O1180" s="1"/>
      <c r="P1180" s="1"/>
      <c r="Q1180" s="1"/>
      <c r="R1180" s="1"/>
    </row>
    <row r="1181" spans="2:18">
      <c r="C1181" s="2" t="s">
        <v>8</v>
      </c>
      <c r="D1181" s="2" t="s">
        <v>393</v>
      </c>
      <c r="E1181" s="3">
        <v>140</v>
      </c>
      <c r="F1181" s="3">
        <v>60</v>
      </c>
      <c r="G1181" s="4">
        <v>44286</v>
      </c>
      <c r="M1181" s="1"/>
      <c r="N1181" s="1"/>
      <c r="O1181" s="1"/>
      <c r="P1181" s="1"/>
      <c r="Q1181" s="1"/>
      <c r="R1181" s="1"/>
    </row>
    <row r="1182" spans="2:18">
      <c r="C1182" s="2" t="s">
        <v>5</v>
      </c>
      <c r="D1182" s="2" t="s">
        <v>309</v>
      </c>
      <c r="E1182" s="3">
        <v>10</v>
      </c>
      <c r="F1182" s="3">
        <v>1.4</v>
      </c>
      <c r="G1182" s="4">
        <v>44637</v>
      </c>
      <c r="M1182" s="1"/>
      <c r="N1182" s="1"/>
      <c r="O1182" s="1"/>
      <c r="P1182" s="1"/>
      <c r="Q1182" s="1"/>
      <c r="R1182" s="1"/>
    </row>
    <row r="1183" spans="2:18">
      <c r="G1183" s="4"/>
      <c r="M1183" s="1"/>
      <c r="N1183" s="1"/>
      <c r="O1183" s="1"/>
      <c r="P1183" s="1"/>
      <c r="Q1183" s="1"/>
      <c r="R1183" s="1"/>
    </row>
    <row r="1184" spans="2:18">
      <c r="B1184" s="12" t="s">
        <v>1091</v>
      </c>
      <c r="C1184" s="13" t="s">
        <v>984</v>
      </c>
      <c r="D1184" s="13" t="s">
        <v>983</v>
      </c>
      <c r="E1184" s="15"/>
      <c r="F1184" s="15">
        <f>SUM(F1185:F1193)</f>
        <v>67.571428571428555</v>
      </c>
      <c r="G1184" s="14">
        <f>G1187</f>
        <v>44796</v>
      </c>
    </row>
    <row r="1185" spans="2:18">
      <c r="C1185" s="2" t="s">
        <v>7</v>
      </c>
      <c r="D1185" s="2" t="s">
        <v>967</v>
      </c>
      <c r="E1185" s="3">
        <v>130</v>
      </c>
      <c r="F1185" s="3">
        <f>70/3</f>
        <v>23.333333333333332</v>
      </c>
      <c r="G1185" s="4">
        <v>44607</v>
      </c>
    </row>
    <row r="1186" spans="2:18">
      <c r="C1186" s="2" t="s">
        <v>5</v>
      </c>
      <c r="D1186" s="2" t="s">
        <v>967</v>
      </c>
      <c r="E1186" s="3">
        <v>40</v>
      </c>
      <c r="F1186" s="3">
        <v>10</v>
      </c>
      <c r="G1186" s="4">
        <v>44446</v>
      </c>
    </row>
    <row r="1187" spans="2:18">
      <c r="C1187" s="2" t="s">
        <v>5</v>
      </c>
      <c r="D1187" s="2" t="s">
        <v>712</v>
      </c>
      <c r="E1187" s="3">
        <v>50</v>
      </c>
      <c r="F1187" s="3">
        <v>10</v>
      </c>
      <c r="G1187" s="4">
        <v>44796</v>
      </c>
    </row>
    <row r="1188" spans="2:18">
      <c r="C1188" s="2" t="s">
        <v>5</v>
      </c>
      <c r="D1188" s="2" t="s">
        <v>742</v>
      </c>
      <c r="E1188" s="3">
        <v>25</v>
      </c>
      <c r="F1188" s="3">
        <f>18/7</f>
        <v>2.5714285714285716</v>
      </c>
      <c r="G1188" s="4">
        <v>44757</v>
      </c>
    </row>
    <row r="1189" spans="2:18">
      <c r="C1189" s="2" t="s">
        <v>4</v>
      </c>
      <c r="D1189" s="2" t="s">
        <v>742</v>
      </c>
      <c r="E1189" s="3">
        <v>4</v>
      </c>
      <c r="F1189" s="3">
        <v>0.5</v>
      </c>
      <c r="G1189" s="4">
        <v>44340</v>
      </c>
    </row>
    <row r="1190" spans="2:18">
      <c r="C1190" s="2" t="s">
        <v>4</v>
      </c>
      <c r="D1190" s="2" t="s">
        <v>742</v>
      </c>
      <c r="E1190" s="3">
        <v>1.5</v>
      </c>
      <c r="F1190" s="3">
        <v>0.5</v>
      </c>
      <c r="G1190" s="4">
        <v>43979</v>
      </c>
    </row>
    <row r="1191" spans="2:18">
      <c r="C1191" s="2" t="s">
        <v>7</v>
      </c>
      <c r="D1191" s="2" t="s">
        <v>317</v>
      </c>
      <c r="E1191" s="3">
        <v>40</v>
      </c>
      <c r="F1191" s="3">
        <f>32/8</f>
        <v>4</v>
      </c>
      <c r="G1191" s="4">
        <v>43419</v>
      </c>
    </row>
    <row r="1192" spans="2:18">
      <c r="C1192" s="2" t="s">
        <v>18</v>
      </c>
      <c r="D1192" s="2" t="s">
        <v>1072</v>
      </c>
      <c r="E1192" s="3">
        <v>40</v>
      </c>
      <c r="F1192" s="3">
        <f>20/3</f>
        <v>6.666666666666667</v>
      </c>
      <c r="G1192" s="4">
        <v>44599</v>
      </c>
    </row>
    <row r="1193" spans="2:18">
      <c r="C1193" s="2" t="s">
        <v>7</v>
      </c>
      <c r="D1193" s="2" t="s">
        <v>1072</v>
      </c>
      <c r="E1193" s="3">
        <v>28</v>
      </c>
      <c r="F1193" s="3">
        <v>10</v>
      </c>
      <c r="G1193" s="4">
        <v>44377</v>
      </c>
    </row>
    <row r="1194" spans="2:18">
      <c r="G1194" s="4"/>
    </row>
    <row r="1195" spans="2:18" s="12" customFormat="1">
      <c r="B1195" s="12" t="s">
        <v>216</v>
      </c>
      <c r="C1195" s="13" t="s">
        <v>984</v>
      </c>
      <c r="D1195" s="13" t="s">
        <v>983</v>
      </c>
      <c r="E1195" s="15"/>
      <c r="F1195" s="15">
        <f>SUM(F1196:F1198)</f>
        <v>67</v>
      </c>
      <c r="G1195" s="14">
        <f>G1196</f>
        <v>43886</v>
      </c>
      <c r="M1195" s="13"/>
      <c r="N1195" s="13"/>
      <c r="O1195" s="13"/>
      <c r="P1195" s="13"/>
      <c r="Q1195" s="13"/>
      <c r="R1195" s="13"/>
    </row>
    <row r="1196" spans="2:18">
      <c r="C1196" s="2" t="s">
        <v>18</v>
      </c>
      <c r="D1196" s="2" t="s">
        <v>215</v>
      </c>
      <c r="E1196" s="3">
        <v>250</v>
      </c>
      <c r="F1196" s="3">
        <f>170/5</f>
        <v>34</v>
      </c>
      <c r="G1196" s="4">
        <v>43886</v>
      </c>
      <c r="I1196" s="1">
        <v>2300</v>
      </c>
      <c r="J1196" s="1">
        <v>2300</v>
      </c>
    </row>
    <row r="1197" spans="2:18">
      <c r="C1197" s="2" t="s">
        <v>7</v>
      </c>
      <c r="D1197" s="2" t="s">
        <v>215</v>
      </c>
      <c r="E1197" s="3">
        <v>150</v>
      </c>
      <c r="F1197" s="3">
        <v>20</v>
      </c>
      <c r="G1197" s="4">
        <v>43556</v>
      </c>
    </row>
    <row r="1198" spans="2:18">
      <c r="C1198" s="2" t="s">
        <v>5</v>
      </c>
      <c r="D1198" s="2" t="s">
        <v>215</v>
      </c>
      <c r="E1198" s="3">
        <v>56</v>
      </c>
      <c r="F1198" s="3">
        <f>26/2</f>
        <v>13</v>
      </c>
      <c r="G1198" s="4">
        <v>43174</v>
      </c>
    </row>
    <row r="1199" spans="2:18">
      <c r="G1199" s="4"/>
    </row>
    <row r="1200" spans="2:18" s="12" customFormat="1">
      <c r="B1200" s="12" t="s">
        <v>1070</v>
      </c>
      <c r="C1200" s="13" t="s">
        <v>984</v>
      </c>
      <c r="D1200" s="13" t="s">
        <v>983</v>
      </c>
      <c r="E1200" s="15"/>
      <c r="F1200" s="15">
        <f>SUM(F1201:F1206)</f>
        <v>65.5</v>
      </c>
      <c r="G1200" s="14">
        <f>G1201</f>
        <v>44636</v>
      </c>
      <c r="M1200" s="13"/>
      <c r="N1200" s="13"/>
      <c r="O1200" s="13"/>
      <c r="P1200" s="13"/>
      <c r="Q1200" s="13"/>
      <c r="R1200" s="13"/>
    </row>
    <row r="1201" spans="2:18">
      <c r="C1201" s="2" t="s">
        <v>7</v>
      </c>
      <c r="D1201" s="2" t="s">
        <v>872</v>
      </c>
      <c r="E1201" s="3">
        <v>25</v>
      </c>
      <c r="F1201" s="3">
        <v>3</v>
      </c>
      <c r="G1201" s="4">
        <v>44636</v>
      </c>
    </row>
    <row r="1202" spans="2:18">
      <c r="C1202" s="2" t="s">
        <v>5</v>
      </c>
      <c r="D1202" s="2" t="s">
        <v>872</v>
      </c>
      <c r="E1202" s="3">
        <v>12</v>
      </c>
      <c r="F1202" s="3">
        <v>2</v>
      </c>
      <c r="G1202" s="4">
        <v>44179</v>
      </c>
    </row>
    <row r="1203" spans="2:18">
      <c r="C1203" s="2" t="s">
        <v>55</v>
      </c>
      <c r="D1203" s="2" t="s">
        <v>498</v>
      </c>
      <c r="E1203" s="3">
        <v>270</v>
      </c>
      <c r="F1203" s="3">
        <v>22</v>
      </c>
      <c r="G1203" s="4">
        <v>44152</v>
      </c>
    </row>
    <row r="1204" spans="2:18">
      <c r="C1204" s="2" t="s">
        <v>18</v>
      </c>
      <c r="D1204" s="2" t="s">
        <v>299</v>
      </c>
      <c r="E1204" s="3">
        <v>38</v>
      </c>
      <c r="F1204" s="3">
        <v>6</v>
      </c>
      <c r="G1204" s="4">
        <v>43104</v>
      </c>
    </row>
    <row r="1205" spans="2:18">
      <c r="C1205" s="96" t="s">
        <v>8</v>
      </c>
      <c r="D1205" s="96" t="s">
        <v>2147</v>
      </c>
      <c r="E1205" s="3">
        <v>110</v>
      </c>
      <c r="F1205" s="3">
        <f>70/4</f>
        <v>17.5</v>
      </c>
      <c r="G1205" s="4">
        <v>44567</v>
      </c>
      <c r="I1205" s="1">
        <v>790</v>
      </c>
      <c r="J1205" s="1">
        <v>790</v>
      </c>
    </row>
    <row r="1206" spans="2:18">
      <c r="C1206" s="96" t="s">
        <v>18</v>
      </c>
      <c r="D1206" s="96" t="s">
        <v>2147</v>
      </c>
      <c r="E1206" s="3">
        <v>40</v>
      </c>
      <c r="F1206" s="3">
        <v>15</v>
      </c>
      <c r="G1206" s="4">
        <v>44238</v>
      </c>
      <c r="J1206" s="1">
        <v>790</v>
      </c>
    </row>
    <row r="1207" spans="2:18">
      <c r="G1207" s="4"/>
    </row>
    <row r="1208" spans="2:18" s="12" customFormat="1">
      <c r="B1208" s="12" t="s">
        <v>1090</v>
      </c>
      <c r="C1208" s="13" t="s">
        <v>984</v>
      </c>
      <c r="D1208" s="13" t="s">
        <v>983</v>
      </c>
      <c r="E1208" s="15"/>
      <c r="F1208" s="15">
        <f>SUM(F1209:F1219)</f>
        <v>66.469047619047615</v>
      </c>
      <c r="G1208" s="14">
        <f>G1209</f>
        <v>44893</v>
      </c>
      <c r="M1208" s="13"/>
      <c r="N1208" s="13"/>
      <c r="O1208" s="13"/>
      <c r="P1208" s="13"/>
      <c r="Q1208" s="13"/>
      <c r="R1208" s="13"/>
    </row>
    <row r="1209" spans="2:18">
      <c r="C1209" s="2" t="s">
        <v>5</v>
      </c>
      <c r="D1209" s="2" t="s">
        <v>791</v>
      </c>
      <c r="E1209" s="3">
        <v>33</v>
      </c>
      <c r="F1209" s="3">
        <f>13/3</f>
        <v>4.333333333333333</v>
      </c>
      <c r="G1209" s="4">
        <v>44893</v>
      </c>
    </row>
    <row r="1210" spans="2:18">
      <c r="C1210" s="2" t="s">
        <v>681</v>
      </c>
      <c r="D1210" s="2" t="s">
        <v>791</v>
      </c>
      <c r="E1210" s="3">
        <v>3</v>
      </c>
      <c r="F1210" s="3">
        <v>2</v>
      </c>
      <c r="G1210" s="4">
        <v>44183</v>
      </c>
    </row>
    <row r="1211" spans="2:18">
      <c r="C1211" s="2" t="s">
        <v>7</v>
      </c>
      <c r="D1211" s="2" t="s">
        <v>552</v>
      </c>
      <c r="E1211" s="3">
        <v>40</v>
      </c>
      <c r="F1211" s="3">
        <f>25/4</f>
        <v>6.25</v>
      </c>
      <c r="G1211" s="4">
        <v>44811</v>
      </c>
    </row>
    <row r="1212" spans="2:18">
      <c r="C1212" s="2" t="s">
        <v>5</v>
      </c>
      <c r="D1212" s="2" t="s">
        <v>552</v>
      </c>
      <c r="E1212" s="3">
        <v>14</v>
      </c>
      <c r="F1212" s="3">
        <f>8/5</f>
        <v>1.6</v>
      </c>
      <c r="G1212" s="4">
        <v>44447</v>
      </c>
    </row>
    <row r="1213" spans="2:18">
      <c r="C1213" s="2" t="s">
        <v>5</v>
      </c>
      <c r="D1213" s="2" t="s">
        <v>552</v>
      </c>
      <c r="E1213" s="3">
        <v>12</v>
      </c>
      <c r="F1213" s="3">
        <v>2</v>
      </c>
      <c r="G1213" s="4">
        <v>43532</v>
      </c>
    </row>
    <row r="1214" spans="2:18">
      <c r="C1214" s="2" t="s">
        <v>9</v>
      </c>
      <c r="D1214" s="2" t="s">
        <v>23</v>
      </c>
      <c r="E1214" s="3">
        <v>222</v>
      </c>
      <c r="F1214" s="3">
        <v>10</v>
      </c>
      <c r="G1214" s="4">
        <v>44194</v>
      </c>
      <c r="I1214" s="1">
        <v>2500</v>
      </c>
      <c r="J1214" s="1">
        <v>2500</v>
      </c>
    </row>
    <row r="1215" spans="2:18">
      <c r="C1215" s="2" t="s">
        <v>8</v>
      </c>
      <c r="D1215" s="2" t="s">
        <v>23</v>
      </c>
      <c r="E1215" s="3">
        <v>150</v>
      </c>
      <c r="F1215" s="3">
        <v>14.285714285714286</v>
      </c>
      <c r="G1215" s="4">
        <v>43885</v>
      </c>
      <c r="I1215" s="1">
        <v>1800</v>
      </c>
      <c r="J1215" s="1">
        <v>2500</v>
      </c>
    </row>
    <row r="1216" spans="2:18">
      <c r="C1216" s="2" t="s">
        <v>8</v>
      </c>
      <c r="D1216" s="2" t="s">
        <v>23</v>
      </c>
      <c r="E1216" s="3">
        <v>200</v>
      </c>
      <c r="F1216" s="3">
        <v>13</v>
      </c>
      <c r="G1216" s="4">
        <v>43452</v>
      </c>
      <c r="I1216" s="1">
        <v>1500</v>
      </c>
      <c r="J1216" s="1">
        <v>2500</v>
      </c>
    </row>
    <row r="1217" spans="2:11">
      <c r="C1217" s="2" t="s">
        <v>18</v>
      </c>
      <c r="D1217" s="2" t="s">
        <v>23</v>
      </c>
      <c r="E1217" s="3">
        <v>50</v>
      </c>
      <c r="F1217" s="3">
        <v>5</v>
      </c>
      <c r="G1217" s="4">
        <v>43051</v>
      </c>
      <c r="J1217" s="1">
        <v>2500</v>
      </c>
    </row>
    <row r="1218" spans="2:11">
      <c r="C1218" s="2" t="s">
        <v>7</v>
      </c>
      <c r="D1218" s="2" t="s">
        <v>23</v>
      </c>
      <c r="E1218" s="3">
        <v>30</v>
      </c>
      <c r="F1218" s="3">
        <v>3</v>
      </c>
      <c r="G1218" s="4">
        <v>42936</v>
      </c>
      <c r="J1218" s="1">
        <v>2500</v>
      </c>
    </row>
    <row r="1219" spans="2:11">
      <c r="C1219" s="2" t="s">
        <v>5</v>
      </c>
      <c r="D1219" s="2" t="s">
        <v>23</v>
      </c>
      <c r="E1219" s="3">
        <v>30</v>
      </c>
      <c r="F1219" s="3">
        <v>5</v>
      </c>
      <c r="G1219" s="4">
        <v>42674</v>
      </c>
      <c r="J1219" s="1">
        <v>2500</v>
      </c>
    </row>
    <row r="1220" spans="2:11">
      <c r="G1220" s="4"/>
    </row>
    <row r="1221" spans="2:11">
      <c r="B1221" s="12" t="s">
        <v>1087</v>
      </c>
      <c r="C1221" s="13" t="s">
        <v>984</v>
      </c>
      <c r="D1221" s="13" t="s">
        <v>983</v>
      </c>
      <c r="F1221" s="15">
        <f>SUM(F1222:F1231)</f>
        <v>65.214285714285708</v>
      </c>
      <c r="G1221" s="14">
        <f>G1224</f>
        <v>44690</v>
      </c>
      <c r="I1221" s="1">
        <f>140+191</f>
        <v>331</v>
      </c>
      <c r="J1221" s="19">
        <f>+F1221/I1221</f>
        <v>0.19702201122140697</v>
      </c>
      <c r="K1221" s="1">
        <v>2014</v>
      </c>
    </row>
    <row r="1222" spans="2:11">
      <c r="B1222" s="12"/>
      <c r="C1222" s="2" t="s">
        <v>5</v>
      </c>
      <c r="D1222" s="2" t="s">
        <v>948</v>
      </c>
      <c r="E1222" s="3">
        <v>150</v>
      </c>
      <c r="F1222" s="3">
        <v>15</v>
      </c>
      <c r="G1222" s="4">
        <v>45008</v>
      </c>
    </row>
    <row r="1223" spans="2:11">
      <c r="B1223" s="12"/>
      <c r="C1223" s="2" t="s">
        <v>7</v>
      </c>
      <c r="D1223" s="2" t="s">
        <v>964</v>
      </c>
      <c r="E1223" s="3">
        <v>350</v>
      </c>
      <c r="F1223" s="3">
        <v>10</v>
      </c>
      <c r="G1223" s="4">
        <v>44999</v>
      </c>
    </row>
    <row r="1224" spans="2:11">
      <c r="C1224" s="2" t="s">
        <v>18</v>
      </c>
      <c r="D1224" s="2" t="s">
        <v>939</v>
      </c>
      <c r="E1224" s="3">
        <v>100</v>
      </c>
      <c r="F1224" s="3">
        <v>9</v>
      </c>
      <c r="G1224" s="4">
        <v>44690</v>
      </c>
    </row>
    <row r="1225" spans="2:11">
      <c r="C1225" s="2" t="s">
        <v>7</v>
      </c>
      <c r="D1225" s="2" t="s">
        <v>939</v>
      </c>
      <c r="E1225" s="3">
        <v>40</v>
      </c>
      <c r="F1225" s="3">
        <v>7</v>
      </c>
      <c r="G1225" s="4">
        <v>44327</v>
      </c>
    </row>
    <row r="1226" spans="2:11">
      <c r="C1226" s="2" t="s">
        <v>5</v>
      </c>
      <c r="D1226" s="2" t="s">
        <v>939</v>
      </c>
      <c r="E1226" s="3">
        <v>15</v>
      </c>
      <c r="F1226" s="3">
        <v>3</v>
      </c>
      <c r="G1226" s="4">
        <v>43816</v>
      </c>
    </row>
    <row r="1227" spans="2:11">
      <c r="C1227" s="2" t="s">
        <v>4</v>
      </c>
      <c r="D1227" s="2" t="s">
        <v>939</v>
      </c>
      <c r="E1227" s="3">
        <v>4</v>
      </c>
      <c r="F1227" s="3">
        <v>1</v>
      </c>
      <c r="G1227" s="4">
        <v>43243</v>
      </c>
    </row>
    <row r="1228" spans="2:11">
      <c r="C1228" s="2" t="s">
        <v>5</v>
      </c>
      <c r="D1228" s="2" t="s">
        <v>920</v>
      </c>
      <c r="E1228" s="3">
        <v>20</v>
      </c>
      <c r="F1228" s="3">
        <v>10</v>
      </c>
      <c r="G1228" s="4">
        <v>44245</v>
      </c>
    </row>
    <row r="1229" spans="2:11">
      <c r="C1229" s="2" t="s">
        <v>7</v>
      </c>
      <c r="D1229" s="2" t="s">
        <v>1086</v>
      </c>
      <c r="E1229" s="3">
        <v>18</v>
      </c>
      <c r="F1229" s="3">
        <v>4.5</v>
      </c>
      <c r="G1229" s="4">
        <v>44831</v>
      </c>
    </row>
    <row r="1230" spans="2:11">
      <c r="C1230" s="2" t="s">
        <v>5</v>
      </c>
      <c r="D1230" s="2" t="s">
        <v>1086</v>
      </c>
      <c r="E1230" s="3">
        <v>18.5</v>
      </c>
      <c r="F1230" s="3">
        <v>5</v>
      </c>
      <c r="G1230" s="4">
        <v>44658</v>
      </c>
    </row>
    <row r="1231" spans="2:11">
      <c r="C1231" s="2" t="s">
        <v>4</v>
      </c>
      <c r="D1231" s="2" t="s">
        <v>432</v>
      </c>
      <c r="E1231" s="3">
        <v>7</v>
      </c>
      <c r="F1231" s="3">
        <v>0.7142857142857143</v>
      </c>
      <c r="G1231" s="4">
        <v>43046</v>
      </c>
    </row>
    <row r="1232" spans="2:11">
      <c r="G1232" s="4"/>
    </row>
    <row r="1233" spans="2:18" s="12" customFormat="1">
      <c r="B1233" s="12" t="s">
        <v>1084</v>
      </c>
      <c r="C1233" s="13" t="s">
        <v>984</v>
      </c>
      <c r="D1233" s="13" t="s">
        <v>983</v>
      </c>
      <c r="E1233" s="15"/>
      <c r="F1233" s="15">
        <f>SUM(F1234:F1259)</f>
        <v>63.104761904761894</v>
      </c>
      <c r="G1233" s="14">
        <f>+G1238</f>
        <v>45041</v>
      </c>
      <c r="M1233" s="13"/>
      <c r="N1233" s="13"/>
      <c r="O1233" s="13"/>
      <c r="P1233" s="13"/>
      <c r="Q1233" s="13"/>
      <c r="R1233" s="13"/>
    </row>
    <row r="1234" spans="2:18">
      <c r="C1234" s="2" t="s">
        <v>9</v>
      </c>
      <c r="D1234" s="2" t="s">
        <v>815</v>
      </c>
      <c r="E1234" s="3">
        <v>325</v>
      </c>
      <c r="F1234" s="3">
        <v>18.5</v>
      </c>
      <c r="G1234" s="4">
        <v>44299</v>
      </c>
    </row>
    <row r="1235" spans="2:18">
      <c r="C1235" s="2" t="s">
        <v>7</v>
      </c>
      <c r="D1235" s="2" t="s">
        <v>815</v>
      </c>
      <c r="E1235" s="3">
        <v>18</v>
      </c>
      <c r="F1235" s="3">
        <v>3</v>
      </c>
      <c r="G1235" s="4">
        <v>43319</v>
      </c>
    </row>
    <row r="1236" spans="2:18">
      <c r="C1236" s="2" t="s">
        <v>5</v>
      </c>
      <c r="D1236" s="2" t="s">
        <v>815</v>
      </c>
      <c r="E1236" s="3">
        <v>4.5</v>
      </c>
      <c r="F1236" s="3">
        <v>1.5</v>
      </c>
      <c r="G1236" s="4">
        <v>42878</v>
      </c>
    </row>
    <row r="1237" spans="2:18">
      <c r="C1237" s="2" t="s">
        <v>4</v>
      </c>
      <c r="D1237" s="2" t="s">
        <v>815</v>
      </c>
      <c r="E1237" s="3">
        <v>0.12</v>
      </c>
      <c r="F1237" s="3">
        <v>0.12</v>
      </c>
      <c r="G1237" s="4">
        <v>42604</v>
      </c>
    </row>
    <row r="1238" spans="2:18">
      <c r="C1238" s="2" t="s">
        <v>7</v>
      </c>
      <c r="D1238" s="2" t="s">
        <v>920</v>
      </c>
      <c r="E1238" s="3">
        <v>97.4</v>
      </c>
      <c r="F1238" s="3">
        <f>47/6</f>
        <v>7.833333333333333</v>
      </c>
      <c r="G1238" s="4">
        <v>45041</v>
      </c>
    </row>
    <row r="1239" spans="2:18">
      <c r="C1239" s="2" t="s">
        <v>4</v>
      </c>
      <c r="D1239" s="2" t="s">
        <v>732</v>
      </c>
      <c r="E1239" s="3">
        <v>0.12</v>
      </c>
      <c r="F1239" s="3">
        <v>0.12</v>
      </c>
      <c r="G1239" s="4">
        <v>44068</v>
      </c>
    </row>
    <row r="1240" spans="2:18">
      <c r="C1240" s="2" t="s">
        <v>4</v>
      </c>
      <c r="D1240" s="2" t="s">
        <v>721</v>
      </c>
      <c r="E1240" s="3">
        <v>5.5</v>
      </c>
      <c r="F1240" s="3">
        <v>0.5</v>
      </c>
      <c r="G1240" s="4">
        <v>45092</v>
      </c>
    </row>
    <row r="1241" spans="2:18">
      <c r="C1241" s="2" t="s">
        <v>285</v>
      </c>
      <c r="D1241" s="2" t="s">
        <v>721</v>
      </c>
      <c r="E1241" s="3">
        <v>0.125</v>
      </c>
      <c r="F1241" s="3">
        <v>0.125</v>
      </c>
      <c r="G1241" s="4">
        <f>G1240</f>
        <v>45092</v>
      </c>
    </row>
    <row r="1242" spans="2:18">
      <c r="C1242" s="2" t="s">
        <v>5</v>
      </c>
      <c r="D1242" s="2" t="s">
        <v>687</v>
      </c>
      <c r="E1242" s="3">
        <v>15</v>
      </c>
      <c r="F1242" s="3">
        <v>3.3</v>
      </c>
      <c r="G1242" s="4">
        <v>44482</v>
      </c>
    </row>
    <row r="1243" spans="2:18">
      <c r="C1243" s="2" t="s">
        <v>4</v>
      </c>
      <c r="D1243" s="2" t="s">
        <v>687</v>
      </c>
      <c r="E1243" s="3">
        <v>4.5</v>
      </c>
      <c r="F1243" s="3">
        <v>0.5</v>
      </c>
      <c r="G1243" s="4">
        <v>44362</v>
      </c>
    </row>
    <row r="1244" spans="2:18">
      <c r="C1244" s="2" t="s">
        <v>4</v>
      </c>
      <c r="D1244" s="2" t="s">
        <v>687</v>
      </c>
      <c r="E1244" s="3">
        <v>0.125</v>
      </c>
      <c r="F1244" s="3">
        <v>0.125</v>
      </c>
      <c r="G1244" s="4">
        <v>44246</v>
      </c>
    </row>
    <row r="1245" spans="2:18">
      <c r="C1245" s="2" t="s">
        <v>5</v>
      </c>
      <c r="D1245" s="2" t="s">
        <v>1085</v>
      </c>
      <c r="E1245" s="3">
        <v>12.5</v>
      </c>
      <c r="F1245" s="3">
        <v>3</v>
      </c>
      <c r="G1245" s="4">
        <v>44978</v>
      </c>
    </row>
    <row r="1246" spans="2:18">
      <c r="C1246" s="2" t="s">
        <v>285</v>
      </c>
      <c r="D1246" s="2" t="s">
        <v>631</v>
      </c>
      <c r="E1246" s="3">
        <v>0.5</v>
      </c>
      <c r="F1246" s="3">
        <v>0.5</v>
      </c>
      <c r="G1246" s="4">
        <v>45021</v>
      </c>
    </row>
    <row r="1247" spans="2:18">
      <c r="C1247" s="2" t="s">
        <v>5</v>
      </c>
      <c r="D1247" s="2" t="s">
        <v>703</v>
      </c>
      <c r="E1247" s="3">
        <v>8</v>
      </c>
      <c r="F1247" s="3">
        <v>1</v>
      </c>
      <c r="G1247" s="4">
        <v>43249</v>
      </c>
    </row>
    <row r="1248" spans="2:18">
      <c r="C1248" s="2" t="s">
        <v>285</v>
      </c>
      <c r="D1248" s="2" t="s">
        <v>703</v>
      </c>
      <c r="E1248" s="3">
        <v>0.12</v>
      </c>
      <c r="F1248" s="3">
        <v>0.12</v>
      </c>
      <c r="G1248" s="4">
        <v>43104</v>
      </c>
    </row>
    <row r="1249" spans="2:18">
      <c r="C1249" s="2" t="s">
        <v>285</v>
      </c>
      <c r="D1249" s="2" t="s">
        <v>595</v>
      </c>
      <c r="E1249" s="3">
        <v>0.12</v>
      </c>
      <c r="F1249" s="3">
        <v>0.12</v>
      </c>
      <c r="G1249" s="4">
        <v>44439</v>
      </c>
    </row>
    <row r="1250" spans="2:18">
      <c r="C1250" s="2" t="s">
        <v>18</v>
      </c>
      <c r="D1250" s="2" t="s">
        <v>530</v>
      </c>
      <c r="E1250" s="3">
        <v>60</v>
      </c>
      <c r="F1250" s="3">
        <v>5</v>
      </c>
      <c r="G1250" s="4">
        <v>43606</v>
      </c>
    </row>
    <row r="1251" spans="2:18">
      <c r="C1251" s="2" t="s">
        <v>7</v>
      </c>
      <c r="D1251" s="2" t="s">
        <v>530</v>
      </c>
      <c r="E1251" s="3">
        <v>30</v>
      </c>
      <c r="F1251" s="3">
        <v>5</v>
      </c>
      <c r="G1251" s="4">
        <v>43396</v>
      </c>
    </row>
    <row r="1252" spans="2:18">
      <c r="C1252" s="2" t="s">
        <v>4</v>
      </c>
      <c r="D1252" s="2" t="s">
        <v>530</v>
      </c>
      <c r="E1252" s="3">
        <v>3</v>
      </c>
      <c r="F1252" s="3">
        <v>0.5</v>
      </c>
      <c r="G1252" s="4">
        <v>42606</v>
      </c>
    </row>
    <row r="1253" spans="2:18">
      <c r="C1253" s="2" t="s">
        <v>7</v>
      </c>
      <c r="D1253" s="2" t="s">
        <v>454</v>
      </c>
      <c r="E1253" s="3">
        <v>30</v>
      </c>
      <c r="F1253" s="3">
        <v>5</v>
      </c>
      <c r="G1253" s="4">
        <v>44756</v>
      </c>
    </row>
    <row r="1254" spans="2:18">
      <c r="C1254" s="2" t="s">
        <v>5</v>
      </c>
      <c r="D1254" s="2" t="s">
        <v>454</v>
      </c>
      <c r="E1254" s="3">
        <v>28</v>
      </c>
      <c r="F1254" s="3">
        <v>5</v>
      </c>
      <c r="G1254" s="4">
        <v>44624</v>
      </c>
    </row>
    <row r="1255" spans="2:18">
      <c r="C1255" s="2" t="s">
        <v>4</v>
      </c>
      <c r="D1255" s="2" t="s">
        <v>454</v>
      </c>
      <c r="E1255" s="3">
        <v>0.12</v>
      </c>
      <c r="F1255" s="3">
        <v>0.12</v>
      </c>
      <c r="G1255" s="4">
        <v>42970</v>
      </c>
    </row>
    <row r="1256" spans="2:18">
      <c r="C1256" s="2" t="s">
        <v>4</v>
      </c>
      <c r="D1256" s="2" t="s">
        <v>284</v>
      </c>
      <c r="E1256" s="3">
        <v>0.125</v>
      </c>
      <c r="F1256" s="3">
        <v>0.125</v>
      </c>
      <c r="G1256" s="4">
        <v>44265</v>
      </c>
    </row>
    <row r="1257" spans="2:18">
      <c r="C1257" s="2" t="s">
        <v>4</v>
      </c>
      <c r="D1257" s="2" t="s">
        <v>1084</v>
      </c>
      <c r="E1257" s="3">
        <v>1.6</v>
      </c>
      <c r="F1257" s="3">
        <f>E1257/2</f>
        <v>0.8</v>
      </c>
      <c r="G1257" s="4">
        <v>43060</v>
      </c>
    </row>
    <row r="1258" spans="2:18">
      <c r="C1258" s="2" t="s">
        <v>4</v>
      </c>
      <c r="D1258" s="2" t="s">
        <v>89</v>
      </c>
      <c r="E1258" s="3">
        <v>5.3</v>
      </c>
      <c r="F1258" s="3">
        <f>4/7</f>
        <v>0.5714285714285714</v>
      </c>
      <c r="G1258" s="4">
        <v>43398</v>
      </c>
    </row>
    <row r="1259" spans="2:18">
      <c r="C1259" s="2" t="s">
        <v>4</v>
      </c>
      <c r="D1259" s="2" t="s">
        <v>89</v>
      </c>
      <c r="E1259" s="3">
        <v>4</v>
      </c>
      <c r="F1259" s="3">
        <f>2.5/4</f>
        <v>0.625</v>
      </c>
      <c r="G1259" s="4">
        <v>43122</v>
      </c>
    </row>
    <row r="1260" spans="2:18">
      <c r="G1260" s="4"/>
    </row>
    <row r="1261" spans="2:18" s="12" customFormat="1">
      <c r="B1261" s="12" t="s">
        <v>227</v>
      </c>
      <c r="C1261" s="13" t="s">
        <v>984</v>
      </c>
      <c r="D1261" s="13" t="s">
        <v>983</v>
      </c>
      <c r="E1261" s="15"/>
      <c r="F1261" s="15">
        <f>SUM(F1262:F1263)</f>
        <v>63.166666666666671</v>
      </c>
      <c r="G1261" s="14">
        <f>G1263</f>
        <v>44550</v>
      </c>
      <c r="M1261" s="13"/>
      <c r="N1261" s="13"/>
      <c r="O1261" s="13"/>
      <c r="P1261" s="13"/>
      <c r="Q1261" s="13"/>
      <c r="R1261" s="13"/>
    </row>
    <row r="1262" spans="2:18">
      <c r="C1262" s="2" t="s">
        <v>18</v>
      </c>
      <c r="D1262" s="2" t="s">
        <v>218</v>
      </c>
      <c r="E1262" s="3">
        <v>230</v>
      </c>
      <c r="F1262" s="3">
        <f>E1262/6</f>
        <v>38.333333333333336</v>
      </c>
      <c r="G1262" s="4">
        <v>43923</v>
      </c>
    </row>
    <row r="1263" spans="2:18">
      <c r="C1263" s="2" t="s">
        <v>7</v>
      </c>
      <c r="D1263" s="2" t="s">
        <v>66</v>
      </c>
      <c r="E1263" s="3">
        <f>1600/7</f>
        <v>228.57142857142858</v>
      </c>
      <c r="F1263" s="3">
        <f>149/6</f>
        <v>24.833333333333332</v>
      </c>
      <c r="G1263" s="4">
        <v>44550</v>
      </c>
    </row>
    <row r="1264" spans="2:18">
      <c r="G1264" s="4"/>
    </row>
    <row r="1265" spans="2:18" s="12" customFormat="1">
      <c r="B1265" s="12" t="s">
        <v>4574</v>
      </c>
      <c r="C1265" s="13" t="s">
        <v>984</v>
      </c>
      <c r="D1265" s="13" t="s">
        <v>983</v>
      </c>
      <c r="E1265" s="15"/>
      <c r="F1265" s="15">
        <f>SUM(F1266:F1267)</f>
        <v>62.5</v>
      </c>
      <c r="G1265" s="14">
        <f>G1266</f>
        <v>44578</v>
      </c>
      <c r="M1265" s="13"/>
      <c r="N1265" s="13"/>
      <c r="O1265" s="13"/>
      <c r="P1265" s="13"/>
      <c r="Q1265" s="13"/>
      <c r="R1265" s="13"/>
    </row>
    <row r="1266" spans="2:18">
      <c r="C1266" s="2" t="s">
        <v>7</v>
      </c>
      <c r="D1266" s="2" t="s">
        <v>2170</v>
      </c>
      <c r="E1266" s="3">
        <f>176</f>
        <v>176</v>
      </c>
      <c r="F1266" s="3">
        <f>150/12</f>
        <v>12.5</v>
      </c>
      <c r="G1266" s="4">
        <v>44578</v>
      </c>
    </row>
    <row r="1267" spans="2:18">
      <c r="C1267" s="86" t="s">
        <v>18</v>
      </c>
      <c r="D1267" s="86" t="s">
        <v>2157</v>
      </c>
      <c r="E1267" s="3">
        <v>300</v>
      </c>
      <c r="F1267" s="3">
        <v>50</v>
      </c>
      <c r="G1267" s="4">
        <v>44300</v>
      </c>
      <c r="I1267" s="1">
        <v>700</v>
      </c>
      <c r="J1267" s="1">
        <v>700</v>
      </c>
    </row>
    <row r="1268" spans="2:18">
      <c r="G1268" s="4"/>
    </row>
    <row r="1269" spans="2:18" s="12" customFormat="1">
      <c r="B1269" s="12" t="s">
        <v>1083</v>
      </c>
      <c r="C1269" s="13" t="s">
        <v>984</v>
      </c>
      <c r="D1269" s="13" t="s">
        <v>983</v>
      </c>
      <c r="E1269" s="15"/>
      <c r="F1269" s="15">
        <f>SUM(F1270:F1280)</f>
        <v>58.585714285714282</v>
      </c>
      <c r="G1269" s="14">
        <f>G1272</f>
        <v>44727</v>
      </c>
    </row>
    <row r="1270" spans="2:18">
      <c r="C1270" s="2" t="s">
        <v>5</v>
      </c>
      <c r="D1270" s="2" t="s">
        <v>1001</v>
      </c>
      <c r="E1270" s="3">
        <v>25</v>
      </c>
      <c r="F1270" s="3">
        <f>15/4</f>
        <v>3.75</v>
      </c>
      <c r="G1270" s="4">
        <v>44615</v>
      </c>
    </row>
    <row r="1271" spans="2:18">
      <c r="C1271" s="2" t="s">
        <v>5</v>
      </c>
      <c r="D1271" s="2" t="s">
        <v>747</v>
      </c>
      <c r="E1271" s="3">
        <v>21</v>
      </c>
      <c r="F1271" s="3">
        <f>14/5</f>
        <v>2.8</v>
      </c>
      <c r="G1271" s="4">
        <v>44489</v>
      </c>
    </row>
    <row r="1272" spans="2:18">
      <c r="C1272" s="2" t="s">
        <v>5</v>
      </c>
      <c r="D1272" s="2" t="s">
        <v>474</v>
      </c>
      <c r="E1272" s="3">
        <v>15.5</v>
      </c>
      <c r="F1272" s="3">
        <v>3</v>
      </c>
      <c r="G1272" s="4">
        <v>44727</v>
      </c>
    </row>
    <row r="1273" spans="2:18">
      <c r="C1273" s="2" t="s">
        <v>4</v>
      </c>
      <c r="D1273" s="2" t="s">
        <v>432</v>
      </c>
      <c r="E1273" s="3">
        <v>7</v>
      </c>
      <c r="F1273" s="3">
        <v>0.7142857142857143</v>
      </c>
      <c r="G1273" s="4">
        <v>43046</v>
      </c>
    </row>
    <row r="1274" spans="2:18">
      <c r="C1274" s="2" t="s">
        <v>7</v>
      </c>
      <c r="D1274" s="2" t="s">
        <v>370</v>
      </c>
      <c r="E1274" s="3">
        <v>120</v>
      </c>
      <c r="F1274" s="3">
        <f>90/8</f>
        <v>11.25</v>
      </c>
      <c r="G1274" s="4">
        <v>44602</v>
      </c>
    </row>
    <row r="1275" spans="2:18">
      <c r="C1275" s="2" t="s">
        <v>5</v>
      </c>
      <c r="D1275" s="2" t="s">
        <v>320</v>
      </c>
      <c r="E1275" s="3">
        <v>57</v>
      </c>
      <c r="F1275" s="3">
        <v>6</v>
      </c>
      <c r="G1275" s="4">
        <v>44508</v>
      </c>
    </row>
    <row r="1276" spans="2:18">
      <c r="C1276" s="2" t="s">
        <v>18</v>
      </c>
      <c r="D1276" s="2" t="s">
        <v>299</v>
      </c>
      <c r="E1276" s="3">
        <v>38</v>
      </c>
      <c r="F1276" s="3">
        <f>20/6</f>
        <v>3.3333333333333335</v>
      </c>
      <c r="G1276" s="4">
        <v>43104</v>
      </c>
    </row>
    <row r="1277" spans="2:18">
      <c r="C1277" s="2" t="s">
        <v>8</v>
      </c>
      <c r="D1277" s="2" t="s">
        <v>136</v>
      </c>
      <c r="E1277" s="3">
        <v>135</v>
      </c>
      <c r="F1277" s="3">
        <f>115/14</f>
        <v>8.2142857142857135</v>
      </c>
      <c r="G1277" s="4">
        <v>44880</v>
      </c>
    </row>
    <row r="1278" spans="2:18">
      <c r="C1278" s="2" t="s">
        <v>9</v>
      </c>
      <c r="D1278" s="2" t="s">
        <v>23</v>
      </c>
      <c r="E1278" s="3">
        <v>222</v>
      </c>
      <c r="F1278" s="3">
        <f>200/21</f>
        <v>9.5238095238095237</v>
      </c>
      <c r="G1278" s="4">
        <v>44194</v>
      </c>
      <c r="I1278" s="1">
        <v>2500</v>
      </c>
      <c r="J1278" s="1">
        <v>2500</v>
      </c>
    </row>
    <row r="1279" spans="2:18">
      <c r="C1279" s="2" t="s">
        <v>18</v>
      </c>
      <c r="D1279" s="2" t="s">
        <v>23</v>
      </c>
      <c r="E1279" s="3">
        <v>50</v>
      </c>
      <c r="F1279" s="3">
        <v>5</v>
      </c>
      <c r="G1279" s="4">
        <v>43051</v>
      </c>
      <c r="J1279" s="1">
        <v>2500</v>
      </c>
    </row>
    <row r="1280" spans="2:18">
      <c r="C1280" s="2" t="s">
        <v>5</v>
      </c>
      <c r="D1280" s="2" t="s">
        <v>23</v>
      </c>
      <c r="E1280" s="3">
        <v>30</v>
      </c>
      <c r="F1280" s="3">
        <v>5</v>
      </c>
      <c r="G1280" s="4">
        <v>42674</v>
      </c>
      <c r="J1280" s="1">
        <v>2500</v>
      </c>
    </row>
    <row r="1281" spans="2:18">
      <c r="G1281" s="4"/>
    </row>
    <row r="1282" spans="2:18" s="12" customFormat="1">
      <c r="B1282" s="12" t="s">
        <v>469</v>
      </c>
      <c r="C1282" s="13" t="s">
        <v>984</v>
      </c>
      <c r="D1282" s="13" t="s">
        <v>983</v>
      </c>
      <c r="E1282" s="15"/>
      <c r="F1282" s="15">
        <f>SUM(F1283:F1285)</f>
        <v>59.383333333333333</v>
      </c>
      <c r="G1282" s="14">
        <f>G1283</f>
        <v>44600</v>
      </c>
    </row>
    <row r="1283" spans="2:18">
      <c r="C1283" s="2" t="s">
        <v>7</v>
      </c>
      <c r="D1283" s="2" t="s">
        <v>464</v>
      </c>
      <c r="E1283" s="3">
        <v>26.8</v>
      </c>
      <c r="F1283" s="3">
        <v>6.8</v>
      </c>
      <c r="G1283" s="4">
        <v>44600</v>
      </c>
      <c r="M1283" s="1"/>
      <c r="N1283" s="1"/>
      <c r="O1283" s="1"/>
      <c r="P1283" s="1"/>
      <c r="Q1283" s="1"/>
      <c r="R1283" s="1"/>
    </row>
    <row r="1284" spans="2:18">
      <c r="C1284" s="2" t="s">
        <v>55</v>
      </c>
      <c r="D1284" s="2" t="s">
        <v>181</v>
      </c>
      <c r="E1284" s="3">
        <v>475</v>
      </c>
      <c r="F1284" s="3">
        <f>E1284/12</f>
        <v>39.583333333333336</v>
      </c>
      <c r="G1284" s="4">
        <v>44278</v>
      </c>
      <c r="M1284" s="1"/>
      <c r="N1284" s="1"/>
      <c r="O1284" s="1"/>
      <c r="P1284" s="1"/>
      <c r="Q1284" s="1"/>
      <c r="R1284" s="1"/>
    </row>
    <row r="1285" spans="2:18">
      <c r="C1285" s="2" t="s">
        <v>7</v>
      </c>
      <c r="D1285" s="2" t="s">
        <v>2170</v>
      </c>
      <c r="E1285" s="3">
        <v>176</v>
      </c>
      <c r="F1285" s="3">
        <v>13</v>
      </c>
      <c r="G1285" s="4">
        <v>44578</v>
      </c>
      <c r="M1285" s="1"/>
      <c r="N1285" s="1"/>
      <c r="O1285" s="1"/>
      <c r="P1285" s="1"/>
      <c r="Q1285" s="1"/>
      <c r="R1285" s="1"/>
    </row>
    <row r="1286" spans="2:18">
      <c r="G1286" s="4"/>
      <c r="M1286" s="1"/>
      <c r="N1286" s="1"/>
      <c r="O1286" s="1"/>
      <c r="P1286" s="1"/>
      <c r="Q1286" s="1"/>
      <c r="R1286" s="1"/>
    </row>
    <row r="1287" spans="2:18" s="12" customFormat="1">
      <c r="B1287" s="12" t="s">
        <v>161</v>
      </c>
      <c r="C1287" s="13" t="s">
        <v>984</v>
      </c>
      <c r="D1287" s="13" t="s">
        <v>983</v>
      </c>
      <c r="E1287" s="15"/>
      <c r="F1287" s="15">
        <f>SUM(F1288:F1292)</f>
        <v>58.214285714285715</v>
      </c>
      <c r="G1287" s="14">
        <f>G1288</f>
        <v>44067</v>
      </c>
      <c r="M1287" s="13"/>
      <c r="N1287" s="13"/>
      <c r="O1287" s="13"/>
      <c r="P1287" s="13"/>
      <c r="Q1287" s="13"/>
      <c r="R1287" s="13"/>
    </row>
    <row r="1288" spans="2:18">
      <c r="C1288" s="2" t="s">
        <v>18</v>
      </c>
      <c r="D1288" s="2" t="s">
        <v>159</v>
      </c>
      <c r="E1288" s="3">
        <v>101</v>
      </c>
      <c r="F1288" s="3">
        <v>25</v>
      </c>
      <c r="G1288" s="4">
        <v>44067</v>
      </c>
    </row>
    <row r="1289" spans="2:18">
      <c r="C1289" s="2" t="s">
        <v>4</v>
      </c>
      <c r="D1289" s="2" t="s">
        <v>159</v>
      </c>
      <c r="E1289" s="3">
        <v>4</v>
      </c>
      <c r="F1289" s="3">
        <v>1.5</v>
      </c>
      <c r="G1289" s="4">
        <v>42023</v>
      </c>
    </row>
    <row r="1290" spans="2:18">
      <c r="C1290" s="2" t="s">
        <v>18</v>
      </c>
      <c r="D1290" s="2" t="s">
        <v>34</v>
      </c>
      <c r="E1290" s="3">
        <v>230</v>
      </c>
      <c r="F1290" s="3">
        <f>110/7</f>
        <v>15.714285714285714</v>
      </c>
      <c r="G1290" s="4">
        <v>43634</v>
      </c>
    </row>
    <row r="1291" spans="2:18">
      <c r="C1291" s="2" t="s">
        <v>7</v>
      </c>
      <c r="D1291" s="2" t="s">
        <v>34</v>
      </c>
      <c r="E1291" s="3">
        <v>45</v>
      </c>
      <c r="F1291" s="3">
        <v>11</v>
      </c>
      <c r="G1291" s="4">
        <v>43263</v>
      </c>
    </row>
    <row r="1292" spans="2:18">
      <c r="C1292" s="2" t="s">
        <v>5</v>
      </c>
      <c r="D1292" s="2" t="s">
        <v>34</v>
      </c>
      <c r="E1292" s="3">
        <v>18</v>
      </c>
      <c r="F1292" s="3">
        <v>5</v>
      </c>
      <c r="G1292" s="4">
        <v>42983</v>
      </c>
    </row>
    <row r="1293" spans="2:18">
      <c r="G1293" s="4"/>
    </row>
    <row r="1294" spans="2:18">
      <c r="B1294" s="12" t="s">
        <v>1081</v>
      </c>
      <c r="C1294" s="13" t="s">
        <v>984</v>
      </c>
      <c r="D1294" s="13" t="s">
        <v>983</v>
      </c>
      <c r="E1294" s="15"/>
      <c r="F1294" s="15">
        <f>SUM(F1295:F1306)</f>
        <v>57.2</v>
      </c>
      <c r="G1294" s="14">
        <f>G1302</f>
        <v>45005</v>
      </c>
    </row>
    <row r="1295" spans="2:18">
      <c r="C1295" s="2" t="s">
        <v>18</v>
      </c>
      <c r="D1295" s="2" t="s">
        <v>972</v>
      </c>
      <c r="E1295" s="3">
        <v>50</v>
      </c>
      <c r="F1295" s="3">
        <f>30/5</f>
        <v>6</v>
      </c>
      <c r="G1295" s="4">
        <v>44900</v>
      </c>
    </row>
    <row r="1296" spans="2:18">
      <c r="C1296" s="2" t="s">
        <v>18</v>
      </c>
      <c r="D1296" s="2" t="s">
        <v>1080</v>
      </c>
      <c r="E1296" s="3">
        <v>85</v>
      </c>
      <c r="F1296" s="3">
        <v>10</v>
      </c>
      <c r="G1296" s="4">
        <v>44501</v>
      </c>
    </row>
    <row r="1297" spans="2:7">
      <c r="C1297" s="2" t="s">
        <v>7</v>
      </c>
      <c r="D1297" s="2" t="s">
        <v>1080</v>
      </c>
      <c r="E1297" s="3">
        <v>28</v>
      </c>
      <c r="F1297" s="3">
        <v>5</v>
      </c>
      <c r="G1297" s="4">
        <v>44272</v>
      </c>
    </row>
    <row r="1298" spans="2:7">
      <c r="C1298" s="2" t="s">
        <v>5</v>
      </c>
      <c r="D1298" s="2" t="s">
        <v>1080</v>
      </c>
      <c r="E1298" s="3">
        <v>15</v>
      </c>
      <c r="F1298" s="3">
        <v>5</v>
      </c>
      <c r="G1298" s="4">
        <v>43924</v>
      </c>
    </row>
    <row r="1299" spans="2:7">
      <c r="C1299" s="2" t="s">
        <v>4</v>
      </c>
      <c r="D1299" s="2" t="s">
        <v>1080</v>
      </c>
      <c r="E1299" s="3">
        <v>3.9</v>
      </c>
      <c r="F1299" s="3">
        <v>2.9</v>
      </c>
      <c r="G1299" s="4">
        <v>43761</v>
      </c>
    </row>
    <row r="1300" spans="2:7">
      <c r="C1300" s="2" t="s">
        <v>4</v>
      </c>
      <c r="D1300" s="2" t="s">
        <v>1040</v>
      </c>
      <c r="E1300" s="3">
        <v>2.8</v>
      </c>
      <c r="F1300" s="3">
        <v>0.8</v>
      </c>
      <c r="G1300" s="4">
        <v>44994</v>
      </c>
    </row>
    <row r="1301" spans="2:7">
      <c r="C1301" s="2" t="s">
        <v>4</v>
      </c>
      <c r="D1301" s="2" t="s">
        <v>1040</v>
      </c>
      <c r="E1301" s="3">
        <v>2.6</v>
      </c>
      <c r="F1301" s="3">
        <v>1</v>
      </c>
      <c r="G1301" s="4">
        <v>44147</v>
      </c>
    </row>
    <row r="1302" spans="2:7">
      <c r="C1302" s="2" t="s">
        <v>5</v>
      </c>
      <c r="D1302" s="2" t="s">
        <v>699</v>
      </c>
      <c r="E1302" s="3">
        <v>12.5</v>
      </c>
      <c r="F1302" s="3">
        <v>7</v>
      </c>
      <c r="G1302" s="4">
        <v>45005</v>
      </c>
    </row>
    <row r="1303" spans="2:7">
      <c r="C1303" s="2" t="s">
        <v>4</v>
      </c>
      <c r="D1303" s="2" t="s">
        <v>663</v>
      </c>
      <c r="E1303" s="3">
        <v>12</v>
      </c>
      <c r="F1303" s="3">
        <v>2</v>
      </c>
      <c r="G1303" s="4">
        <v>44971</v>
      </c>
    </row>
    <row r="1304" spans="2:7">
      <c r="C1304" s="2" t="s">
        <v>4</v>
      </c>
      <c r="D1304" s="2" t="s">
        <v>607</v>
      </c>
      <c r="E1304" s="3">
        <v>6</v>
      </c>
      <c r="F1304" s="3">
        <v>2</v>
      </c>
      <c r="G1304" s="4">
        <v>44781</v>
      </c>
    </row>
    <row r="1305" spans="2:7">
      <c r="C1305" s="2" t="s">
        <v>285</v>
      </c>
      <c r="D1305" s="2" t="s">
        <v>607</v>
      </c>
      <c r="E1305" s="3">
        <v>1</v>
      </c>
      <c r="F1305" s="3">
        <v>0.5</v>
      </c>
      <c r="G1305" s="4">
        <v>44476</v>
      </c>
    </row>
    <row r="1306" spans="2:7">
      <c r="C1306" s="2" t="s">
        <v>7</v>
      </c>
      <c r="D1306" s="2" t="s">
        <v>1079</v>
      </c>
      <c r="E1306" s="3">
        <v>100</v>
      </c>
      <c r="F1306" s="3">
        <v>15</v>
      </c>
      <c r="G1306" s="4">
        <v>45106</v>
      </c>
    </row>
    <row r="1307" spans="2:7">
      <c r="G1307" s="4"/>
    </row>
    <row r="1308" spans="2:7">
      <c r="B1308" s="12" t="s">
        <v>1082</v>
      </c>
      <c r="C1308" s="13" t="s">
        <v>984</v>
      </c>
      <c r="D1308" s="13" t="s">
        <v>983</v>
      </c>
      <c r="F1308" s="15">
        <f>SUM(F1309:F1313)</f>
        <v>56.133333333333333</v>
      </c>
      <c r="G1308" s="14">
        <f>G1310</f>
        <v>45070</v>
      </c>
    </row>
    <row r="1309" spans="2:7">
      <c r="C1309" s="2" t="s">
        <v>18</v>
      </c>
      <c r="D1309" s="2" t="s">
        <v>967</v>
      </c>
      <c r="E1309" s="3">
        <v>270</v>
      </c>
      <c r="F1309" s="3">
        <v>50</v>
      </c>
      <c r="G1309" s="4">
        <v>45048</v>
      </c>
    </row>
    <row r="1310" spans="2:7">
      <c r="C1310" s="2" t="s">
        <v>5</v>
      </c>
      <c r="D1310" s="2" t="s">
        <v>795</v>
      </c>
      <c r="E1310" s="3">
        <v>10.9</v>
      </c>
      <c r="F1310" s="3">
        <f>8/6</f>
        <v>1.3333333333333333</v>
      </c>
      <c r="G1310" s="4">
        <v>45070</v>
      </c>
    </row>
    <row r="1311" spans="2:7">
      <c r="C1311" s="2" t="s">
        <v>5</v>
      </c>
      <c r="D1311" s="2" t="s">
        <v>714</v>
      </c>
      <c r="E1311" s="3">
        <v>6</v>
      </c>
      <c r="F1311" s="3">
        <v>1</v>
      </c>
      <c r="G1311" s="4">
        <v>44917</v>
      </c>
    </row>
    <row r="1312" spans="2:7">
      <c r="C1312" s="2" t="s">
        <v>4</v>
      </c>
      <c r="D1312" s="2" t="s">
        <v>714</v>
      </c>
      <c r="E1312" s="3">
        <v>3.6</v>
      </c>
      <c r="F1312" s="3">
        <v>1.8</v>
      </c>
      <c r="G1312" s="4">
        <v>43361</v>
      </c>
    </row>
    <row r="1313" spans="2:18">
      <c r="C1313" s="2" t="s">
        <v>5</v>
      </c>
      <c r="D1313" s="2" t="s">
        <v>305</v>
      </c>
      <c r="E1313" s="3">
        <v>15</v>
      </c>
      <c r="F1313" s="3">
        <v>2</v>
      </c>
      <c r="G1313" s="4">
        <v>44314</v>
      </c>
    </row>
    <row r="1314" spans="2:18">
      <c r="G1314" s="4"/>
    </row>
    <row r="1315" spans="2:18" s="12" customFormat="1">
      <c r="B1315" s="12" t="s">
        <v>1078</v>
      </c>
      <c r="C1315" s="13" t="s">
        <v>984</v>
      </c>
      <c r="D1315" s="13" t="s">
        <v>983</v>
      </c>
      <c r="E1315" s="15"/>
      <c r="F1315" s="15">
        <f>SUM(F1316:F1321)</f>
        <v>54.3</v>
      </c>
      <c r="G1315" s="14">
        <f>+G1316</f>
        <v>44754</v>
      </c>
      <c r="M1315" s="13"/>
      <c r="N1315" s="13"/>
      <c r="O1315" s="13"/>
      <c r="P1315" s="13"/>
      <c r="Q1315" s="13"/>
      <c r="R1315" s="13"/>
    </row>
    <row r="1316" spans="2:18">
      <c r="C1316" s="2" t="s">
        <v>18</v>
      </c>
      <c r="D1316" s="2" t="s">
        <v>1021</v>
      </c>
      <c r="E1316" s="3">
        <v>100</v>
      </c>
      <c r="F1316" s="3">
        <v>10</v>
      </c>
      <c r="G1316" s="4">
        <v>44754</v>
      </c>
    </row>
    <row r="1317" spans="2:18">
      <c r="C1317" s="2" t="s">
        <v>7</v>
      </c>
      <c r="D1317" s="2" t="s">
        <v>907</v>
      </c>
      <c r="E1317" s="3">
        <v>40</v>
      </c>
      <c r="F1317" s="3">
        <v>5</v>
      </c>
      <c r="G1317" s="4">
        <v>44728</v>
      </c>
    </row>
    <row r="1318" spans="2:18">
      <c r="C1318" s="2" t="s">
        <v>7</v>
      </c>
      <c r="D1318" s="2" t="s">
        <v>907</v>
      </c>
      <c r="E1318" s="3">
        <v>18.600000000000001</v>
      </c>
      <c r="F1318" s="3">
        <f>8.6/2</f>
        <v>4.3</v>
      </c>
      <c r="G1318" s="4">
        <v>44112</v>
      </c>
    </row>
    <row r="1319" spans="2:18">
      <c r="C1319" s="2" t="s">
        <v>18</v>
      </c>
      <c r="D1319" s="2" t="s">
        <v>895</v>
      </c>
      <c r="E1319" s="3">
        <v>200</v>
      </c>
      <c r="F1319" s="3">
        <v>20</v>
      </c>
      <c r="G1319" s="4">
        <v>44377</v>
      </c>
    </row>
    <row r="1320" spans="2:18">
      <c r="C1320" s="2" t="s">
        <v>7</v>
      </c>
      <c r="D1320" s="2" t="s">
        <v>895</v>
      </c>
      <c r="E1320" s="3">
        <v>75</v>
      </c>
      <c r="F1320" s="3">
        <v>5</v>
      </c>
      <c r="G1320" s="4">
        <v>43783</v>
      </c>
    </row>
    <row r="1321" spans="2:18">
      <c r="C1321" s="2" t="s">
        <v>5</v>
      </c>
      <c r="D1321" s="2" t="s">
        <v>895</v>
      </c>
      <c r="E1321" s="3">
        <v>30</v>
      </c>
      <c r="F1321" s="3">
        <v>10</v>
      </c>
      <c r="G1321" s="4">
        <v>43573</v>
      </c>
    </row>
    <row r="1322" spans="2:18">
      <c r="G1322" s="4"/>
    </row>
    <row r="1323" spans="2:18" s="12" customFormat="1">
      <c r="B1323" s="12" t="s">
        <v>678</v>
      </c>
      <c r="C1323" s="13" t="s">
        <v>984</v>
      </c>
      <c r="D1323" s="13" t="s">
        <v>983</v>
      </c>
      <c r="E1323" s="15"/>
      <c r="F1323" s="15">
        <f>SUM(F1324:F1325)</f>
        <v>52.5</v>
      </c>
      <c r="G1323" s="14">
        <f>G1325</f>
        <v>44663</v>
      </c>
    </row>
    <row r="1324" spans="2:18">
      <c r="C1324" s="2" t="s">
        <v>4</v>
      </c>
      <c r="D1324" s="2" t="s">
        <v>677</v>
      </c>
      <c r="E1324" s="3">
        <v>5</v>
      </c>
      <c r="F1324" s="3">
        <v>2.5</v>
      </c>
      <c r="G1324" s="4">
        <v>44277</v>
      </c>
      <c r="M1324" s="1"/>
      <c r="N1324" s="1"/>
      <c r="O1324" s="1"/>
      <c r="P1324" s="1"/>
      <c r="Q1324" s="1"/>
      <c r="R1324" s="1"/>
    </row>
    <row r="1325" spans="2:18">
      <c r="C1325" s="2" t="s">
        <v>4</v>
      </c>
      <c r="D1325" s="2" t="s">
        <v>676</v>
      </c>
      <c r="E1325" s="3">
        <v>100</v>
      </c>
      <c r="F1325" s="3">
        <v>50</v>
      </c>
      <c r="G1325" s="4">
        <v>44663</v>
      </c>
      <c r="M1325" s="1"/>
      <c r="N1325" s="1"/>
      <c r="O1325" s="1"/>
      <c r="P1325" s="1"/>
      <c r="Q1325" s="1"/>
      <c r="R1325" s="1"/>
    </row>
    <row r="1326" spans="2:18">
      <c r="G1326" s="4"/>
      <c r="M1326" s="1"/>
      <c r="N1326" s="1"/>
      <c r="O1326" s="1"/>
      <c r="P1326" s="1"/>
      <c r="Q1326" s="1"/>
      <c r="R1326" s="1"/>
    </row>
    <row r="1327" spans="2:18" s="12" customFormat="1">
      <c r="B1327" s="12" t="s">
        <v>856</v>
      </c>
      <c r="C1327" s="13" t="s">
        <v>984</v>
      </c>
      <c r="D1327" s="13" t="s">
        <v>983</v>
      </c>
      <c r="E1327" s="15"/>
      <c r="F1327" s="15">
        <f>SUM(F1328:F1330)</f>
        <v>52.5</v>
      </c>
      <c r="G1327" s="14">
        <f>G1328</f>
        <v>44796</v>
      </c>
      <c r="M1327" s="13"/>
      <c r="N1327" s="13"/>
      <c r="O1327" s="13"/>
      <c r="P1327" s="13"/>
      <c r="Q1327" s="13"/>
      <c r="R1327" s="13"/>
    </row>
    <row r="1328" spans="2:18">
      <c r="C1328" s="2" t="s">
        <v>5</v>
      </c>
      <c r="D1328" s="2" t="s">
        <v>712</v>
      </c>
      <c r="E1328" s="3">
        <v>50</v>
      </c>
      <c r="F1328" s="3">
        <f>30/12</f>
        <v>2.5</v>
      </c>
      <c r="G1328" s="4">
        <v>44796</v>
      </c>
    </row>
    <row r="1329" spans="2:18">
      <c r="C1329" s="2" t="s">
        <v>5</v>
      </c>
      <c r="D1329" s="2" t="s">
        <v>855</v>
      </c>
      <c r="E1329" s="3">
        <v>44</v>
      </c>
      <c r="F1329" s="3">
        <v>10</v>
      </c>
      <c r="G1329" s="4">
        <v>44671</v>
      </c>
    </row>
    <row r="1330" spans="2:18">
      <c r="C1330" s="2" t="s">
        <v>18</v>
      </c>
      <c r="D1330" s="2" t="s">
        <v>239</v>
      </c>
      <c r="E1330" s="3">
        <v>460</v>
      </c>
      <c r="F1330" s="3">
        <v>40</v>
      </c>
      <c r="G1330" s="4">
        <v>43040</v>
      </c>
    </row>
    <row r="1331" spans="2:18">
      <c r="C1331" s="2" t="s">
        <v>7</v>
      </c>
      <c r="D1331" s="2" t="s">
        <v>2171</v>
      </c>
      <c r="E1331" s="3">
        <v>186</v>
      </c>
      <c r="F1331" s="3">
        <v>30</v>
      </c>
      <c r="G1331" s="4">
        <v>44648</v>
      </c>
    </row>
    <row r="1332" spans="2:18">
      <c r="G1332" s="4"/>
    </row>
    <row r="1333" spans="2:18" s="12" customFormat="1">
      <c r="B1333" s="12" t="s">
        <v>953</v>
      </c>
      <c r="C1333" s="13" t="s">
        <v>984</v>
      </c>
      <c r="D1333" s="13" t="s">
        <v>983</v>
      </c>
      <c r="E1333" s="15"/>
      <c r="F1333" s="15">
        <f>SUM(F1334:F1335)</f>
        <v>52.583333333333336</v>
      </c>
      <c r="G1333" s="14">
        <f>G1334</f>
        <v>44860</v>
      </c>
      <c r="M1333" s="13"/>
      <c r="N1333" s="13"/>
      <c r="O1333" s="13"/>
      <c r="P1333" s="13"/>
      <c r="Q1333" s="13"/>
      <c r="R1333" s="13"/>
    </row>
    <row r="1334" spans="2:18">
      <c r="C1334" s="2" t="s">
        <v>7</v>
      </c>
      <c r="D1334" s="2" t="s">
        <v>406</v>
      </c>
      <c r="E1334" s="3">
        <v>37</v>
      </c>
      <c r="F1334" s="3">
        <v>13</v>
      </c>
      <c r="G1334" s="4">
        <v>44860</v>
      </c>
    </row>
    <row r="1335" spans="2:18">
      <c r="C1335" s="2" t="s">
        <v>55</v>
      </c>
      <c r="D1335" s="2" t="s">
        <v>181</v>
      </c>
      <c r="E1335" s="3">
        <v>475</v>
      </c>
      <c r="F1335" s="3">
        <f>E1335/12</f>
        <v>39.583333333333336</v>
      </c>
      <c r="G1335" s="4">
        <v>44278</v>
      </c>
    </row>
    <row r="1336" spans="2:18">
      <c r="G1336" s="4"/>
    </row>
    <row r="1337" spans="2:18" s="12" customFormat="1">
      <c r="B1337" s="12" t="s">
        <v>679</v>
      </c>
      <c r="C1337" s="13" t="s">
        <v>984</v>
      </c>
      <c r="D1337" s="13" t="s">
        <v>983</v>
      </c>
      <c r="E1337" s="15"/>
      <c r="F1337" s="15">
        <f>SUM(F1338:F1339)</f>
        <v>51.6</v>
      </c>
      <c r="G1337" s="14">
        <f>G1338</f>
        <v>44952</v>
      </c>
    </row>
    <row r="1338" spans="2:18">
      <c r="C1338" s="2" t="s">
        <v>5</v>
      </c>
      <c r="D1338" s="2" t="s">
        <v>677</v>
      </c>
      <c r="E1338" s="3">
        <v>12.7</v>
      </c>
      <c r="F1338" s="3">
        <f>8/5</f>
        <v>1.6</v>
      </c>
      <c r="G1338" s="4">
        <v>44952</v>
      </c>
      <c r="M1338" s="1"/>
      <c r="N1338" s="1"/>
      <c r="O1338" s="1"/>
      <c r="P1338" s="1"/>
      <c r="Q1338" s="1"/>
      <c r="R1338" s="1"/>
    </row>
    <row r="1339" spans="2:18">
      <c r="C1339" s="2" t="s">
        <v>4</v>
      </c>
      <c r="D1339" s="2" t="s">
        <v>676</v>
      </c>
      <c r="E1339" s="3">
        <v>100</v>
      </c>
      <c r="F1339" s="3">
        <v>50</v>
      </c>
      <c r="G1339" s="4">
        <v>44663</v>
      </c>
      <c r="M1339" s="1"/>
      <c r="N1339" s="1"/>
      <c r="O1339" s="1"/>
      <c r="P1339" s="1"/>
      <c r="Q1339" s="1"/>
      <c r="R1339" s="1"/>
    </row>
    <row r="1340" spans="2:18">
      <c r="G1340" s="4"/>
      <c r="M1340" s="1"/>
      <c r="N1340" s="1"/>
      <c r="O1340" s="1"/>
      <c r="P1340" s="1"/>
      <c r="Q1340" s="1"/>
      <c r="R1340" s="1"/>
    </row>
    <row r="1341" spans="2:18" s="12" customFormat="1">
      <c r="B1341" s="12" t="s">
        <v>4644</v>
      </c>
      <c r="C1341" s="13" t="s">
        <v>984</v>
      </c>
      <c r="D1341" s="13" t="s">
        <v>983</v>
      </c>
      <c r="E1341" s="15"/>
      <c r="F1341" s="15">
        <f>SUM(F1342:F1343)</f>
        <v>52</v>
      </c>
      <c r="G1341" s="14">
        <f>G1342</f>
        <v>44557</v>
      </c>
      <c r="M1341" s="13"/>
      <c r="N1341" s="13"/>
      <c r="O1341" s="13"/>
      <c r="P1341" s="13"/>
      <c r="Q1341" s="13"/>
      <c r="R1341" s="13"/>
    </row>
    <row r="1342" spans="2:18">
      <c r="C1342" s="2" t="s">
        <v>18</v>
      </c>
      <c r="D1342" s="2" t="s">
        <v>2168</v>
      </c>
      <c r="E1342" s="3">
        <v>200</v>
      </c>
      <c r="F1342" s="3">
        <v>12</v>
      </c>
      <c r="G1342" s="4">
        <v>44557</v>
      </c>
      <c r="I1342" s="1">
        <v>1300</v>
      </c>
      <c r="J1342" s="1">
        <v>1300</v>
      </c>
    </row>
    <row r="1343" spans="2:18">
      <c r="C1343" s="2" t="s">
        <v>7</v>
      </c>
      <c r="D1343" s="2" t="s">
        <v>2168</v>
      </c>
      <c r="E1343" s="3">
        <v>40</v>
      </c>
      <c r="F1343" s="3">
        <v>40</v>
      </c>
      <c r="G1343" s="4">
        <v>43962</v>
      </c>
      <c r="J1343" s="1">
        <v>1300</v>
      </c>
    </row>
    <row r="1344" spans="2:18">
      <c r="G1344" s="4"/>
    </row>
    <row r="1345" spans="2:18" s="12" customFormat="1">
      <c r="B1345" s="12" t="s">
        <v>817</v>
      </c>
      <c r="C1345" s="13" t="s">
        <v>984</v>
      </c>
      <c r="D1345" s="13" t="s">
        <v>983</v>
      </c>
      <c r="E1345" s="15"/>
      <c r="F1345" s="15">
        <f>SUM(F1346:F1347)</f>
        <v>51.6</v>
      </c>
      <c r="G1345" s="14">
        <f>G1347</f>
        <v>45044</v>
      </c>
      <c r="M1345" s="13"/>
      <c r="N1345" s="13"/>
      <c r="O1345" s="13"/>
      <c r="P1345" s="13"/>
      <c r="Q1345" s="13"/>
      <c r="R1345" s="13"/>
    </row>
    <row r="1346" spans="2:18">
      <c r="C1346" s="2" t="s">
        <v>5</v>
      </c>
      <c r="D1346" s="2" t="s">
        <v>677</v>
      </c>
      <c r="E1346" s="3">
        <v>12.7</v>
      </c>
      <c r="F1346" s="3">
        <f>8/5</f>
        <v>1.6</v>
      </c>
      <c r="G1346" s="4">
        <v>44952</v>
      </c>
    </row>
    <row r="1347" spans="2:18">
      <c r="C1347" s="2" t="s">
        <v>1</v>
      </c>
      <c r="D1347" s="2" t="s">
        <v>0</v>
      </c>
      <c r="E1347" s="3">
        <v>300</v>
      </c>
      <c r="F1347" s="3">
        <f>E1347/6</f>
        <v>50</v>
      </c>
      <c r="G1347" s="4">
        <v>45044</v>
      </c>
      <c r="I1347" s="1">
        <v>2870</v>
      </c>
      <c r="J1347" s="1">
        <v>28700</v>
      </c>
    </row>
    <row r="1348" spans="2:18">
      <c r="G1348" s="4"/>
    </row>
    <row r="1349" spans="2:18" s="12" customFormat="1">
      <c r="B1349" s="12" t="s">
        <v>705</v>
      </c>
      <c r="C1349" s="13" t="s">
        <v>984</v>
      </c>
      <c r="D1349" s="13" t="s">
        <v>983</v>
      </c>
      <c r="E1349" s="15"/>
      <c r="F1349" s="15">
        <f>SUM(F1350:F1353)</f>
        <v>52.375</v>
      </c>
      <c r="G1349" s="14">
        <f>G1351</f>
        <v>44663</v>
      </c>
      <c r="M1349" s="13"/>
      <c r="N1349" s="13"/>
      <c r="O1349" s="13"/>
      <c r="P1349" s="13"/>
      <c r="Q1349" s="13"/>
      <c r="R1349" s="13"/>
    </row>
    <row r="1350" spans="2:18">
      <c r="C1350" s="2" t="s">
        <v>7</v>
      </c>
      <c r="D1350" s="2" t="s">
        <v>704</v>
      </c>
      <c r="E1350" s="3">
        <v>50</v>
      </c>
      <c r="F1350" s="3">
        <v>25</v>
      </c>
      <c r="G1350" s="4">
        <v>44643</v>
      </c>
    </row>
    <row r="1351" spans="2:18">
      <c r="C1351" s="2" t="s">
        <v>18</v>
      </c>
      <c r="D1351" s="2" t="s">
        <v>703</v>
      </c>
      <c r="E1351" s="3">
        <v>125</v>
      </c>
      <c r="F1351" s="3">
        <f>75/8</f>
        <v>9.375</v>
      </c>
      <c r="G1351" s="4">
        <v>44663</v>
      </c>
    </row>
    <row r="1352" spans="2:18">
      <c r="C1352" s="2" t="s">
        <v>7</v>
      </c>
      <c r="D1352" s="2" t="s">
        <v>703</v>
      </c>
      <c r="E1352" s="3">
        <v>54</v>
      </c>
      <c r="F1352" s="3">
        <f>40/5</f>
        <v>8</v>
      </c>
      <c r="G1352" s="4">
        <v>44089</v>
      </c>
    </row>
    <row r="1353" spans="2:18">
      <c r="C1353" s="2" t="s">
        <v>5</v>
      </c>
      <c r="D1353" s="2" t="s">
        <v>703</v>
      </c>
      <c r="E1353" s="3">
        <v>26</v>
      </c>
      <c r="F1353" s="3">
        <v>10</v>
      </c>
      <c r="G1353" s="4">
        <v>43809</v>
      </c>
    </row>
    <row r="1354" spans="2:18">
      <c r="G1354" s="4"/>
    </row>
    <row r="1355" spans="2:18" s="12" customFormat="1">
      <c r="B1355" s="12" t="s">
        <v>10</v>
      </c>
      <c r="C1355" s="13" t="s">
        <v>984</v>
      </c>
      <c r="D1355" s="13" t="s">
        <v>983</v>
      </c>
      <c r="E1355" s="15"/>
      <c r="F1355" s="15">
        <f>SUM(F1356:F1359)</f>
        <v>52.083333333333336</v>
      </c>
      <c r="G1355" s="14">
        <f>G1356</f>
        <v>44721</v>
      </c>
      <c r="M1355" s="13"/>
      <c r="N1355" s="13"/>
      <c r="O1355" s="13"/>
      <c r="P1355" s="13"/>
      <c r="Q1355" s="13"/>
      <c r="R1355" s="13"/>
    </row>
    <row r="1356" spans="2:18">
      <c r="C1356" s="2" t="s">
        <v>9</v>
      </c>
      <c r="D1356" s="2" t="s">
        <v>3</v>
      </c>
      <c r="E1356" s="3">
        <v>90</v>
      </c>
      <c r="F1356" s="3">
        <v>10</v>
      </c>
      <c r="G1356" s="4">
        <v>44721</v>
      </c>
      <c r="I1356" s="1">
        <v>2200</v>
      </c>
      <c r="J1356" s="1">
        <v>2200</v>
      </c>
    </row>
    <row r="1357" spans="2:18">
      <c r="C1357" s="2" t="s">
        <v>8</v>
      </c>
      <c r="D1357" s="2" t="s">
        <v>3</v>
      </c>
      <c r="E1357" s="3">
        <v>210</v>
      </c>
      <c r="F1357" s="3">
        <v>33.333333333333336</v>
      </c>
      <c r="G1357" s="4">
        <v>44432</v>
      </c>
      <c r="I1357" s="1">
        <v>1000</v>
      </c>
      <c r="J1357" s="1">
        <v>2200</v>
      </c>
    </row>
    <row r="1358" spans="2:18">
      <c r="C1358" s="2" t="s">
        <v>7</v>
      </c>
      <c r="D1358" s="2" t="s">
        <v>3</v>
      </c>
      <c r="E1358" s="3">
        <v>25</v>
      </c>
      <c r="F1358" s="3">
        <v>3.75</v>
      </c>
      <c r="G1358" s="4">
        <v>43697</v>
      </c>
      <c r="J1358" s="1">
        <v>2200</v>
      </c>
    </row>
    <row r="1359" spans="2:18">
      <c r="C1359" s="2" t="s">
        <v>5</v>
      </c>
      <c r="D1359" s="2" t="s">
        <v>3</v>
      </c>
      <c r="E1359" s="3">
        <v>10</v>
      </c>
      <c r="F1359" s="3">
        <v>5</v>
      </c>
      <c r="G1359" s="4">
        <v>43456</v>
      </c>
      <c r="J1359" s="1">
        <v>2200</v>
      </c>
    </row>
    <row r="1360" spans="2:18">
      <c r="G1360" s="4"/>
    </row>
    <row r="1361" spans="2:18" s="12" customFormat="1">
      <c r="B1361" s="12" t="s">
        <v>461</v>
      </c>
      <c r="C1361" s="13" t="s">
        <v>984</v>
      </c>
      <c r="D1361" s="13" t="s">
        <v>983</v>
      </c>
      <c r="E1361" s="15"/>
      <c r="F1361" s="15">
        <f>SUM(F1362:F1363)</f>
        <v>50</v>
      </c>
      <c r="G1361" s="14">
        <f>G1362</f>
        <v>44776</v>
      </c>
    </row>
    <row r="1362" spans="2:18">
      <c r="C1362" s="2" t="s">
        <v>8</v>
      </c>
      <c r="D1362" s="2" t="s">
        <v>456</v>
      </c>
      <c r="E1362" s="3">
        <v>90</v>
      </c>
      <c r="F1362" s="3">
        <v>20</v>
      </c>
      <c r="G1362" s="4">
        <v>44776</v>
      </c>
      <c r="M1362" s="1"/>
      <c r="N1362" s="1"/>
      <c r="O1362" s="1"/>
      <c r="P1362" s="1"/>
      <c r="Q1362" s="1"/>
      <c r="R1362" s="1"/>
    </row>
    <row r="1363" spans="2:18">
      <c r="C1363" s="2" t="s">
        <v>18</v>
      </c>
      <c r="D1363" s="2" t="s">
        <v>2168</v>
      </c>
      <c r="E1363" s="3">
        <v>200</v>
      </c>
      <c r="F1363" s="3">
        <v>30</v>
      </c>
      <c r="G1363" s="4">
        <v>44557</v>
      </c>
      <c r="I1363" s="1">
        <v>1300</v>
      </c>
      <c r="J1363" s="1">
        <v>1300</v>
      </c>
      <c r="M1363" s="1"/>
      <c r="N1363" s="1"/>
      <c r="O1363" s="1"/>
      <c r="P1363" s="1"/>
      <c r="Q1363" s="1"/>
      <c r="R1363" s="1"/>
    </row>
    <row r="1364" spans="2:18">
      <c r="G1364" s="4"/>
      <c r="M1364" s="1"/>
      <c r="N1364" s="1"/>
      <c r="O1364" s="1"/>
      <c r="P1364" s="1"/>
      <c r="Q1364" s="1"/>
      <c r="R1364" s="1"/>
    </row>
    <row r="1365" spans="2:18" s="12" customFormat="1">
      <c r="B1365" s="12" t="s">
        <v>511</v>
      </c>
      <c r="C1365" s="13" t="s">
        <v>984</v>
      </c>
      <c r="D1365" s="13" t="s">
        <v>983</v>
      </c>
      <c r="E1365" s="15"/>
      <c r="F1365" s="15">
        <f>SUM(F1366:F1368)</f>
        <v>49</v>
      </c>
      <c r="G1365" s="14">
        <f>G1366</f>
        <v>44152</v>
      </c>
    </row>
    <row r="1366" spans="2:18">
      <c r="C1366" s="2" t="s">
        <v>55</v>
      </c>
      <c r="D1366" s="2" t="s">
        <v>498</v>
      </c>
      <c r="E1366" s="3">
        <v>270</v>
      </c>
      <c r="F1366" s="3">
        <v>22</v>
      </c>
      <c r="G1366" s="4">
        <v>44152</v>
      </c>
      <c r="M1366" s="1"/>
      <c r="N1366" s="1"/>
      <c r="O1366" s="1"/>
      <c r="P1366" s="1"/>
      <c r="Q1366" s="1"/>
      <c r="R1366" s="1"/>
    </row>
    <row r="1367" spans="2:18">
      <c r="C1367" s="2" t="s">
        <v>8</v>
      </c>
      <c r="D1367" s="2" t="s">
        <v>181</v>
      </c>
      <c r="E1367" s="3">
        <v>130</v>
      </c>
      <c r="F1367" s="3">
        <v>12</v>
      </c>
      <c r="G1367" s="4">
        <v>42080</v>
      </c>
      <c r="M1367" s="1"/>
      <c r="N1367" s="1"/>
      <c r="O1367" s="1"/>
      <c r="P1367" s="1"/>
      <c r="Q1367" s="1"/>
      <c r="R1367" s="1"/>
    </row>
    <row r="1368" spans="2:18">
      <c r="C1368" s="2" t="s">
        <v>8</v>
      </c>
      <c r="D1368" s="2" t="s">
        <v>4031</v>
      </c>
      <c r="E1368" s="3">
        <v>90</v>
      </c>
      <c r="F1368" s="3">
        <v>15</v>
      </c>
      <c r="G1368" s="4">
        <v>40354</v>
      </c>
      <c r="M1368" s="1"/>
      <c r="N1368" s="1"/>
      <c r="O1368" s="1"/>
      <c r="P1368" s="1"/>
      <c r="Q1368" s="1"/>
      <c r="R1368" s="1"/>
    </row>
    <row r="1369" spans="2:18">
      <c r="G1369" s="4"/>
      <c r="M1369" s="1"/>
      <c r="N1369" s="1"/>
      <c r="O1369" s="1"/>
      <c r="P1369" s="1"/>
      <c r="Q1369" s="1"/>
      <c r="R1369" s="1"/>
    </row>
    <row r="1370" spans="2:18">
      <c r="B1370" s="12" t="s">
        <v>5206</v>
      </c>
      <c r="C1370" s="13" t="s">
        <v>984</v>
      </c>
      <c r="D1370" s="13" t="s">
        <v>983</v>
      </c>
      <c r="E1370" s="15"/>
      <c r="F1370" s="15">
        <f>SUM(F1371:F1385)</f>
        <v>49.249999999999993</v>
      </c>
      <c r="G1370" s="14">
        <f>G1374</f>
        <v>45041</v>
      </c>
    </row>
    <row r="1371" spans="2:18">
      <c r="C1371" s="2" t="s">
        <v>7</v>
      </c>
      <c r="D1371" s="2" t="s">
        <v>977</v>
      </c>
      <c r="E1371" s="3">
        <v>45</v>
      </c>
      <c r="F1371" s="3">
        <v>10</v>
      </c>
      <c r="G1371" s="4">
        <v>44228</v>
      </c>
    </row>
    <row r="1372" spans="2:18">
      <c r="C1372" s="2" t="s">
        <v>5</v>
      </c>
      <c r="D1372" s="2" t="s">
        <v>977</v>
      </c>
      <c r="E1372" s="3">
        <v>5</v>
      </c>
      <c r="F1372" s="3">
        <v>1</v>
      </c>
      <c r="G1372" s="4">
        <v>43251</v>
      </c>
    </row>
    <row r="1373" spans="2:18">
      <c r="C1373" s="2" t="s">
        <v>5</v>
      </c>
      <c r="D1373" s="2" t="s">
        <v>904</v>
      </c>
      <c r="E1373" s="3">
        <v>14</v>
      </c>
      <c r="F1373" s="3">
        <v>2</v>
      </c>
      <c r="G1373" s="4">
        <v>44131</v>
      </c>
    </row>
    <row r="1374" spans="2:18">
      <c r="C1374" s="2" t="s">
        <v>7</v>
      </c>
      <c r="D1374" s="2" t="s">
        <v>920</v>
      </c>
      <c r="E1374" s="3">
        <v>97.4</v>
      </c>
      <c r="F1374" s="3">
        <f>47/6</f>
        <v>7.833333333333333</v>
      </c>
      <c r="G1374" s="4">
        <v>45041</v>
      </c>
    </row>
    <row r="1375" spans="2:18">
      <c r="C1375" s="2" t="s">
        <v>5</v>
      </c>
      <c r="D1375" s="2" t="s">
        <v>920</v>
      </c>
      <c r="E1375" s="3">
        <v>80</v>
      </c>
      <c r="F1375" s="3">
        <f>40/6</f>
        <v>6.666666666666667</v>
      </c>
      <c r="G1375" s="4">
        <v>44539</v>
      </c>
    </row>
    <row r="1376" spans="2:18">
      <c r="C1376" s="2" t="s">
        <v>4</v>
      </c>
      <c r="D1376" s="2" t="s">
        <v>663</v>
      </c>
      <c r="E1376" s="3">
        <v>12</v>
      </c>
      <c r="F1376" s="3">
        <v>2</v>
      </c>
      <c r="G1376" s="4">
        <v>44971</v>
      </c>
    </row>
    <row r="1377" spans="2:18">
      <c r="C1377" s="2" t="s">
        <v>4</v>
      </c>
      <c r="D1377" s="2" t="s">
        <v>663</v>
      </c>
      <c r="E1377" s="3">
        <v>5</v>
      </c>
      <c r="F1377" s="3">
        <v>1</v>
      </c>
      <c r="G1377" s="4">
        <v>44769</v>
      </c>
    </row>
    <row r="1378" spans="2:18">
      <c r="C1378" s="2" t="s">
        <v>7</v>
      </c>
      <c r="D1378" s="2" t="s">
        <v>535</v>
      </c>
      <c r="E1378" s="3">
        <v>32</v>
      </c>
      <c r="F1378" s="3">
        <v>3</v>
      </c>
      <c r="G1378" s="4">
        <v>44364</v>
      </c>
    </row>
    <row r="1379" spans="2:18">
      <c r="C1379" s="2" t="s">
        <v>5</v>
      </c>
      <c r="D1379" s="2" t="s">
        <v>535</v>
      </c>
      <c r="E1379" s="3">
        <v>10.199999999999999</v>
      </c>
      <c r="F1379" s="3">
        <v>2</v>
      </c>
      <c r="G1379" s="4">
        <v>43732</v>
      </c>
    </row>
    <row r="1380" spans="2:18">
      <c r="C1380" s="2" t="s">
        <v>4</v>
      </c>
      <c r="D1380" s="2" t="s">
        <v>535</v>
      </c>
      <c r="E1380" s="3">
        <v>3</v>
      </c>
      <c r="F1380" s="3">
        <v>0.75</v>
      </c>
      <c r="G1380" s="4">
        <v>43374</v>
      </c>
    </row>
    <row r="1381" spans="2:18">
      <c r="C1381" s="2" t="s">
        <v>7</v>
      </c>
      <c r="D1381" s="2" t="s">
        <v>317</v>
      </c>
      <c r="E1381" s="3">
        <v>40</v>
      </c>
      <c r="F1381" s="3">
        <v>4</v>
      </c>
      <c r="G1381" s="4">
        <v>43419</v>
      </c>
    </row>
    <row r="1382" spans="2:18">
      <c r="C1382" s="2" t="s">
        <v>5</v>
      </c>
      <c r="D1382" s="2" t="s">
        <v>3</v>
      </c>
      <c r="E1382" s="3">
        <v>10.5</v>
      </c>
      <c r="F1382" s="3">
        <v>2</v>
      </c>
      <c r="G1382" s="4">
        <v>42828</v>
      </c>
    </row>
    <row r="1383" spans="2:18">
      <c r="C1383" s="2" t="s">
        <v>4</v>
      </c>
      <c r="D1383" s="2" t="s">
        <v>3</v>
      </c>
      <c r="E1383" s="3">
        <v>2</v>
      </c>
      <c r="F1383" s="3">
        <f>+E1383/3</f>
        <v>0.66666666666666663</v>
      </c>
      <c r="G1383" s="4">
        <v>42521</v>
      </c>
    </row>
    <row r="1384" spans="2:18">
      <c r="C1384" s="96" t="s">
        <v>18</v>
      </c>
      <c r="D1384" s="96" t="s">
        <v>5209</v>
      </c>
      <c r="E1384" s="3">
        <v>27</v>
      </c>
      <c r="F1384" s="3">
        <f>17/3</f>
        <v>5.666666666666667</v>
      </c>
      <c r="G1384" s="4">
        <v>42851</v>
      </c>
      <c r="J1384" s="1">
        <v>210</v>
      </c>
    </row>
    <row r="1385" spans="2:18">
      <c r="C1385" s="96" t="s">
        <v>5</v>
      </c>
      <c r="D1385" s="96" t="s">
        <v>5209</v>
      </c>
      <c r="E1385" s="3">
        <v>3</v>
      </c>
      <c r="F1385" s="3">
        <f>2/3</f>
        <v>0.66666666666666663</v>
      </c>
      <c r="G1385" s="4">
        <v>42220</v>
      </c>
    </row>
    <row r="1386" spans="2:18">
      <c r="G1386" s="4"/>
    </row>
    <row r="1387" spans="2:18" s="12" customFormat="1">
      <c r="B1387" s="12" t="s">
        <v>936</v>
      </c>
      <c r="C1387" s="13" t="s">
        <v>984</v>
      </c>
      <c r="D1387" s="13" t="s">
        <v>983</v>
      </c>
      <c r="E1387" s="15"/>
      <c r="F1387" s="15">
        <f>SUM(F1388:F1391)</f>
        <v>46.917748917748916</v>
      </c>
      <c r="G1387" s="14">
        <f>G1388</f>
        <v>45090</v>
      </c>
      <c r="M1387" s="13"/>
      <c r="N1387" s="13"/>
      <c r="O1387" s="13"/>
      <c r="P1387" s="13"/>
      <c r="Q1387" s="13"/>
      <c r="R1387" s="13"/>
    </row>
    <row r="1388" spans="2:18">
      <c r="C1388" s="2" t="s">
        <v>4</v>
      </c>
      <c r="D1388" s="2" t="s">
        <v>717</v>
      </c>
      <c r="E1388" s="3">
        <v>113</v>
      </c>
      <c r="F1388" s="3">
        <v>8</v>
      </c>
      <c r="G1388" s="4">
        <v>45090</v>
      </c>
    </row>
    <row r="1389" spans="2:18">
      <c r="C1389" s="2" t="s">
        <v>9</v>
      </c>
      <c r="D1389" s="2" t="s">
        <v>23</v>
      </c>
      <c r="E1389" s="3">
        <v>222</v>
      </c>
      <c r="F1389" s="3">
        <f>200/21</f>
        <v>9.5238095238095237</v>
      </c>
      <c r="G1389" s="4">
        <v>44194</v>
      </c>
      <c r="I1389" s="1">
        <v>2500</v>
      </c>
      <c r="J1389" s="1">
        <v>2500</v>
      </c>
    </row>
    <row r="1390" spans="2:18">
      <c r="C1390" s="2" t="s">
        <v>8</v>
      </c>
      <c r="D1390" s="2" t="s">
        <v>23</v>
      </c>
      <c r="E1390" s="3">
        <v>150</v>
      </c>
      <c r="F1390" s="3">
        <f>100/6</f>
        <v>16.666666666666668</v>
      </c>
      <c r="G1390" s="4">
        <v>43885</v>
      </c>
      <c r="I1390" s="1">
        <v>1800</v>
      </c>
      <c r="J1390" s="1">
        <v>2500</v>
      </c>
    </row>
    <row r="1391" spans="2:18">
      <c r="C1391" s="2" t="s">
        <v>8</v>
      </c>
      <c r="D1391" s="2" t="s">
        <v>23</v>
      </c>
      <c r="E1391" s="3">
        <v>200</v>
      </c>
      <c r="F1391" s="3">
        <v>12.727272727272727</v>
      </c>
      <c r="G1391" s="4">
        <v>43452</v>
      </c>
      <c r="I1391" s="1">
        <v>1500</v>
      </c>
      <c r="J1391" s="1">
        <v>2500</v>
      </c>
    </row>
    <row r="1392" spans="2:18">
      <c r="G1392" s="4"/>
    </row>
    <row r="1393" spans="2:18" s="12" customFormat="1">
      <c r="B1393" s="12" t="s">
        <v>1043</v>
      </c>
      <c r="C1393" s="13" t="s">
        <v>984</v>
      </c>
      <c r="D1393" s="13" t="s">
        <v>983</v>
      </c>
      <c r="E1393" s="15"/>
      <c r="F1393" s="15">
        <f>SUM(F1394:F1398)</f>
        <v>47.238095238095241</v>
      </c>
      <c r="G1393" s="14">
        <f>G1395</f>
        <v>44851</v>
      </c>
      <c r="M1393" s="13"/>
      <c r="N1393" s="13"/>
      <c r="O1393" s="13"/>
      <c r="P1393" s="13"/>
      <c r="Q1393" s="13"/>
      <c r="R1393" s="13"/>
    </row>
    <row r="1394" spans="2:18">
      <c r="C1394" s="2" t="s">
        <v>5</v>
      </c>
      <c r="D1394" s="2" t="s">
        <v>742</v>
      </c>
      <c r="E1394" s="3">
        <v>25</v>
      </c>
      <c r="F1394" s="3">
        <f>18/7</f>
        <v>2.5714285714285716</v>
      </c>
      <c r="G1394" s="4">
        <v>44757</v>
      </c>
    </row>
    <row r="1395" spans="2:18">
      <c r="C1395" s="2" t="s">
        <v>5</v>
      </c>
      <c r="D1395" s="2" t="s">
        <v>288</v>
      </c>
      <c r="E1395" s="3">
        <v>32</v>
      </c>
      <c r="F1395" s="3">
        <v>5</v>
      </c>
      <c r="G1395" s="4">
        <v>44851</v>
      </c>
    </row>
    <row r="1396" spans="2:18">
      <c r="C1396" s="2" t="s">
        <v>9</v>
      </c>
      <c r="D1396" s="2" t="s">
        <v>23</v>
      </c>
      <c r="E1396" s="3">
        <v>222</v>
      </c>
      <c r="F1396" s="3">
        <v>10</v>
      </c>
      <c r="G1396" s="4">
        <v>44194</v>
      </c>
      <c r="I1396" s="1">
        <v>2500</v>
      </c>
      <c r="J1396" s="1">
        <v>2500</v>
      </c>
    </row>
    <row r="1397" spans="2:18">
      <c r="C1397" s="2" t="s">
        <v>8</v>
      </c>
      <c r="D1397" s="2" t="s">
        <v>23</v>
      </c>
      <c r="E1397" s="3">
        <v>150</v>
      </c>
      <c r="F1397" s="3">
        <v>16.666666666666668</v>
      </c>
      <c r="G1397" s="4">
        <v>43885</v>
      </c>
      <c r="I1397" s="1">
        <v>1800</v>
      </c>
      <c r="J1397" s="1">
        <v>2500</v>
      </c>
    </row>
    <row r="1398" spans="2:18">
      <c r="C1398" s="2" t="s">
        <v>8</v>
      </c>
      <c r="D1398" s="2" t="s">
        <v>23</v>
      </c>
      <c r="E1398" s="3">
        <v>200</v>
      </c>
      <c r="F1398" s="3">
        <v>13</v>
      </c>
      <c r="G1398" s="4">
        <v>43452</v>
      </c>
      <c r="I1398" s="1">
        <v>1500</v>
      </c>
      <c r="J1398" s="1">
        <v>2500</v>
      </c>
    </row>
    <row r="1399" spans="2:18">
      <c r="G1399" s="4"/>
    </row>
    <row r="1400" spans="2:18" s="12" customFormat="1">
      <c r="B1400" s="12" t="s">
        <v>1077</v>
      </c>
      <c r="C1400" s="13" t="s">
        <v>984</v>
      </c>
      <c r="D1400" s="13" t="s">
        <v>983</v>
      </c>
      <c r="E1400" s="15"/>
      <c r="F1400" s="15">
        <f>SUM(F1401:F1404)</f>
        <v>46.5</v>
      </c>
      <c r="G1400" s="14">
        <f>G1403</f>
        <v>44599</v>
      </c>
    </row>
    <row r="1401" spans="2:18">
      <c r="C1401" s="2" t="s">
        <v>7</v>
      </c>
      <c r="D1401" s="2" t="s">
        <v>462</v>
      </c>
      <c r="E1401" s="3">
        <v>25</v>
      </c>
      <c r="F1401" s="3">
        <v>10</v>
      </c>
      <c r="G1401" s="4">
        <v>43972</v>
      </c>
      <c r="M1401" s="1"/>
      <c r="N1401" s="1"/>
      <c r="O1401" s="1"/>
      <c r="P1401" s="1"/>
      <c r="Q1401" s="1"/>
      <c r="R1401" s="1"/>
    </row>
    <row r="1402" spans="2:18">
      <c r="C1402" s="2" t="s">
        <v>5</v>
      </c>
      <c r="D1402" s="2" t="s">
        <v>462</v>
      </c>
      <c r="E1402" s="3">
        <v>11.5</v>
      </c>
      <c r="F1402" s="3">
        <v>11.5</v>
      </c>
      <c r="G1402" s="4">
        <v>43104</v>
      </c>
      <c r="M1402" s="1"/>
      <c r="N1402" s="1"/>
      <c r="O1402" s="1"/>
      <c r="P1402" s="1"/>
      <c r="Q1402" s="1"/>
      <c r="R1402" s="1"/>
    </row>
    <row r="1403" spans="2:18">
      <c r="C1403" s="2" t="s">
        <v>18</v>
      </c>
      <c r="D1403" s="2" t="s">
        <v>1072</v>
      </c>
      <c r="E1403" s="3">
        <v>40</v>
      </c>
      <c r="F1403" s="3">
        <v>7</v>
      </c>
      <c r="G1403" s="4">
        <v>44599</v>
      </c>
      <c r="M1403" s="1"/>
      <c r="N1403" s="1"/>
      <c r="O1403" s="1"/>
      <c r="P1403" s="1"/>
      <c r="Q1403" s="1"/>
      <c r="R1403" s="1"/>
    </row>
    <row r="1404" spans="2:18">
      <c r="C1404" s="2" t="s">
        <v>7</v>
      </c>
      <c r="D1404" s="2" t="s">
        <v>1072</v>
      </c>
      <c r="E1404" s="3">
        <v>28</v>
      </c>
      <c r="F1404" s="3">
        <v>18</v>
      </c>
      <c r="G1404" s="4">
        <v>44377</v>
      </c>
      <c r="M1404" s="1"/>
      <c r="N1404" s="1"/>
      <c r="O1404" s="1"/>
      <c r="P1404" s="1"/>
      <c r="Q1404" s="1"/>
      <c r="R1404" s="1"/>
    </row>
    <row r="1405" spans="2:18">
      <c r="G1405" s="4"/>
      <c r="M1405" s="1"/>
      <c r="N1405" s="1"/>
      <c r="O1405" s="1"/>
      <c r="P1405" s="1"/>
      <c r="Q1405" s="1"/>
      <c r="R1405" s="1"/>
    </row>
    <row r="1406" spans="2:18" s="12" customFormat="1">
      <c r="B1406" s="12" t="s">
        <v>208</v>
      </c>
      <c r="C1406" s="13" t="s">
        <v>984</v>
      </c>
      <c r="D1406" s="13" t="s">
        <v>983</v>
      </c>
      <c r="E1406" s="15"/>
      <c r="F1406" s="15">
        <f>SUM(F1407:F1408)</f>
        <v>46</v>
      </c>
      <c r="G1406" s="14">
        <f>G1407</f>
        <v>43391</v>
      </c>
      <c r="M1406" s="13"/>
      <c r="N1406" s="13"/>
      <c r="O1406" s="13"/>
      <c r="P1406" s="13"/>
      <c r="Q1406" s="13"/>
      <c r="R1406" s="13"/>
    </row>
    <row r="1407" spans="2:18">
      <c r="C1407" s="2" t="s">
        <v>7</v>
      </c>
      <c r="D1407" s="2" t="s">
        <v>203</v>
      </c>
      <c r="E1407" s="3">
        <v>120</v>
      </c>
      <c r="F1407" s="3">
        <v>30</v>
      </c>
      <c r="G1407" s="4">
        <v>43391</v>
      </c>
    </row>
    <row r="1408" spans="2:18">
      <c r="C1408" s="2" t="s">
        <v>7</v>
      </c>
      <c r="D1408" s="2" t="s">
        <v>203</v>
      </c>
      <c r="E1408" s="3">
        <v>46</v>
      </c>
      <c r="F1408" s="3">
        <v>16</v>
      </c>
      <c r="G1408" s="4">
        <v>42941</v>
      </c>
    </row>
    <row r="1410" spans="2:18" s="12" customFormat="1">
      <c r="B1410" s="12" t="s">
        <v>303</v>
      </c>
      <c r="C1410" s="13" t="s">
        <v>984</v>
      </c>
      <c r="D1410" s="13" t="s">
        <v>983</v>
      </c>
      <c r="E1410" s="15"/>
      <c r="F1410" s="15">
        <f>SUM(F1411:F1412)</f>
        <v>46</v>
      </c>
      <c r="G1410" s="14">
        <f>G1412</f>
        <v>43634</v>
      </c>
      <c r="M1410" s="13"/>
      <c r="N1410" s="13"/>
      <c r="O1410" s="13"/>
      <c r="P1410" s="13"/>
      <c r="Q1410" s="13"/>
      <c r="R1410" s="13"/>
    </row>
    <row r="1411" spans="2:18">
      <c r="C1411" s="2" t="s">
        <v>18</v>
      </c>
      <c r="D1411" s="2" t="s">
        <v>299</v>
      </c>
      <c r="E1411" s="3">
        <v>38</v>
      </c>
      <c r="F1411" s="3">
        <v>6</v>
      </c>
      <c r="G1411" s="4">
        <v>43104</v>
      </c>
    </row>
    <row r="1412" spans="2:18">
      <c r="C1412" s="2" t="s">
        <v>18</v>
      </c>
      <c r="D1412" s="2" t="s">
        <v>34</v>
      </c>
      <c r="E1412" s="3">
        <v>230</v>
      </c>
      <c r="F1412" s="3">
        <v>40</v>
      </c>
      <c r="G1412" s="4">
        <v>43634</v>
      </c>
      <c r="I1412" s="1">
        <v>770</v>
      </c>
      <c r="J1412" s="1">
        <v>770</v>
      </c>
    </row>
    <row r="1413" spans="2:18">
      <c r="G1413" s="4"/>
    </row>
    <row r="1414" spans="2:18" s="12" customFormat="1">
      <c r="B1414" s="12" t="s">
        <v>47</v>
      </c>
      <c r="C1414" s="13" t="s">
        <v>984</v>
      </c>
      <c r="D1414" s="13" t="s">
        <v>983</v>
      </c>
      <c r="E1414" s="15"/>
      <c r="F1414" s="15">
        <f>SUM(F1415:F1416)</f>
        <v>46.285714285714285</v>
      </c>
      <c r="G1414" s="14">
        <f>G1415</f>
        <v>44984</v>
      </c>
      <c r="M1414" s="13"/>
      <c r="N1414" s="13"/>
      <c r="O1414" s="13"/>
      <c r="P1414" s="13"/>
      <c r="Q1414" s="13"/>
      <c r="R1414" s="13"/>
    </row>
    <row r="1415" spans="2:18">
      <c r="C1415" s="2" t="s">
        <v>9</v>
      </c>
      <c r="D1415" s="2" t="s">
        <v>41</v>
      </c>
      <c r="E1415" s="3">
        <v>230</v>
      </c>
      <c r="F1415" s="3">
        <f>170/7</f>
        <v>24.285714285714285</v>
      </c>
      <c r="G1415" s="4">
        <v>44984</v>
      </c>
      <c r="I1415" s="1">
        <v>2000</v>
      </c>
      <c r="J1415" s="1">
        <v>2000</v>
      </c>
    </row>
    <row r="1416" spans="2:18">
      <c r="C1416" s="2" t="s">
        <v>8</v>
      </c>
      <c r="D1416" s="2" t="s">
        <v>41</v>
      </c>
      <c r="E1416" s="3">
        <v>170</v>
      </c>
      <c r="F1416" s="3">
        <v>22</v>
      </c>
      <c r="G1416" s="4">
        <v>44255</v>
      </c>
      <c r="I1416" s="1">
        <v>830</v>
      </c>
      <c r="J1416" s="1">
        <v>2000</v>
      </c>
    </row>
    <row r="1417" spans="2:18">
      <c r="G1417" s="4"/>
    </row>
    <row r="1418" spans="2:18" s="12" customFormat="1">
      <c r="B1418" s="12" t="s">
        <v>707</v>
      </c>
      <c r="C1418" s="13" t="s">
        <v>984</v>
      </c>
      <c r="D1418" s="13" t="s">
        <v>983</v>
      </c>
      <c r="E1418" s="15"/>
      <c r="F1418" s="15">
        <f>SUM(F1419:F1428)</f>
        <v>44.391666666666673</v>
      </c>
      <c r="G1418" s="14">
        <f>G1420</f>
        <v>44663</v>
      </c>
      <c r="M1418" s="13"/>
      <c r="N1418" s="13"/>
      <c r="O1418" s="13"/>
      <c r="P1418" s="13"/>
      <c r="Q1418" s="13"/>
      <c r="R1418" s="13"/>
    </row>
    <row r="1419" spans="2:18">
      <c r="C1419" s="2" t="s">
        <v>5</v>
      </c>
      <c r="D1419" s="2" t="s">
        <v>706</v>
      </c>
      <c r="E1419" s="3">
        <v>20</v>
      </c>
      <c r="F1419" s="3">
        <v>2.5</v>
      </c>
      <c r="G1419" s="4">
        <v>44392</v>
      </c>
    </row>
    <row r="1420" spans="2:18">
      <c r="C1420" s="2" t="s">
        <v>18</v>
      </c>
      <c r="D1420" s="2" t="s">
        <v>610</v>
      </c>
      <c r="E1420" s="3">
        <v>125</v>
      </c>
      <c r="F1420" s="3">
        <f>75/8</f>
        <v>9.375</v>
      </c>
      <c r="G1420" s="4">
        <v>44663</v>
      </c>
    </row>
    <row r="1421" spans="2:18">
      <c r="C1421" s="2" t="s">
        <v>5</v>
      </c>
      <c r="D1421" s="2" t="s">
        <v>610</v>
      </c>
      <c r="E1421" s="3">
        <v>26</v>
      </c>
      <c r="F1421" s="3">
        <f>16/4</f>
        <v>4</v>
      </c>
      <c r="G1421" s="4">
        <v>43809</v>
      </c>
    </row>
    <row r="1422" spans="2:18">
      <c r="C1422" s="2" t="s">
        <v>5</v>
      </c>
      <c r="D1422" s="2" t="s">
        <v>610</v>
      </c>
      <c r="E1422" s="3">
        <v>8</v>
      </c>
      <c r="F1422" s="3">
        <v>2</v>
      </c>
      <c r="G1422" s="4">
        <v>43249</v>
      </c>
    </row>
    <row r="1423" spans="2:18">
      <c r="C1423" s="96" t="s">
        <v>8</v>
      </c>
      <c r="D1423" s="96" t="s">
        <v>2150</v>
      </c>
      <c r="E1423" s="3">
        <v>72.5</v>
      </c>
      <c r="F1423" s="3">
        <v>11</v>
      </c>
      <c r="G1423" s="4">
        <v>43697</v>
      </c>
      <c r="J1423" s="1">
        <v>1600</v>
      </c>
    </row>
    <row r="1424" spans="2:18">
      <c r="C1424" s="96" t="s">
        <v>18</v>
      </c>
      <c r="D1424" s="96" t="s">
        <v>2150</v>
      </c>
      <c r="E1424" s="3">
        <v>40</v>
      </c>
      <c r="F1424" s="3">
        <v>5</v>
      </c>
      <c r="G1424" s="4">
        <v>43069</v>
      </c>
      <c r="J1424" s="1">
        <v>1600</v>
      </c>
    </row>
    <row r="1425" spans="2:18">
      <c r="C1425" s="96" t="s">
        <v>7</v>
      </c>
      <c r="D1425" s="96" t="s">
        <v>2150</v>
      </c>
      <c r="E1425" s="3">
        <v>20</v>
      </c>
      <c r="F1425" s="3">
        <f>13/3</f>
        <v>4.333333333333333</v>
      </c>
      <c r="G1425" s="4">
        <v>42317</v>
      </c>
      <c r="J1425" s="1">
        <v>1600</v>
      </c>
    </row>
    <row r="1426" spans="2:18">
      <c r="C1426" s="96" t="s">
        <v>5</v>
      </c>
      <c r="D1426" s="96" t="s">
        <v>2150</v>
      </c>
      <c r="E1426" s="3">
        <v>8.9</v>
      </c>
      <c r="F1426" s="3">
        <f>E1426/6</f>
        <v>1.4833333333333334</v>
      </c>
      <c r="G1426" s="4">
        <v>41839</v>
      </c>
      <c r="J1426" s="1">
        <v>1600</v>
      </c>
    </row>
    <row r="1427" spans="2:18">
      <c r="C1427" s="96" t="s">
        <v>4</v>
      </c>
      <c r="D1427" s="96" t="s">
        <v>2150</v>
      </c>
      <c r="E1427" s="3">
        <v>3</v>
      </c>
      <c r="F1427" s="3">
        <v>3</v>
      </c>
      <c r="G1427" s="4">
        <v>41416</v>
      </c>
      <c r="J1427" s="1">
        <v>1600</v>
      </c>
    </row>
    <row r="1428" spans="2:18">
      <c r="C1428" s="96" t="s">
        <v>4</v>
      </c>
      <c r="D1428" s="96" t="s">
        <v>2150</v>
      </c>
      <c r="E1428" s="3">
        <v>1.7</v>
      </c>
      <c r="F1428" s="3">
        <v>1.7</v>
      </c>
      <c r="G1428" s="4">
        <v>41277</v>
      </c>
      <c r="J1428" s="1">
        <v>1600</v>
      </c>
    </row>
    <row r="1429" spans="2:18">
      <c r="G1429" s="4"/>
    </row>
    <row r="1430" spans="2:18" s="12" customFormat="1">
      <c r="B1430" s="12" t="s">
        <v>19</v>
      </c>
      <c r="C1430" s="13" t="s">
        <v>984</v>
      </c>
      <c r="D1430" s="13" t="s">
        <v>983</v>
      </c>
      <c r="E1430" s="15"/>
      <c r="F1430" s="15">
        <f>SUM(F1431:F1435)</f>
        <v>43.666666666666671</v>
      </c>
      <c r="G1430" s="14">
        <f>G1431</f>
        <v>44322</v>
      </c>
      <c r="M1430" s="13"/>
      <c r="N1430" s="13"/>
      <c r="O1430" s="13"/>
      <c r="P1430" s="13"/>
      <c r="Q1430" s="13"/>
      <c r="R1430" s="13"/>
    </row>
    <row r="1431" spans="2:18">
      <c r="C1431" s="2" t="s">
        <v>8</v>
      </c>
      <c r="D1431" s="2" t="s">
        <v>15</v>
      </c>
      <c r="E1431" s="3">
        <v>220</v>
      </c>
      <c r="F1431" s="3">
        <v>26.666666666666668</v>
      </c>
      <c r="G1431" s="4">
        <v>44322</v>
      </c>
      <c r="I1431" s="1">
        <v>780</v>
      </c>
      <c r="J1431" s="1">
        <v>780</v>
      </c>
    </row>
    <row r="1432" spans="2:18">
      <c r="C1432" s="2" t="s">
        <v>18</v>
      </c>
      <c r="D1432" s="2" t="s">
        <v>15</v>
      </c>
      <c r="E1432" s="3">
        <v>60</v>
      </c>
      <c r="F1432" s="3">
        <v>10</v>
      </c>
      <c r="G1432" s="4">
        <v>43528</v>
      </c>
    </row>
    <row r="1433" spans="2:18">
      <c r="C1433" s="2" t="s">
        <v>7</v>
      </c>
      <c r="D1433" s="2" t="s">
        <v>15</v>
      </c>
      <c r="E1433" s="3">
        <v>28</v>
      </c>
      <c r="F1433" s="3">
        <v>4</v>
      </c>
      <c r="G1433" s="4">
        <v>43031</v>
      </c>
    </row>
    <row r="1434" spans="2:18">
      <c r="C1434" s="2" t="s">
        <v>5</v>
      </c>
      <c r="D1434" s="2" t="s">
        <v>15</v>
      </c>
      <c r="E1434" s="3">
        <v>10</v>
      </c>
      <c r="F1434" s="3">
        <v>2</v>
      </c>
      <c r="G1434" s="4">
        <v>42508</v>
      </c>
    </row>
    <row r="1435" spans="2:18">
      <c r="C1435" s="2" t="s">
        <v>4</v>
      </c>
      <c r="D1435" s="2" t="s">
        <v>15</v>
      </c>
      <c r="E1435" s="3">
        <v>1.8</v>
      </c>
      <c r="F1435" s="3">
        <v>1</v>
      </c>
      <c r="G1435" s="4">
        <v>41976</v>
      </c>
    </row>
    <row r="1436" spans="2:18">
      <c r="G1436" s="4"/>
    </row>
    <row r="1437" spans="2:18" s="12" customFormat="1">
      <c r="B1437" s="12" t="s">
        <v>5207</v>
      </c>
      <c r="C1437" s="13" t="s">
        <v>984</v>
      </c>
      <c r="D1437" s="13" t="s">
        <v>983</v>
      </c>
      <c r="E1437" s="15"/>
      <c r="F1437" s="15">
        <f>SUM(F1438:F1440)</f>
        <v>41.5</v>
      </c>
      <c r="G1437" s="14">
        <f>G1439</f>
        <v>44984</v>
      </c>
      <c r="M1437" s="13"/>
      <c r="N1437" s="13"/>
      <c r="O1437" s="13"/>
      <c r="P1437" s="13"/>
      <c r="Q1437" s="13"/>
      <c r="R1437" s="13"/>
    </row>
    <row r="1438" spans="2:18">
      <c r="C1438" s="2" t="s">
        <v>5</v>
      </c>
      <c r="D1438" s="2" t="s">
        <v>712</v>
      </c>
      <c r="E1438" s="3">
        <v>50</v>
      </c>
      <c r="F1438" s="3">
        <f>30/12</f>
        <v>2.5</v>
      </c>
      <c r="G1438" s="4">
        <v>44796</v>
      </c>
    </row>
    <row r="1439" spans="2:18">
      <c r="C1439" s="2" t="s">
        <v>9</v>
      </c>
      <c r="D1439" s="2" t="s">
        <v>41</v>
      </c>
      <c r="E1439" s="3">
        <v>230</v>
      </c>
      <c r="F1439" s="3">
        <v>24</v>
      </c>
      <c r="G1439" s="4">
        <v>44984</v>
      </c>
      <c r="I1439" s="1">
        <v>2000</v>
      </c>
      <c r="J1439" s="1">
        <v>2000</v>
      </c>
    </row>
    <row r="1440" spans="2:18">
      <c r="C1440" s="2" t="s">
        <v>18</v>
      </c>
      <c r="D1440" s="2" t="s">
        <v>41</v>
      </c>
      <c r="E1440" s="3">
        <v>100</v>
      </c>
      <c r="F1440" s="3">
        <v>15</v>
      </c>
      <c r="G1440" s="4">
        <v>44025</v>
      </c>
      <c r="J1440" s="1">
        <v>2000</v>
      </c>
    </row>
    <row r="1441" spans="2:18">
      <c r="G1441" s="4"/>
    </row>
    <row r="1442" spans="2:18" s="12" customFormat="1">
      <c r="B1442" s="12" t="s">
        <v>5088</v>
      </c>
      <c r="C1442" s="13" t="s">
        <v>984</v>
      </c>
      <c r="D1442" s="13" t="s">
        <v>983</v>
      </c>
      <c r="E1442" s="15"/>
      <c r="F1442" s="15">
        <f>SUM(F1443:F1447)</f>
        <v>40.549999999999997</v>
      </c>
      <c r="G1442" s="14">
        <f>G1443</f>
        <v>44320</v>
      </c>
      <c r="M1442" s="13"/>
      <c r="N1442" s="13"/>
      <c r="O1442" s="13"/>
      <c r="P1442" s="13"/>
      <c r="Q1442" s="13"/>
      <c r="R1442" s="13"/>
    </row>
    <row r="1443" spans="2:18">
      <c r="B1443" s="84"/>
      <c r="C1443" s="86" t="s">
        <v>8</v>
      </c>
      <c r="D1443" s="86" t="s">
        <v>5084</v>
      </c>
      <c r="E1443" s="3">
        <v>83</v>
      </c>
      <c r="F1443" s="3">
        <f>68/10</f>
        <v>6.8</v>
      </c>
      <c r="G1443" s="4">
        <v>44320</v>
      </c>
      <c r="I1443" s="1">
        <v>3600</v>
      </c>
      <c r="J1443" s="1">
        <v>3600</v>
      </c>
    </row>
    <row r="1444" spans="2:18">
      <c r="C1444" s="86" t="s">
        <v>18</v>
      </c>
      <c r="D1444" s="86" t="s">
        <v>5084</v>
      </c>
      <c r="E1444" s="3">
        <v>100</v>
      </c>
      <c r="F1444" s="3">
        <f>80/8</f>
        <v>10</v>
      </c>
      <c r="G1444" s="4">
        <v>43937</v>
      </c>
      <c r="I1444" s="1">
        <v>1100</v>
      </c>
      <c r="J1444" s="1">
        <v>3600</v>
      </c>
    </row>
    <row r="1445" spans="2:18">
      <c r="C1445" s="86" t="s">
        <v>7</v>
      </c>
      <c r="D1445" s="86" t="s">
        <v>5084</v>
      </c>
      <c r="E1445" s="3">
        <v>40</v>
      </c>
      <c r="F1445" s="3">
        <v>10</v>
      </c>
      <c r="G1445" s="4">
        <v>43522</v>
      </c>
      <c r="J1445" s="1">
        <v>3600</v>
      </c>
    </row>
    <row r="1446" spans="2:18">
      <c r="C1446" s="86" t="s">
        <v>5</v>
      </c>
      <c r="D1446" s="86" t="s">
        <v>5084</v>
      </c>
      <c r="E1446" s="3">
        <v>25</v>
      </c>
      <c r="F1446" s="3">
        <f>E1446/4</f>
        <v>6.25</v>
      </c>
      <c r="G1446" s="4">
        <v>43172</v>
      </c>
      <c r="J1446" s="1">
        <v>3600</v>
      </c>
    </row>
    <row r="1447" spans="2:18">
      <c r="C1447" s="86" t="s">
        <v>5</v>
      </c>
      <c r="D1447" s="86" t="s">
        <v>5084</v>
      </c>
      <c r="E1447" s="3">
        <v>15</v>
      </c>
      <c r="F1447" s="3">
        <f>E1447/2</f>
        <v>7.5</v>
      </c>
      <c r="G1447" s="4">
        <v>42371</v>
      </c>
      <c r="J1447" s="1">
        <v>3600</v>
      </c>
    </row>
    <row r="1449" spans="2:18" s="12" customFormat="1">
      <c r="B1449" s="12" t="s">
        <v>1076</v>
      </c>
      <c r="C1449" s="13" t="s">
        <v>984</v>
      </c>
      <c r="D1449" s="13" t="s">
        <v>983</v>
      </c>
      <c r="E1449" s="15"/>
      <c r="F1449" s="15">
        <f>SUM(F1450:F1452)</f>
        <v>39.625</v>
      </c>
      <c r="G1449" s="14">
        <f>G1450</f>
        <v>44999</v>
      </c>
      <c r="M1449" s="13"/>
      <c r="N1449" s="13"/>
      <c r="O1449" s="13"/>
      <c r="P1449" s="13"/>
      <c r="Q1449" s="13"/>
      <c r="R1449" s="13"/>
    </row>
    <row r="1450" spans="2:18">
      <c r="C1450" s="2" t="s">
        <v>7</v>
      </c>
      <c r="D1450" s="2" t="s">
        <v>964</v>
      </c>
      <c r="E1450" s="3">
        <v>350</v>
      </c>
      <c r="F1450" s="3">
        <v>20</v>
      </c>
      <c r="G1450" s="4">
        <v>44999</v>
      </c>
    </row>
    <row r="1451" spans="2:18">
      <c r="C1451" s="2" t="s">
        <v>8</v>
      </c>
      <c r="D1451" s="2" t="s">
        <v>265</v>
      </c>
      <c r="E1451" s="3">
        <v>111</v>
      </c>
      <c r="F1451" s="3">
        <v>14</v>
      </c>
      <c r="G1451" s="4">
        <v>44622</v>
      </c>
    </row>
    <row r="1452" spans="2:18">
      <c r="C1452" s="2" t="s">
        <v>18</v>
      </c>
      <c r="D1452" s="2" t="s">
        <v>265</v>
      </c>
      <c r="E1452" s="3">
        <v>55</v>
      </c>
      <c r="F1452" s="3">
        <v>5.625</v>
      </c>
      <c r="G1452" s="4">
        <v>44314</v>
      </c>
    </row>
    <row r="1453" spans="2:18">
      <c r="G1453" s="4"/>
    </row>
    <row r="1454" spans="2:18" s="12" customFormat="1">
      <c r="B1454" s="12" t="s">
        <v>1075</v>
      </c>
      <c r="C1454" s="13" t="s">
        <v>984</v>
      </c>
      <c r="D1454" s="13" t="s">
        <v>983</v>
      </c>
      <c r="E1454" s="15"/>
      <c r="F1454" s="15">
        <f>SUM(F1455:F1463)</f>
        <v>40.360606060606067</v>
      </c>
      <c r="G1454" s="14">
        <f>G1455</f>
        <v>44642</v>
      </c>
      <c r="M1454" s="13"/>
      <c r="N1454" s="13"/>
      <c r="O1454" s="13"/>
      <c r="P1454" s="13"/>
      <c r="Q1454" s="13"/>
      <c r="R1454" s="13"/>
    </row>
    <row r="1455" spans="2:18">
      <c r="C1455" s="2" t="s">
        <v>7</v>
      </c>
      <c r="D1455" s="2" t="s">
        <v>89</v>
      </c>
      <c r="E1455" s="3">
        <v>25</v>
      </c>
      <c r="F1455" s="3">
        <f>15/6</f>
        <v>2.5</v>
      </c>
      <c r="G1455" s="4">
        <v>44642</v>
      </c>
    </row>
    <row r="1456" spans="2:18">
      <c r="C1456" s="2" t="s">
        <v>5</v>
      </c>
      <c r="D1456" s="2" t="s">
        <v>89</v>
      </c>
      <c r="E1456" s="3">
        <v>13.5</v>
      </c>
      <c r="F1456" s="3">
        <f>10/6</f>
        <v>1.6666666666666667</v>
      </c>
      <c r="G1456" s="4">
        <v>43978</v>
      </c>
    </row>
    <row r="1457" spans="2:18">
      <c r="C1457" s="2" t="s">
        <v>4</v>
      </c>
      <c r="D1457" s="2" t="s">
        <v>89</v>
      </c>
      <c r="E1457" s="3">
        <v>5.3</v>
      </c>
      <c r="F1457" s="3">
        <v>1.3</v>
      </c>
      <c r="G1457" s="4">
        <v>43398</v>
      </c>
    </row>
    <row r="1458" spans="2:18">
      <c r="C1458" s="2" t="s">
        <v>4</v>
      </c>
      <c r="D1458" s="2" t="s">
        <v>89</v>
      </c>
      <c r="E1458" s="3">
        <v>4</v>
      </c>
      <c r="F1458" s="3">
        <v>1.5</v>
      </c>
      <c r="G1458" s="4">
        <v>43122</v>
      </c>
    </row>
    <row r="1459" spans="2:18">
      <c r="C1459" s="2" t="s">
        <v>9</v>
      </c>
      <c r="D1459" s="2" t="s">
        <v>23</v>
      </c>
      <c r="E1459" s="3">
        <v>222</v>
      </c>
      <c r="F1459" s="3">
        <f>200/21</f>
        <v>9.5238095238095237</v>
      </c>
      <c r="G1459" s="4">
        <v>44194</v>
      </c>
      <c r="I1459" s="1">
        <v>2500</v>
      </c>
      <c r="J1459" s="1">
        <v>2500</v>
      </c>
    </row>
    <row r="1460" spans="2:18">
      <c r="C1460" s="2" t="s">
        <v>8</v>
      </c>
      <c r="D1460" s="2" t="s">
        <v>23</v>
      </c>
      <c r="E1460" s="3">
        <v>200</v>
      </c>
      <c r="F1460" s="3">
        <v>12.727272727272727</v>
      </c>
      <c r="G1460" s="4">
        <v>43452</v>
      </c>
      <c r="I1460" s="1">
        <v>1500</v>
      </c>
      <c r="J1460" s="1">
        <v>2500</v>
      </c>
    </row>
    <row r="1461" spans="2:18">
      <c r="C1461" s="2" t="s">
        <v>18</v>
      </c>
      <c r="D1461" s="2" t="s">
        <v>23</v>
      </c>
      <c r="E1461" s="3">
        <v>50</v>
      </c>
      <c r="F1461" s="3">
        <v>5</v>
      </c>
      <c r="G1461" s="4">
        <v>43051</v>
      </c>
      <c r="J1461" s="1">
        <v>2500</v>
      </c>
    </row>
    <row r="1462" spans="2:18">
      <c r="C1462" s="2" t="s">
        <v>7</v>
      </c>
      <c r="D1462" s="2" t="s">
        <v>23</v>
      </c>
      <c r="E1462" s="3">
        <v>30</v>
      </c>
      <c r="F1462" s="3">
        <v>3.1428571428571428</v>
      </c>
      <c r="G1462" s="4">
        <v>42936</v>
      </c>
      <c r="J1462" s="1">
        <v>2500</v>
      </c>
    </row>
    <row r="1463" spans="2:18">
      <c r="C1463" s="2" t="s">
        <v>5</v>
      </c>
      <c r="D1463" s="2" t="s">
        <v>23</v>
      </c>
      <c r="E1463" s="3">
        <v>30</v>
      </c>
      <c r="F1463" s="3">
        <v>3</v>
      </c>
      <c r="G1463" s="4">
        <v>42674</v>
      </c>
      <c r="J1463" s="1">
        <v>2500</v>
      </c>
    </row>
    <row r="1464" spans="2:18">
      <c r="G1464" s="4"/>
    </row>
    <row r="1465" spans="2:18" s="12" customFormat="1">
      <c r="B1465" s="12" t="s">
        <v>878</v>
      </c>
      <c r="C1465" s="13" t="s">
        <v>984</v>
      </c>
      <c r="D1465" s="13" t="s">
        <v>983</v>
      </c>
      <c r="E1465" s="15"/>
      <c r="F1465" s="15">
        <f>SUM(F1466:F1471)</f>
        <v>38.523809523809526</v>
      </c>
      <c r="G1465" s="14">
        <f>G1466</f>
        <v>44378</v>
      </c>
      <c r="M1465" s="13"/>
      <c r="N1465" s="13"/>
      <c r="O1465" s="13"/>
      <c r="P1465" s="13"/>
      <c r="Q1465" s="13"/>
      <c r="R1465" s="13"/>
    </row>
    <row r="1466" spans="2:18">
      <c r="C1466" s="2" t="s">
        <v>5</v>
      </c>
      <c r="D1466" s="2" t="s">
        <v>876</v>
      </c>
      <c r="E1466" s="3">
        <v>10</v>
      </c>
      <c r="F1466" s="3">
        <v>3</v>
      </c>
      <c r="G1466" s="4">
        <v>44378</v>
      </c>
    </row>
    <row r="1467" spans="2:18">
      <c r="C1467" s="2" t="s">
        <v>5</v>
      </c>
      <c r="D1467" s="2" t="s">
        <v>203</v>
      </c>
      <c r="E1467" s="3">
        <v>5</v>
      </c>
      <c r="F1467" s="3">
        <f>E1467/3</f>
        <v>1.6666666666666667</v>
      </c>
      <c r="G1467" s="4">
        <v>42688</v>
      </c>
    </row>
    <row r="1468" spans="2:18">
      <c r="C1468" s="2" t="s">
        <v>7</v>
      </c>
      <c r="D1468" s="2" t="s">
        <v>82</v>
      </c>
      <c r="E1468" s="3">
        <v>100</v>
      </c>
      <c r="F1468" s="3">
        <v>20</v>
      </c>
      <c r="G1468" s="4">
        <v>43958</v>
      </c>
    </row>
    <row r="1469" spans="2:18">
      <c r="C1469" s="2" t="s">
        <v>4</v>
      </c>
      <c r="D1469" s="2" t="s">
        <v>82</v>
      </c>
      <c r="E1469" s="3">
        <v>49</v>
      </c>
      <c r="F1469" s="3">
        <v>7.5</v>
      </c>
      <c r="G1469" s="4">
        <v>43319</v>
      </c>
    </row>
    <row r="1470" spans="2:18">
      <c r="C1470" s="2" t="s">
        <v>285</v>
      </c>
      <c r="D1470" s="2" t="s">
        <v>82</v>
      </c>
      <c r="E1470" s="3">
        <f>9.5/7</f>
        <v>1.3571428571428572</v>
      </c>
      <c r="F1470" s="3">
        <f>+E1470</f>
        <v>1.3571428571428572</v>
      </c>
      <c r="G1470" s="4">
        <v>43185</v>
      </c>
    </row>
    <row r="1471" spans="2:18">
      <c r="C1471" s="2" t="s">
        <v>5</v>
      </c>
      <c r="D1471" s="2" t="s">
        <v>66</v>
      </c>
      <c r="E1471" s="3">
        <v>50</v>
      </c>
      <c r="F1471" s="3">
        <f>20/4</f>
        <v>5</v>
      </c>
      <c r="G1471" s="4">
        <v>44165</v>
      </c>
    </row>
    <row r="1472" spans="2:18">
      <c r="G1472" s="4"/>
    </row>
    <row r="1473" spans="2:19" s="12" customFormat="1">
      <c r="B1473" s="12" t="s">
        <v>5049</v>
      </c>
      <c r="C1473" s="13" t="s">
        <v>984</v>
      </c>
      <c r="D1473" s="13" t="s">
        <v>983</v>
      </c>
      <c r="E1473" s="15"/>
      <c r="F1473" s="15">
        <f>SUM(F1474:F1475)</f>
        <v>39</v>
      </c>
      <c r="G1473" s="14">
        <f>G1474</f>
        <v>43348</v>
      </c>
      <c r="M1473" s="13"/>
      <c r="N1473" s="13"/>
      <c r="O1473" s="13"/>
      <c r="P1473" s="13"/>
      <c r="Q1473" s="13"/>
      <c r="R1473" s="13"/>
      <c r="S1473" s="12" t="s">
        <v>5069</v>
      </c>
    </row>
    <row r="1474" spans="2:19">
      <c r="B1474" s="84"/>
      <c r="C1474" s="86" t="s">
        <v>5</v>
      </c>
      <c r="D1474" s="86" t="s">
        <v>2157</v>
      </c>
      <c r="E1474" s="3">
        <v>52.3</v>
      </c>
      <c r="F1474" s="3">
        <v>30</v>
      </c>
      <c r="G1474" s="4">
        <v>43348</v>
      </c>
      <c r="J1474" s="1">
        <v>700</v>
      </c>
    </row>
    <row r="1475" spans="2:19">
      <c r="B1475" s="84"/>
      <c r="C1475" s="86" t="s">
        <v>4</v>
      </c>
      <c r="D1475" s="86" t="s">
        <v>2157</v>
      </c>
      <c r="E1475" s="3">
        <v>10.3</v>
      </c>
      <c r="F1475" s="3">
        <v>9</v>
      </c>
      <c r="G1475" s="4">
        <v>42846</v>
      </c>
      <c r="J1475" s="1">
        <v>700</v>
      </c>
    </row>
    <row r="1476" spans="2:19">
      <c r="B1476" s="84"/>
      <c r="C1476" s="86"/>
      <c r="D1476" s="86"/>
      <c r="G1476" s="4"/>
    </row>
    <row r="1477" spans="2:19" s="12" customFormat="1">
      <c r="B1477" s="12" t="s">
        <v>735</v>
      </c>
      <c r="C1477" s="13" t="s">
        <v>984</v>
      </c>
      <c r="D1477" s="13" t="s">
        <v>983</v>
      </c>
      <c r="E1477" s="15"/>
      <c r="F1477" s="15">
        <f>SUM(F1478:F1482)</f>
        <v>38.166666666666664</v>
      </c>
      <c r="G1477" s="14">
        <f>G1478</f>
        <v>44903</v>
      </c>
      <c r="M1477" s="13"/>
      <c r="N1477" s="13"/>
      <c r="O1477" s="13"/>
      <c r="P1477" s="13"/>
      <c r="Q1477" s="13"/>
      <c r="R1477" s="13"/>
    </row>
    <row r="1478" spans="2:19">
      <c r="C1478" s="2" t="s">
        <v>5</v>
      </c>
      <c r="D1478" s="2" t="s">
        <v>734</v>
      </c>
      <c r="E1478" s="3">
        <v>20</v>
      </c>
      <c r="F1478" s="3">
        <f>13/6</f>
        <v>2.1666666666666665</v>
      </c>
      <c r="G1478" s="4">
        <v>44903</v>
      </c>
    </row>
    <row r="1479" spans="2:19">
      <c r="C1479" s="2" t="s">
        <v>5</v>
      </c>
      <c r="D1479" s="2" t="s">
        <v>734</v>
      </c>
      <c r="E1479" s="3">
        <v>11</v>
      </c>
      <c r="F1479" s="3">
        <v>5</v>
      </c>
      <c r="G1479" s="4">
        <v>44313</v>
      </c>
    </row>
    <row r="1480" spans="2:19">
      <c r="C1480" s="2" t="s">
        <v>9</v>
      </c>
      <c r="D1480" s="2" t="s">
        <v>23</v>
      </c>
      <c r="E1480" s="3">
        <v>222</v>
      </c>
      <c r="F1480" s="3">
        <v>10</v>
      </c>
      <c r="G1480" s="4">
        <v>44194</v>
      </c>
      <c r="I1480" s="1">
        <v>2500</v>
      </c>
      <c r="J1480" s="1">
        <v>2500</v>
      </c>
    </row>
    <row r="1481" spans="2:19">
      <c r="C1481" s="2" t="s">
        <v>8</v>
      </c>
      <c r="D1481" s="2" t="s">
        <v>23</v>
      </c>
      <c r="E1481" s="3">
        <v>200</v>
      </c>
      <c r="F1481" s="3">
        <v>13</v>
      </c>
      <c r="G1481" s="4">
        <v>43452</v>
      </c>
      <c r="I1481" s="1">
        <v>1500</v>
      </c>
      <c r="J1481" s="1">
        <v>2500</v>
      </c>
    </row>
    <row r="1482" spans="2:19">
      <c r="C1482" s="2" t="s">
        <v>7</v>
      </c>
      <c r="D1482" s="2" t="s">
        <v>23</v>
      </c>
      <c r="E1482" s="3">
        <v>30</v>
      </c>
      <c r="F1482" s="3">
        <v>8</v>
      </c>
      <c r="G1482" s="4">
        <v>42936</v>
      </c>
    </row>
    <row r="1483" spans="2:19">
      <c r="G1483" s="4"/>
    </row>
    <row r="1484" spans="2:19" s="12" customFormat="1">
      <c r="B1484" s="12" t="s">
        <v>1074</v>
      </c>
      <c r="C1484" s="13" t="s">
        <v>984</v>
      </c>
      <c r="D1484" s="13" t="s">
        <v>983</v>
      </c>
      <c r="E1484" s="15"/>
      <c r="F1484" s="15">
        <f>SUM(F1485:F1489)</f>
        <v>38.4</v>
      </c>
      <c r="G1484" s="14">
        <f>G1485</f>
        <v>44698</v>
      </c>
      <c r="M1484" s="13"/>
      <c r="N1484" s="13"/>
      <c r="O1484" s="13"/>
      <c r="P1484" s="13"/>
      <c r="Q1484" s="13"/>
      <c r="R1484" s="13"/>
    </row>
    <row r="1485" spans="2:19">
      <c r="C1485" s="2" t="s">
        <v>5</v>
      </c>
      <c r="D1485" s="2" t="s">
        <v>785</v>
      </c>
      <c r="E1485" s="3">
        <v>12.8</v>
      </c>
      <c r="F1485" s="3">
        <v>6.8</v>
      </c>
      <c r="G1485" s="4">
        <v>44698</v>
      </c>
    </row>
    <row r="1486" spans="2:19">
      <c r="C1486" s="2" t="s">
        <v>5</v>
      </c>
      <c r="D1486" s="2" t="s">
        <v>552</v>
      </c>
      <c r="E1486" s="3">
        <v>14</v>
      </c>
      <c r="F1486" s="3">
        <f>8/5</f>
        <v>1.6</v>
      </c>
      <c r="G1486" s="4">
        <v>44447</v>
      </c>
    </row>
    <row r="1487" spans="2:19">
      <c r="C1487" s="2" t="s">
        <v>5</v>
      </c>
      <c r="D1487" s="2" t="s">
        <v>552</v>
      </c>
      <c r="E1487" s="3">
        <v>12</v>
      </c>
      <c r="F1487" s="3">
        <f>8/4</f>
        <v>2</v>
      </c>
      <c r="G1487" s="4">
        <v>43532</v>
      </c>
    </row>
    <row r="1488" spans="2:19">
      <c r="C1488" s="2" t="s">
        <v>9</v>
      </c>
      <c r="D1488" s="2" t="s">
        <v>498</v>
      </c>
      <c r="E1488" s="3">
        <v>206</v>
      </c>
      <c r="F1488" s="3">
        <v>14</v>
      </c>
      <c r="G1488" s="4">
        <v>43725</v>
      </c>
    </row>
    <row r="1489" spans="2:18">
      <c r="C1489" s="2" t="s">
        <v>18</v>
      </c>
      <c r="D1489" s="2" t="s">
        <v>317</v>
      </c>
      <c r="E1489" s="3">
        <v>110</v>
      </c>
      <c r="F1489" s="3">
        <v>14</v>
      </c>
      <c r="G1489" s="4">
        <v>44369</v>
      </c>
    </row>
    <row r="1490" spans="2:18">
      <c r="G1490" s="4"/>
    </row>
    <row r="1491" spans="2:18" s="12" customFormat="1">
      <c r="B1491" s="12" t="s">
        <v>1073</v>
      </c>
      <c r="C1491" s="13" t="s">
        <v>984</v>
      </c>
      <c r="D1491" s="13" t="s">
        <v>983</v>
      </c>
      <c r="E1491" s="15"/>
      <c r="F1491" s="15">
        <f>SUM(F1492:F1493)</f>
        <v>38</v>
      </c>
      <c r="G1491" s="14">
        <f>G1492</f>
        <v>44812</v>
      </c>
      <c r="M1491" s="13"/>
      <c r="N1491" s="13"/>
      <c r="O1491" s="13"/>
      <c r="P1491" s="13"/>
      <c r="Q1491" s="13"/>
      <c r="R1491" s="13"/>
    </row>
    <row r="1492" spans="2:18">
      <c r="C1492" s="2" t="s">
        <v>7</v>
      </c>
      <c r="D1492" s="2" t="s">
        <v>999</v>
      </c>
      <c r="E1492" s="3">
        <v>38</v>
      </c>
      <c r="F1492" s="3">
        <v>18</v>
      </c>
      <c r="G1492" s="4">
        <v>44812</v>
      </c>
    </row>
    <row r="1493" spans="2:18">
      <c r="C1493" s="2" t="s">
        <v>18</v>
      </c>
      <c r="D1493" s="2" t="s">
        <v>1072</v>
      </c>
      <c r="E1493" s="3">
        <v>40</v>
      </c>
      <c r="F1493" s="3">
        <v>20</v>
      </c>
      <c r="G1493" s="4">
        <v>44599</v>
      </c>
    </row>
    <row r="1494" spans="2:18">
      <c r="G1494" s="4"/>
    </row>
    <row r="1495" spans="2:18" s="12" customFormat="1">
      <c r="B1495" s="12" t="s">
        <v>0</v>
      </c>
      <c r="C1495" s="13" t="s">
        <v>984</v>
      </c>
      <c r="D1495" s="13" t="s">
        <v>983</v>
      </c>
      <c r="E1495" s="15"/>
      <c r="F1495" s="15">
        <f>SUM(F1496:F1499)</f>
        <v>36.666666666666664</v>
      </c>
      <c r="G1495" s="14">
        <f>G1496</f>
        <v>45027</v>
      </c>
      <c r="M1495" s="13"/>
      <c r="N1495" s="13"/>
      <c r="O1495" s="13"/>
      <c r="P1495" s="13"/>
      <c r="Q1495" s="13"/>
      <c r="R1495" s="13"/>
    </row>
    <row r="1496" spans="2:18">
      <c r="C1496" s="2" t="s">
        <v>5</v>
      </c>
      <c r="D1496" s="2" t="s">
        <v>695</v>
      </c>
      <c r="E1496" s="3">
        <v>21</v>
      </c>
      <c r="F1496" s="3">
        <f>11/3</f>
        <v>3.6666666666666665</v>
      </c>
      <c r="G1496" s="4">
        <v>45027</v>
      </c>
    </row>
    <row r="1497" spans="2:18">
      <c r="C1497" s="2" t="s">
        <v>4</v>
      </c>
      <c r="D1497" s="2" t="s">
        <v>695</v>
      </c>
      <c r="E1497" s="3">
        <v>5</v>
      </c>
      <c r="F1497" s="3">
        <v>3</v>
      </c>
      <c r="G1497" s="4">
        <v>44888</v>
      </c>
    </row>
    <row r="1498" spans="2:18">
      <c r="C1498" s="2" t="s">
        <v>5</v>
      </c>
      <c r="D1498" s="2" t="s">
        <v>708</v>
      </c>
      <c r="E1498" s="3">
        <v>23.5</v>
      </c>
      <c r="F1498" s="3">
        <v>15</v>
      </c>
      <c r="G1498" s="4">
        <v>44875</v>
      </c>
    </row>
    <row r="1499" spans="2:18">
      <c r="C1499" s="2" t="s">
        <v>7</v>
      </c>
      <c r="D1499" s="2" t="s">
        <v>822</v>
      </c>
      <c r="E1499" s="3">
        <v>27</v>
      </c>
      <c r="F1499" s="3">
        <v>15</v>
      </c>
      <c r="G1499" s="4">
        <v>44882</v>
      </c>
    </row>
    <row r="1500" spans="2:18">
      <c r="G1500" s="4"/>
    </row>
    <row r="1501" spans="2:18" s="12" customFormat="1">
      <c r="B1501" s="12" t="s">
        <v>1071</v>
      </c>
      <c r="C1501" s="13" t="s">
        <v>984</v>
      </c>
      <c r="D1501" s="13" t="s">
        <v>983</v>
      </c>
      <c r="E1501" s="15"/>
      <c r="F1501" s="15">
        <f>SUM(F1502:F1510)</f>
        <v>37.314285714285717</v>
      </c>
      <c r="G1501" s="14">
        <f>G1505</f>
        <v>44860</v>
      </c>
    </row>
    <row r="1502" spans="2:18">
      <c r="C1502" s="2" t="s">
        <v>5</v>
      </c>
      <c r="D1502" s="2" t="s">
        <v>667</v>
      </c>
      <c r="E1502" s="3">
        <v>12.6</v>
      </c>
      <c r="F1502" s="3">
        <f>6.6/3</f>
        <v>2.1999999999999997</v>
      </c>
      <c r="G1502" s="4">
        <v>44579</v>
      </c>
      <c r="M1502" s="1"/>
      <c r="N1502" s="1"/>
      <c r="O1502" s="1"/>
      <c r="P1502" s="1"/>
      <c r="Q1502" s="1"/>
      <c r="R1502" s="1"/>
    </row>
    <row r="1503" spans="2:18">
      <c r="C1503" s="2" t="s">
        <v>4</v>
      </c>
      <c r="D1503" s="2" t="s">
        <v>667</v>
      </c>
      <c r="E1503" s="3">
        <v>3</v>
      </c>
      <c r="F1503" s="3">
        <v>1</v>
      </c>
      <c r="G1503" s="4">
        <v>43999</v>
      </c>
      <c r="M1503" s="1"/>
      <c r="N1503" s="1"/>
      <c r="O1503" s="1"/>
      <c r="P1503" s="1"/>
      <c r="Q1503" s="1"/>
      <c r="R1503" s="1"/>
    </row>
    <row r="1504" spans="2:18">
      <c r="C1504" s="2" t="s">
        <v>4</v>
      </c>
      <c r="D1504" s="2" t="s">
        <v>662</v>
      </c>
      <c r="E1504" s="3">
        <v>12.3</v>
      </c>
      <c r="F1504" s="3">
        <v>3</v>
      </c>
      <c r="G1504" s="4">
        <v>44622</v>
      </c>
      <c r="M1504" s="1"/>
      <c r="N1504" s="1"/>
      <c r="O1504" s="1"/>
      <c r="P1504" s="1"/>
      <c r="Q1504" s="1"/>
      <c r="R1504" s="1"/>
    </row>
    <row r="1505" spans="2:18">
      <c r="C1505" s="2" t="s">
        <v>5</v>
      </c>
      <c r="D1505" s="2" t="s">
        <v>653</v>
      </c>
      <c r="E1505" s="3">
        <v>12</v>
      </c>
      <c r="F1505" s="3">
        <v>2</v>
      </c>
      <c r="G1505" s="4">
        <v>44860</v>
      </c>
      <c r="M1505" s="1"/>
      <c r="N1505" s="1"/>
      <c r="O1505" s="1"/>
      <c r="P1505" s="1"/>
      <c r="Q1505" s="1"/>
      <c r="R1505" s="1"/>
    </row>
    <row r="1506" spans="2:18">
      <c r="C1506" s="2" t="s">
        <v>4</v>
      </c>
      <c r="D1506" s="2" t="s">
        <v>653</v>
      </c>
      <c r="E1506" s="3">
        <v>2.8</v>
      </c>
      <c r="F1506" s="3">
        <v>1.4</v>
      </c>
      <c r="G1506" s="4">
        <v>44215</v>
      </c>
      <c r="M1506" s="1"/>
      <c r="N1506" s="1"/>
      <c r="O1506" s="1"/>
      <c r="P1506" s="1"/>
      <c r="Q1506" s="1"/>
      <c r="R1506" s="1"/>
    </row>
    <row r="1507" spans="2:18">
      <c r="C1507" s="2" t="s">
        <v>285</v>
      </c>
      <c r="D1507" s="2" t="s">
        <v>593</v>
      </c>
      <c r="E1507" s="3">
        <v>2</v>
      </c>
      <c r="F1507" s="3">
        <v>1</v>
      </c>
      <c r="G1507" s="4">
        <v>44223</v>
      </c>
      <c r="M1507" s="1"/>
      <c r="N1507" s="1"/>
      <c r="O1507" s="1"/>
      <c r="P1507" s="1"/>
      <c r="Q1507" s="1"/>
      <c r="R1507" s="1"/>
    </row>
    <row r="1508" spans="2:18">
      <c r="C1508" s="2" t="s">
        <v>18</v>
      </c>
      <c r="D1508" s="2" t="s">
        <v>34</v>
      </c>
      <c r="E1508" s="3">
        <v>230</v>
      </c>
      <c r="F1508" s="3">
        <f>110/7</f>
        <v>15.714285714285714</v>
      </c>
      <c r="G1508" s="4">
        <v>43634</v>
      </c>
      <c r="M1508" s="1"/>
      <c r="N1508" s="1"/>
      <c r="O1508" s="1"/>
      <c r="P1508" s="1"/>
      <c r="Q1508" s="1"/>
      <c r="R1508" s="1"/>
    </row>
    <row r="1509" spans="2:18">
      <c r="C1509" s="2" t="s">
        <v>7</v>
      </c>
      <c r="D1509" s="2" t="s">
        <v>34</v>
      </c>
      <c r="E1509" s="3">
        <v>45</v>
      </c>
      <c r="F1509" s="3">
        <v>6</v>
      </c>
      <c r="G1509" s="4">
        <v>43293</v>
      </c>
      <c r="M1509" s="1"/>
      <c r="N1509" s="1"/>
      <c r="O1509" s="1"/>
      <c r="P1509" s="1"/>
      <c r="Q1509" s="1"/>
      <c r="R1509" s="1"/>
    </row>
    <row r="1510" spans="2:18">
      <c r="C1510" s="2" t="s">
        <v>5</v>
      </c>
      <c r="D1510" s="2" t="s">
        <v>34</v>
      </c>
      <c r="E1510" s="3">
        <v>18</v>
      </c>
      <c r="F1510" s="3">
        <v>5</v>
      </c>
      <c r="G1510" s="4">
        <v>42983</v>
      </c>
      <c r="M1510" s="1"/>
      <c r="N1510" s="1"/>
      <c r="O1510" s="1"/>
      <c r="P1510" s="1"/>
      <c r="Q1510" s="1"/>
      <c r="R1510" s="1"/>
    </row>
    <row r="1511" spans="2:18">
      <c r="G1511" s="4"/>
      <c r="M1511" s="1"/>
      <c r="N1511" s="1"/>
      <c r="O1511" s="1"/>
      <c r="P1511" s="1"/>
      <c r="Q1511" s="1"/>
      <c r="R1511" s="1"/>
    </row>
    <row r="1512" spans="2:18" s="12" customFormat="1">
      <c r="B1512" s="12" t="s">
        <v>241</v>
      </c>
      <c r="C1512" s="13" t="s">
        <v>984</v>
      </c>
      <c r="D1512" s="13" t="s">
        <v>983</v>
      </c>
      <c r="E1512" s="15"/>
      <c r="F1512" s="15">
        <f>SUM(F1513:F1516)</f>
        <v>35.666666666666664</v>
      </c>
      <c r="G1512" s="14">
        <f>G1515</f>
        <v>42941</v>
      </c>
      <c r="M1512" s="13"/>
      <c r="N1512" s="13"/>
      <c r="O1512" s="13"/>
      <c r="P1512" s="13"/>
      <c r="Q1512" s="13"/>
      <c r="R1512" s="13"/>
    </row>
    <row r="1513" spans="2:18">
      <c r="C1513" s="2" t="s">
        <v>18</v>
      </c>
      <c r="D1513" s="2" t="s">
        <v>239</v>
      </c>
      <c r="E1513" s="3">
        <v>100</v>
      </c>
      <c r="F1513" s="3">
        <v>20</v>
      </c>
      <c r="G1513" s="4">
        <v>42735</v>
      </c>
    </row>
    <row r="1514" spans="2:18">
      <c r="C1514" s="2" t="s">
        <v>7</v>
      </c>
      <c r="D1514" s="2" t="s">
        <v>239</v>
      </c>
      <c r="E1514" s="3">
        <v>22</v>
      </c>
      <c r="F1514" s="3">
        <v>8</v>
      </c>
      <c r="G1514" s="4">
        <v>41821</v>
      </c>
    </row>
    <row r="1515" spans="2:18">
      <c r="C1515" s="2" t="s">
        <v>7</v>
      </c>
      <c r="D1515" s="2" t="s">
        <v>203</v>
      </c>
      <c r="E1515" s="3">
        <v>46</v>
      </c>
      <c r="F1515" s="3">
        <v>6</v>
      </c>
      <c r="G1515" s="4">
        <v>42941</v>
      </c>
    </row>
    <row r="1516" spans="2:18">
      <c r="C1516" s="2" t="s">
        <v>5</v>
      </c>
      <c r="D1516" s="2" t="s">
        <v>203</v>
      </c>
      <c r="E1516" s="3">
        <v>5</v>
      </c>
      <c r="F1516" s="3">
        <f>E1516/3</f>
        <v>1.6666666666666667</v>
      </c>
      <c r="G1516" s="4">
        <v>42688</v>
      </c>
    </row>
    <row r="1517" spans="2:18">
      <c r="G1517" s="4"/>
    </row>
    <row r="1518" spans="2:18" s="12" customFormat="1">
      <c r="B1518" s="12" t="s">
        <v>512</v>
      </c>
      <c r="C1518" s="13" t="s">
        <v>984</v>
      </c>
      <c r="D1518" s="13" t="s">
        <v>983</v>
      </c>
      <c r="E1518" s="15"/>
      <c r="F1518" s="15">
        <f>SUM(F1519:F1520)</f>
        <v>36</v>
      </c>
      <c r="G1518" s="14">
        <f>G1519</f>
        <v>44152</v>
      </c>
    </row>
    <row r="1519" spans="2:18">
      <c r="C1519" s="2" t="s">
        <v>55</v>
      </c>
      <c r="D1519" s="2" t="s">
        <v>498</v>
      </c>
      <c r="E1519" s="3">
        <v>270</v>
      </c>
      <c r="F1519" s="3">
        <v>22</v>
      </c>
      <c r="G1519" s="4">
        <v>44152</v>
      </c>
      <c r="M1519" s="1"/>
      <c r="N1519" s="1"/>
      <c r="O1519" s="1"/>
      <c r="P1519" s="1"/>
      <c r="Q1519" s="1"/>
      <c r="R1519" s="1"/>
    </row>
    <row r="1520" spans="2:18">
      <c r="C1520" s="2" t="s">
        <v>9</v>
      </c>
      <c r="D1520" s="2" t="s">
        <v>498</v>
      </c>
      <c r="E1520" s="3">
        <v>206</v>
      </c>
      <c r="F1520" s="3">
        <v>14</v>
      </c>
      <c r="G1520" s="4">
        <v>43725</v>
      </c>
      <c r="M1520" s="1"/>
      <c r="N1520" s="1"/>
      <c r="O1520" s="1"/>
      <c r="P1520" s="1"/>
      <c r="Q1520" s="1"/>
      <c r="R1520" s="1"/>
    </row>
    <row r="1521" spans="2:18">
      <c r="G1521" s="4"/>
      <c r="M1521" s="1"/>
      <c r="N1521" s="1"/>
      <c r="O1521" s="1"/>
      <c r="P1521" s="1"/>
      <c r="Q1521" s="1"/>
      <c r="R1521" s="1"/>
    </row>
    <row r="1522" spans="2:18" s="12" customFormat="1">
      <c r="B1522" s="12" t="s">
        <v>376</v>
      </c>
      <c r="C1522" s="13" t="s">
        <v>984</v>
      </c>
      <c r="D1522" s="13" t="s">
        <v>983</v>
      </c>
      <c r="E1522" s="15"/>
      <c r="F1522" s="15">
        <f>SUM(F1523:F1524)</f>
        <v>36.25</v>
      </c>
      <c r="G1522" s="14">
        <f>G1523</f>
        <v>44602</v>
      </c>
    </row>
    <row r="1523" spans="2:18">
      <c r="C1523" s="2" t="s">
        <v>7</v>
      </c>
      <c r="D1523" s="2" t="s">
        <v>370</v>
      </c>
      <c r="E1523" s="3">
        <v>120</v>
      </c>
      <c r="F1523" s="3">
        <f>90/8</f>
        <v>11.25</v>
      </c>
      <c r="G1523" s="4">
        <v>44602</v>
      </c>
      <c r="M1523" s="1"/>
      <c r="N1523" s="1"/>
      <c r="O1523" s="1"/>
      <c r="P1523" s="1"/>
      <c r="Q1523" s="1"/>
      <c r="R1523" s="1"/>
    </row>
    <row r="1524" spans="2:18">
      <c r="C1524" s="2" t="s">
        <v>5</v>
      </c>
      <c r="D1524" s="2" t="s">
        <v>370</v>
      </c>
      <c r="E1524" s="3">
        <v>50</v>
      </c>
      <c r="F1524" s="3">
        <v>25</v>
      </c>
      <c r="G1524" s="4">
        <v>43039</v>
      </c>
      <c r="M1524" s="1"/>
      <c r="N1524" s="1"/>
      <c r="O1524" s="1"/>
      <c r="P1524" s="1"/>
      <c r="Q1524" s="1"/>
      <c r="R1524" s="1"/>
    </row>
    <row r="1525" spans="2:18">
      <c r="G1525" s="4"/>
      <c r="M1525" s="1"/>
      <c r="N1525" s="1"/>
      <c r="O1525" s="1"/>
      <c r="P1525" s="1"/>
      <c r="Q1525" s="1"/>
      <c r="R1525" s="1"/>
    </row>
    <row r="1526" spans="2:18" s="12" customFormat="1">
      <c r="B1526" s="12" t="s">
        <v>870</v>
      </c>
      <c r="C1526" s="13" t="s">
        <v>984</v>
      </c>
      <c r="D1526" s="13" t="s">
        <v>983</v>
      </c>
      <c r="E1526" s="15"/>
      <c r="F1526" s="15">
        <f>SUM(F1527:F1529)</f>
        <v>36</v>
      </c>
      <c r="G1526" s="14">
        <f>G1527</f>
        <v>44860</v>
      </c>
      <c r="M1526" s="13"/>
      <c r="N1526" s="13"/>
      <c r="O1526" s="13"/>
      <c r="P1526" s="13"/>
      <c r="Q1526" s="13"/>
      <c r="R1526" s="13"/>
    </row>
    <row r="1527" spans="2:18">
      <c r="C1527" s="2" t="s">
        <v>5</v>
      </c>
      <c r="D1527" s="2" t="s">
        <v>653</v>
      </c>
      <c r="E1527" s="3">
        <v>12</v>
      </c>
      <c r="F1527" s="3">
        <v>3</v>
      </c>
      <c r="G1527" s="4">
        <v>44860</v>
      </c>
    </row>
    <row r="1528" spans="2:18">
      <c r="C1528" s="2" t="s">
        <v>7</v>
      </c>
      <c r="D1528" s="2" t="s">
        <v>215</v>
      </c>
      <c r="E1528" s="3">
        <v>150</v>
      </c>
      <c r="F1528" s="3">
        <v>20</v>
      </c>
      <c r="G1528" s="4">
        <v>43556</v>
      </c>
    </row>
    <row r="1529" spans="2:18">
      <c r="C1529" s="2" t="s">
        <v>5</v>
      </c>
      <c r="D1529" s="2" t="s">
        <v>215</v>
      </c>
      <c r="E1529" s="3">
        <v>56</v>
      </c>
      <c r="F1529" s="3">
        <v>13</v>
      </c>
      <c r="G1529" s="4">
        <v>43174</v>
      </c>
    </row>
    <row r="1530" spans="2:18">
      <c r="G1530" s="4"/>
    </row>
    <row r="1531" spans="2:18" s="12" customFormat="1">
      <c r="B1531" s="12" t="s">
        <v>947</v>
      </c>
      <c r="C1531" s="13" t="s">
        <v>984</v>
      </c>
      <c r="D1531" s="13" t="s">
        <v>983</v>
      </c>
      <c r="E1531" s="15"/>
      <c r="F1531" s="15">
        <f>SUM(F1532:F1534)</f>
        <v>35</v>
      </c>
      <c r="G1531" s="14">
        <f>G1532</f>
        <v>44671</v>
      </c>
      <c r="M1531" s="13"/>
      <c r="N1531" s="13"/>
      <c r="O1531" s="13"/>
      <c r="P1531" s="13"/>
      <c r="Q1531" s="13"/>
      <c r="R1531" s="13"/>
    </row>
    <row r="1532" spans="2:18">
      <c r="C1532" s="2" t="s">
        <v>5</v>
      </c>
      <c r="D1532" s="2" t="s">
        <v>855</v>
      </c>
      <c r="E1532" s="3">
        <v>44</v>
      </c>
      <c r="F1532" s="3">
        <v>10</v>
      </c>
      <c r="G1532" s="4">
        <v>44671</v>
      </c>
    </row>
    <row r="1533" spans="2:18">
      <c r="C1533" s="2" t="s">
        <v>18</v>
      </c>
      <c r="D1533" s="2" t="s">
        <v>41</v>
      </c>
      <c r="E1533" s="3">
        <v>100</v>
      </c>
      <c r="F1533" s="3">
        <f>60/4</f>
        <v>15</v>
      </c>
      <c r="G1533" s="4">
        <v>44025</v>
      </c>
    </row>
    <row r="1534" spans="2:18">
      <c r="C1534" s="2" t="s">
        <v>7</v>
      </c>
      <c r="D1534" s="2" t="s">
        <v>41</v>
      </c>
      <c r="E1534" s="3">
        <f>42</f>
        <v>42</v>
      </c>
      <c r="F1534" s="3">
        <v>10</v>
      </c>
      <c r="G1534" s="4">
        <v>43144</v>
      </c>
    </row>
    <row r="1536" spans="2:18" s="12" customFormat="1">
      <c r="B1536" s="12" t="s">
        <v>134</v>
      </c>
      <c r="C1536" s="13" t="s">
        <v>984</v>
      </c>
      <c r="D1536" s="13" t="s">
        <v>983</v>
      </c>
      <c r="E1536" s="15"/>
      <c r="F1536" s="15">
        <f>SUM(F1537:F1539)</f>
        <v>34.5</v>
      </c>
      <c r="G1536" s="14">
        <f>G1537</f>
        <v>45008</v>
      </c>
      <c r="M1536" s="13"/>
      <c r="N1536" s="13"/>
      <c r="O1536" s="13"/>
      <c r="P1536" s="13"/>
      <c r="Q1536" s="13"/>
      <c r="R1536" s="13"/>
    </row>
    <row r="1537" spans="2:18">
      <c r="C1537" s="2" t="s">
        <v>7</v>
      </c>
      <c r="D1537" s="2" t="s">
        <v>133</v>
      </c>
      <c r="E1537" s="3">
        <v>23.5</v>
      </c>
      <c r="F1537" s="3">
        <f>14/4</f>
        <v>3.5</v>
      </c>
      <c r="G1537" s="4">
        <v>45008</v>
      </c>
    </row>
    <row r="1538" spans="2:18">
      <c r="C1538" s="2" t="s">
        <v>513</v>
      </c>
      <c r="D1538" s="2" t="s">
        <v>4031</v>
      </c>
      <c r="E1538" s="3">
        <v>56</v>
      </c>
      <c r="F1538" s="3">
        <f>E1538/2</f>
        <v>28</v>
      </c>
      <c r="G1538" s="4">
        <v>41183</v>
      </c>
    </row>
    <row r="1539" spans="2:18">
      <c r="C1539" s="86" t="s">
        <v>7</v>
      </c>
      <c r="D1539" s="86" t="s">
        <v>2155</v>
      </c>
      <c r="E1539" s="3">
        <v>40</v>
      </c>
      <c r="F1539" s="3">
        <v>3</v>
      </c>
      <c r="G1539" s="4">
        <v>43720</v>
      </c>
      <c r="J1539" s="1">
        <v>3400</v>
      </c>
    </row>
    <row r="1540" spans="2:18">
      <c r="G1540" s="4"/>
    </row>
    <row r="1541" spans="2:18" s="12" customFormat="1">
      <c r="B1541" s="12" t="s">
        <v>506</v>
      </c>
      <c r="C1541" s="13" t="s">
        <v>984</v>
      </c>
      <c r="D1541" s="13" t="s">
        <v>983</v>
      </c>
      <c r="E1541" s="15"/>
      <c r="F1541" s="15">
        <f>SUM(F1542:F1543)</f>
        <v>34</v>
      </c>
      <c r="G1541" s="14">
        <f>G1542</f>
        <v>43725</v>
      </c>
    </row>
    <row r="1542" spans="2:18">
      <c r="C1542" s="2" t="s">
        <v>9</v>
      </c>
      <c r="D1542" s="2" t="s">
        <v>498</v>
      </c>
      <c r="E1542" s="3">
        <v>206</v>
      </c>
      <c r="F1542" s="3">
        <v>14</v>
      </c>
      <c r="G1542" s="4">
        <v>43725</v>
      </c>
      <c r="M1542" s="1"/>
      <c r="N1542" s="1"/>
      <c r="O1542" s="1"/>
      <c r="P1542" s="1"/>
      <c r="Q1542" s="1"/>
      <c r="R1542" s="1"/>
    </row>
    <row r="1543" spans="2:18">
      <c r="C1543" s="2" t="s">
        <v>8</v>
      </c>
      <c r="D1543" s="2" t="s">
        <v>498</v>
      </c>
      <c r="E1543" s="3">
        <v>100</v>
      </c>
      <c r="F1543" s="3">
        <v>20</v>
      </c>
      <c r="G1543" s="4">
        <v>43397</v>
      </c>
      <c r="M1543" s="1"/>
      <c r="N1543" s="1"/>
      <c r="O1543" s="1"/>
      <c r="P1543" s="1"/>
      <c r="Q1543" s="1"/>
      <c r="R1543" s="1"/>
    </row>
    <row r="1544" spans="2:18">
      <c r="G1544" s="4"/>
      <c r="M1544" s="1"/>
      <c r="N1544" s="1"/>
      <c r="O1544" s="1"/>
      <c r="P1544" s="1"/>
      <c r="Q1544" s="1"/>
      <c r="R1544" s="1"/>
    </row>
    <row r="1545" spans="2:18" s="12" customFormat="1">
      <c r="B1545" s="12" t="s">
        <v>329</v>
      </c>
      <c r="C1545" s="13" t="s">
        <v>984</v>
      </c>
      <c r="D1545" s="13" t="s">
        <v>983</v>
      </c>
      <c r="E1545" s="15"/>
      <c r="F1545" s="15">
        <f>SUM(F1546:F1547)</f>
        <v>33.75</v>
      </c>
      <c r="G1545" s="14">
        <f>G1547</f>
        <v>44867</v>
      </c>
    </row>
    <row r="1546" spans="2:18">
      <c r="C1546" s="2" t="s">
        <v>7</v>
      </c>
      <c r="D1546" s="2" t="s">
        <v>325</v>
      </c>
      <c r="E1546" s="3">
        <v>55</v>
      </c>
      <c r="F1546" s="3">
        <v>25</v>
      </c>
      <c r="G1546" s="4">
        <v>44200</v>
      </c>
      <c r="L1546" s="1">
        <f>+F1546*5</f>
        <v>125</v>
      </c>
      <c r="M1546" s="1"/>
      <c r="N1546" s="1"/>
      <c r="O1546" s="1"/>
      <c r="P1546" s="1"/>
      <c r="Q1546" s="1"/>
      <c r="R1546" s="1"/>
    </row>
    <row r="1547" spans="2:18">
      <c r="C1547" s="2" t="s">
        <v>18</v>
      </c>
      <c r="D1547" s="2" t="s">
        <v>325</v>
      </c>
      <c r="E1547" s="3">
        <v>91</v>
      </c>
      <c r="F1547" s="3">
        <f>70/8</f>
        <v>8.75</v>
      </c>
      <c r="G1547" s="4">
        <v>44867</v>
      </c>
      <c r="M1547" s="1"/>
      <c r="N1547" s="1"/>
      <c r="O1547" s="1"/>
      <c r="P1547" s="1"/>
      <c r="Q1547" s="1"/>
      <c r="R1547" s="1"/>
    </row>
    <row r="1548" spans="2:18">
      <c r="C1548" s="86" t="s">
        <v>18</v>
      </c>
      <c r="D1548" s="86" t="s">
        <v>2157</v>
      </c>
      <c r="E1548" s="3">
        <v>300</v>
      </c>
      <c r="F1548" s="3">
        <f>200/14</f>
        <v>14.285714285714286</v>
      </c>
      <c r="G1548" s="4">
        <v>44300</v>
      </c>
      <c r="M1548" s="1"/>
      <c r="N1548" s="1"/>
      <c r="O1548" s="1"/>
      <c r="P1548" s="1"/>
      <c r="Q1548" s="1"/>
      <c r="R1548" s="1"/>
    </row>
    <row r="1549" spans="2:18">
      <c r="G1549" s="4"/>
      <c r="M1549" s="1"/>
      <c r="N1549" s="1"/>
      <c r="O1549" s="1"/>
      <c r="P1549" s="1"/>
      <c r="Q1549" s="1"/>
      <c r="R1549" s="1"/>
    </row>
    <row r="1550" spans="2:18" s="12" customFormat="1">
      <c r="B1550" s="12" t="s">
        <v>970</v>
      </c>
      <c r="C1550" s="13" t="s">
        <v>984</v>
      </c>
      <c r="D1550" s="13" t="s">
        <v>983</v>
      </c>
      <c r="E1550" s="15"/>
      <c r="F1550" s="15">
        <f>SUM(F1551:F1552)</f>
        <v>33.523809523809526</v>
      </c>
      <c r="G1550" s="14">
        <f>G1551</f>
        <v>45048</v>
      </c>
      <c r="M1550" s="13"/>
      <c r="N1550" s="13"/>
      <c r="O1550" s="13"/>
      <c r="P1550" s="13"/>
      <c r="Q1550" s="13"/>
      <c r="R1550" s="13"/>
    </row>
    <row r="1551" spans="2:18">
      <c r="C1551" s="2" t="s">
        <v>18</v>
      </c>
      <c r="D1551" s="2" t="s">
        <v>967</v>
      </c>
      <c r="E1551" s="3">
        <v>270</v>
      </c>
      <c r="F1551" s="3">
        <v>24</v>
      </c>
      <c r="G1551" s="4">
        <v>45048</v>
      </c>
    </row>
    <row r="1552" spans="2:18">
      <c r="C1552" s="2" t="s">
        <v>9</v>
      </c>
      <c r="D1552" s="2" t="s">
        <v>23</v>
      </c>
      <c r="E1552" s="3">
        <v>222</v>
      </c>
      <c r="F1552" s="3">
        <f>200/21</f>
        <v>9.5238095238095237</v>
      </c>
      <c r="G1552" s="4">
        <v>44194</v>
      </c>
      <c r="I1552" s="1">
        <v>2500</v>
      </c>
      <c r="J1552" s="1">
        <v>2500</v>
      </c>
    </row>
    <row r="1553" spans="2:18">
      <c r="G1553" s="4"/>
    </row>
    <row r="1554" spans="2:18" s="12" customFormat="1">
      <c r="B1554" s="12" t="s">
        <v>944</v>
      </c>
      <c r="C1554" s="13" t="s">
        <v>984</v>
      </c>
      <c r="D1554" s="13" t="s">
        <v>983</v>
      </c>
      <c r="E1554" s="15"/>
      <c r="F1554" s="15">
        <f>SUM(F1555:F1557)</f>
        <v>34</v>
      </c>
      <c r="G1554" s="14">
        <f>G1555</f>
        <v>44392</v>
      </c>
      <c r="M1554" s="13"/>
      <c r="N1554" s="13"/>
      <c r="O1554" s="13"/>
      <c r="P1554" s="13"/>
      <c r="Q1554" s="13"/>
      <c r="R1554" s="13"/>
    </row>
    <row r="1555" spans="2:18">
      <c r="C1555" s="2" t="s">
        <v>5</v>
      </c>
      <c r="D1555" s="2" t="s">
        <v>706</v>
      </c>
      <c r="E1555" s="3">
        <v>20</v>
      </c>
      <c r="F1555" s="3">
        <v>10</v>
      </c>
      <c r="G1555" s="4">
        <v>44392</v>
      </c>
    </row>
    <row r="1556" spans="2:18">
      <c r="C1556" s="2" t="s">
        <v>8</v>
      </c>
      <c r="D1556" s="2" t="s">
        <v>181</v>
      </c>
      <c r="E1556" s="3">
        <v>130</v>
      </c>
      <c r="F1556" s="3">
        <v>12</v>
      </c>
      <c r="G1556" s="4">
        <v>42080</v>
      </c>
    </row>
    <row r="1557" spans="2:18">
      <c r="C1557" s="2" t="s">
        <v>18</v>
      </c>
      <c r="D1557" s="2" t="s">
        <v>104</v>
      </c>
      <c r="E1557" s="3">
        <v>24</v>
      </c>
      <c r="F1557" s="3">
        <v>12</v>
      </c>
      <c r="G1557" s="4">
        <v>41921</v>
      </c>
    </row>
    <row r="1558" spans="2:18">
      <c r="G1558" s="4"/>
    </row>
    <row r="1559" spans="2:18">
      <c r="B1559" s="12" t="s">
        <v>1036</v>
      </c>
      <c r="C1559" s="13" t="s">
        <v>984</v>
      </c>
      <c r="D1559" s="13" t="s">
        <v>983</v>
      </c>
      <c r="F1559" s="15">
        <f>SUM(F1560:F1564)</f>
        <v>33.142857142857139</v>
      </c>
      <c r="G1559" s="14">
        <f>G1561</f>
        <v>44650</v>
      </c>
    </row>
    <row r="1560" spans="2:18">
      <c r="C1560" s="2" t="s">
        <v>7</v>
      </c>
      <c r="D1560" s="2" t="s">
        <v>876</v>
      </c>
      <c r="E1560" s="3">
        <v>50</v>
      </c>
      <c r="F1560" s="3">
        <f>E1560/7</f>
        <v>7.1428571428571432</v>
      </c>
      <c r="G1560" s="4">
        <v>44628</v>
      </c>
    </row>
    <row r="1561" spans="2:18">
      <c r="C1561" s="2" t="s">
        <v>7</v>
      </c>
      <c r="D1561" s="2" t="s">
        <v>904</v>
      </c>
      <c r="E1561" s="3">
        <v>40</v>
      </c>
      <c r="F1561" s="3">
        <v>5</v>
      </c>
      <c r="G1561" s="4">
        <v>44650</v>
      </c>
    </row>
    <row r="1562" spans="2:18">
      <c r="C1562" s="2" t="s">
        <v>5</v>
      </c>
      <c r="D1562" s="2" t="s">
        <v>904</v>
      </c>
      <c r="E1562" s="3">
        <v>14</v>
      </c>
      <c r="F1562" s="3">
        <v>5</v>
      </c>
      <c r="G1562" s="4">
        <v>44131</v>
      </c>
    </row>
    <row r="1563" spans="2:18">
      <c r="C1563" s="2" t="s">
        <v>7</v>
      </c>
      <c r="D1563" s="2" t="s">
        <v>293</v>
      </c>
      <c r="E1563" s="3">
        <v>35</v>
      </c>
      <c r="F1563" s="3">
        <v>10</v>
      </c>
      <c r="G1563" s="4">
        <v>44309</v>
      </c>
    </row>
    <row r="1564" spans="2:18">
      <c r="C1564" s="2" t="s">
        <v>7</v>
      </c>
      <c r="D1564" s="2" t="s">
        <v>203</v>
      </c>
      <c r="E1564" s="3">
        <v>46</v>
      </c>
      <c r="F1564" s="3">
        <v>6</v>
      </c>
      <c r="G1564" s="4">
        <v>42941</v>
      </c>
    </row>
    <row r="1566" spans="2:18" s="12" customFormat="1">
      <c r="B1566" s="12" t="s">
        <v>5203</v>
      </c>
      <c r="C1566" s="13" t="s">
        <v>984</v>
      </c>
      <c r="D1566" s="13" t="s">
        <v>983</v>
      </c>
      <c r="E1566" s="15"/>
      <c r="F1566" s="15">
        <f>SUM(F1567:F1569)</f>
        <v>31.964285714285715</v>
      </c>
      <c r="G1566" s="14">
        <f>G1567</f>
        <v>44507</v>
      </c>
      <c r="M1566" s="13"/>
      <c r="N1566" s="13"/>
      <c r="O1566" s="13"/>
      <c r="P1566" s="13"/>
      <c r="Q1566" s="13"/>
      <c r="R1566" s="13"/>
    </row>
    <row r="1567" spans="2:18" s="95" customFormat="1">
      <c r="C1567" s="96" t="s">
        <v>9</v>
      </c>
      <c r="D1567" s="96" t="s">
        <v>2150</v>
      </c>
      <c r="E1567" s="99">
        <v>100</v>
      </c>
      <c r="F1567" s="99">
        <v>10.714285714285714</v>
      </c>
      <c r="G1567" s="98">
        <v>44507</v>
      </c>
      <c r="I1567" s="95">
        <v>1600</v>
      </c>
      <c r="J1567" s="95">
        <v>1600</v>
      </c>
      <c r="M1567" s="96"/>
      <c r="N1567" s="96"/>
      <c r="O1567" s="96"/>
      <c r="P1567" s="96"/>
      <c r="Q1567" s="96"/>
      <c r="R1567" s="96"/>
    </row>
    <row r="1568" spans="2:18">
      <c r="C1568" s="96" t="s">
        <v>8</v>
      </c>
      <c r="D1568" s="96" t="s">
        <v>2150</v>
      </c>
      <c r="E1568" s="3">
        <v>72.5</v>
      </c>
      <c r="F1568" s="3">
        <f>22.5/2</f>
        <v>11.25</v>
      </c>
      <c r="G1568" s="4">
        <v>43697</v>
      </c>
      <c r="J1568" s="1">
        <v>1600</v>
      </c>
    </row>
    <row r="1569" spans="2:18">
      <c r="C1569" s="96" t="s">
        <v>18</v>
      </c>
      <c r="D1569" s="96" t="s">
        <v>2150</v>
      </c>
      <c r="E1569" s="3">
        <v>40</v>
      </c>
      <c r="F1569" s="3">
        <v>10</v>
      </c>
      <c r="G1569" s="4">
        <v>43069</v>
      </c>
      <c r="J1569" s="1">
        <v>1600</v>
      </c>
    </row>
    <row r="1570" spans="2:18">
      <c r="C1570" s="96"/>
      <c r="D1570" s="96"/>
      <c r="G1570" s="4"/>
    </row>
    <row r="1571" spans="2:18" s="12" customFormat="1">
      <c r="B1571" s="12" t="s">
        <v>5204</v>
      </c>
      <c r="C1571" s="13" t="s">
        <v>984</v>
      </c>
      <c r="D1571" s="13" t="s">
        <v>983</v>
      </c>
      <c r="E1571" s="15"/>
      <c r="F1571" s="15">
        <f>SUM(F1572:F1573)</f>
        <v>32.222222222222221</v>
      </c>
      <c r="G1571" s="14">
        <f>G1572</f>
        <v>44999</v>
      </c>
      <c r="M1571" s="13"/>
      <c r="N1571" s="13"/>
      <c r="O1571" s="13"/>
      <c r="P1571" s="13"/>
      <c r="Q1571" s="13"/>
      <c r="R1571" s="13"/>
    </row>
    <row r="1572" spans="2:18">
      <c r="C1572" s="2" t="s">
        <v>7</v>
      </c>
      <c r="D1572" s="2" t="s">
        <v>964</v>
      </c>
      <c r="E1572" s="3">
        <v>350</v>
      </c>
      <c r="F1572" s="3">
        <v>20</v>
      </c>
      <c r="G1572" s="4">
        <v>44999</v>
      </c>
    </row>
    <row r="1573" spans="2:18">
      <c r="C1573" s="2" t="s">
        <v>18</v>
      </c>
      <c r="D1573" s="2" t="s">
        <v>2168</v>
      </c>
      <c r="E1573" s="3">
        <v>200</v>
      </c>
      <c r="F1573" s="3">
        <f>110/9</f>
        <v>12.222222222222221</v>
      </c>
      <c r="G1573" s="4">
        <v>44557</v>
      </c>
      <c r="I1573" s="1">
        <v>1300</v>
      </c>
      <c r="J1573" s="1">
        <v>1300</v>
      </c>
    </row>
    <row r="1574" spans="2:18">
      <c r="G1574" s="4"/>
    </row>
    <row r="1575" spans="2:18" s="12" customFormat="1">
      <c r="B1575" s="12" t="s">
        <v>1069</v>
      </c>
      <c r="C1575" s="13" t="s">
        <v>984</v>
      </c>
      <c r="D1575" s="13" t="s">
        <v>983</v>
      </c>
      <c r="E1575" s="15"/>
      <c r="F1575" s="15">
        <f>SUM(F1576:F1582)</f>
        <v>31.066666666666666</v>
      </c>
      <c r="G1575" s="14">
        <f>G1576</f>
        <v>45048</v>
      </c>
      <c r="M1575" s="13"/>
      <c r="N1575" s="13"/>
      <c r="O1575" s="13"/>
      <c r="P1575" s="13"/>
      <c r="Q1575" s="13"/>
      <c r="R1575" s="13"/>
    </row>
    <row r="1576" spans="2:18">
      <c r="C1576" s="2" t="s">
        <v>4</v>
      </c>
      <c r="D1576" s="2" t="s">
        <v>573</v>
      </c>
      <c r="E1576" s="3">
        <v>5.6</v>
      </c>
      <c r="F1576" s="3">
        <f>E1576/3</f>
        <v>1.8666666666666665</v>
      </c>
      <c r="G1576" s="4">
        <v>45048</v>
      </c>
    </row>
    <row r="1577" spans="2:18">
      <c r="C1577" s="2" t="s">
        <v>4</v>
      </c>
      <c r="D1577" s="2" t="s">
        <v>526</v>
      </c>
      <c r="E1577" s="3">
        <v>4</v>
      </c>
      <c r="F1577" s="3">
        <f>4/3</f>
        <v>1.3333333333333333</v>
      </c>
      <c r="G1577" s="4">
        <v>42647</v>
      </c>
    </row>
    <row r="1578" spans="2:18">
      <c r="C1578" s="2" t="s">
        <v>18</v>
      </c>
      <c r="D1578" s="2" t="s">
        <v>317</v>
      </c>
      <c r="E1578" s="3">
        <v>110</v>
      </c>
      <c r="F1578" s="3">
        <v>14</v>
      </c>
      <c r="G1578" s="4">
        <v>44369</v>
      </c>
    </row>
    <row r="1579" spans="2:18">
      <c r="C1579" s="2" t="s">
        <v>7</v>
      </c>
      <c r="D1579" s="2" t="s">
        <v>317</v>
      </c>
      <c r="E1579" s="3">
        <v>40</v>
      </c>
      <c r="F1579" s="3">
        <v>4</v>
      </c>
      <c r="G1579" s="4">
        <v>43419</v>
      </c>
    </row>
    <row r="1580" spans="2:18">
      <c r="C1580" s="2" t="s">
        <v>5</v>
      </c>
      <c r="D1580" s="2" t="s">
        <v>317</v>
      </c>
      <c r="E1580" s="3">
        <v>14.7</v>
      </c>
      <c r="F1580" s="3">
        <v>5.7</v>
      </c>
      <c r="G1580" s="4">
        <v>43032</v>
      </c>
    </row>
    <row r="1581" spans="2:18">
      <c r="C1581" s="2" t="s">
        <v>5</v>
      </c>
      <c r="D1581" s="2" t="s">
        <v>97</v>
      </c>
      <c r="E1581" s="3">
        <v>10</v>
      </c>
      <c r="F1581" s="3">
        <v>2.5</v>
      </c>
      <c r="G1581" s="4">
        <v>42304</v>
      </c>
    </row>
    <row r="1582" spans="2:18">
      <c r="C1582" s="2" t="s">
        <v>4</v>
      </c>
      <c r="D1582" s="2" t="s">
        <v>97</v>
      </c>
      <c r="E1582" s="3">
        <v>5</v>
      </c>
      <c r="F1582" s="3">
        <f>E1582/3</f>
        <v>1.6666666666666667</v>
      </c>
      <c r="G1582" s="4">
        <v>41940</v>
      </c>
    </row>
    <row r="1583" spans="2:18">
      <c r="G1583" s="4"/>
    </row>
    <row r="1584" spans="2:18" s="12" customFormat="1">
      <c r="B1584" s="12" t="s">
        <v>5205</v>
      </c>
      <c r="C1584" s="13" t="s">
        <v>984</v>
      </c>
      <c r="D1584" s="13" t="s">
        <v>983</v>
      </c>
      <c r="E1584" s="15"/>
      <c r="F1584" s="15">
        <f>SUM(F1585:F1592)</f>
        <v>30.549999999999997</v>
      </c>
      <c r="G1584" s="14">
        <f>G1585</f>
        <v>44952</v>
      </c>
    </row>
    <row r="1585" spans="2:18">
      <c r="C1585" s="2" t="s">
        <v>5</v>
      </c>
      <c r="D1585" s="2" t="s">
        <v>677</v>
      </c>
      <c r="E1585" s="3">
        <v>12.7</v>
      </c>
      <c r="F1585" s="3">
        <f>8/5</f>
        <v>1.6</v>
      </c>
      <c r="G1585" s="4">
        <v>44952</v>
      </c>
      <c r="M1585" s="1"/>
      <c r="N1585" s="1"/>
      <c r="O1585" s="1"/>
      <c r="P1585" s="1"/>
      <c r="Q1585" s="1"/>
      <c r="R1585" s="1"/>
    </row>
    <row r="1586" spans="2:18">
      <c r="C1586" s="2" t="s">
        <v>18</v>
      </c>
      <c r="D1586" s="2" t="s">
        <v>617</v>
      </c>
      <c r="E1586" s="3">
        <v>48</v>
      </c>
      <c r="F1586" s="3">
        <v>4</v>
      </c>
      <c r="G1586" s="4">
        <v>43888</v>
      </c>
      <c r="M1586" s="1"/>
      <c r="N1586" s="1"/>
      <c r="O1586" s="1"/>
      <c r="P1586" s="1"/>
      <c r="Q1586" s="1"/>
      <c r="R1586" s="1"/>
    </row>
    <row r="1587" spans="2:18">
      <c r="C1587" s="2" t="s">
        <v>7</v>
      </c>
      <c r="D1587" s="2" t="s">
        <v>617</v>
      </c>
      <c r="E1587" s="3">
        <v>25</v>
      </c>
      <c r="F1587" s="3">
        <v>5</v>
      </c>
      <c r="G1587" s="4">
        <v>43440</v>
      </c>
      <c r="M1587" s="1"/>
      <c r="N1587" s="1"/>
      <c r="O1587" s="1"/>
      <c r="P1587" s="1"/>
      <c r="Q1587" s="1"/>
      <c r="R1587" s="1"/>
    </row>
    <row r="1588" spans="2:18">
      <c r="C1588" s="2" t="s">
        <v>5</v>
      </c>
      <c r="D1588" s="2" t="s">
        <v>617</v>
      </c>
      <c r="E1588" s="3">
        <v>5.8</v>
      </c>
      <c r="F1588" s="3">
        <f>E1588/4</f>
        <v>1.45</v>
      </c>
      <c r="G1588" s="4">
        <v>43117</v>
      </c>
      <c r="M1588" s="1"/>
      <c r="N1588" s="1"/>
      <c r="O1588" s="1"/>
      <c r="P1588" s="1"/>
      <c r="Q1588" s="1"/>
      <c r="R1588" s="1"/>
    </row>
    <row r="1589" spans="2:18">
      <c r="C1589" s="2" t="s">
        <v>4</v>
      </c>
      <c r="D1589" s="2" t="s">
        <v>617</v>
      </c>
      <c r="E1589" s="3">
        <v>3.3</v>
      </c>
      <c r="F1589" s="3">
        <v>0.5</v>
      </c>
      <c r="G1589" s="4">
        <v>42678</v>
      </c>
      <c r="M1589" s="1"/>
      <c r="N1589" s="1"/>
      <c r="O1589" s="1"/>
      <c r="P1589" s="1"/>
      <c r="Q1589" s="1"/>
      <c r="R1589" s="1"/>
    </row>
    <row r="1590" spans="2:18">
      <c r="C1590" s="2" t="s">
        <v>5</v>
      </c>
      <c r="D1590" s="2" t="s">
        <v>296</v>
      </c>
      <c r="E1590" s="3">
        <v>30</v>
      </c>
      <c r="F1590" s="3">
        <f>20/5</f>
        <v>4</v>
      </c>
      <c r="G1590" s="4">
        <v>44474</v>
      </c>
      <c r="M1590" s="1"/>
      <c r="N1590" s="1"/>
      <c r="O1590" s="1"/>
      <c r="P1590" s="1"/>
      <c r="Q1590" s="1"/>
      <c r="R1590" s="1"/>
    </row>
    <row r="1591" spans="2:18">
      <c r="C1591" s="2" t="s">
        <v>4</v>
      </c>
      <c r="D1591" s="2" t="s">
        <v>296</v>
      </c>
      <c r="E1591" s="3">
        <v>15</v>
      </c>
      <c r="F1591" s="3">
        <v>5</v>
      </c>
      <c r="G1591" s="4">
        <v>43775</v>
      </c>
      <c r="M1591" s="1"/>
      <c r="N1591" s="1"/>
      <c r="O1591" s="1"/>
      <c r="P1591" s="1"/>
      <c r="Q1591" s="1"/>
      <c r="R1591" s="1"/>
    </row>
    <row r="1592" spans="2:18">
      <c r="C1592" s="2" t="s">
        <v>5</v>
      </c>
      <c r="D1592" s="2" t="s">
        <v>166</v>
      </c>
      <c r="E1592" s="3">
        <v>112</v>
      </c>
      <c r="F1592" s="3">
        <v>9</v>
      </c>
      <c r="G1592" s="4">
        <v>43115</v>
      </c>
      <c r="M1592" s="1"/>
      <c r="N1592" s="1"/>
      <c r="O1592" s="1"/>
      <c r="P1592" s="1"/>
      <c r="Q1592" s="1"/>
      <c r="R1592" s="1"/>
    </row>
    <row r="1593" spans="2:18">
      <c r="G1593" s="4"/>
      <c r="M1593" s="1"/>
      <c r="N1593" s="1"/>
      <c r="O1593" s="1"/>
      <c r="P1593" s="1"/>
      <c r="Q1593" s="1"/>
      <c r="R1593" s="1"/>
    </row>
    <row r="1594" spans="2:18" s="12" customFormat="1">
      <c r="B1594" s="12" t="s">
        <v>622</v>
      </c>
      <c r="C1594" s="13" t="s">
        <v>984</v>
      </c>
      <c r="D1594" s="13" t="s">
        <v>983</v>
      </c>
      <c r="E1594" s="15"/>
      <c r="F1594" s="15">
        <f>SUM(F1595:F1600)</f>
        <v>29.68888888888889</v>
      </c>
      <c r="G1594" s="14">
        <f>G1595</f>
        <v>44215</v>
      </c>
    </row>
    <row r="1595" spans="2:18">
      <c r="C1595" s="2" t="s">
        <v>9</v>
      </c>
      <c r="D1595" s="2" t="s">
        <v>617</v>
      </c>
      <c r="E1595" s="3">
        <v>132</v>
      </c>
      <c r="F1595" s="3">
        <f>72/10</f>
        <v>7.2</v>
      </c>
      <c r="G1595" s="4">
        <v>44215</v>
      </c>
      <c r="M1595" s="1"/>
      <c r="N1595" s="1"/>
      <c r="O1595" s="1"/>
      <c r="P1595" s="1"/>
      <c r="Q1595" s="1"/>
      <c r="R1595" s="1"/>
    </row>
    <row r="1596" spans="2:18">
      <c r="C1596" s="2" t="s">
        <v>18</v>
      </c>
      <c r="D1596" s="2" t="s">
        <v>617</v>
      </c>
      <c r="E1596" s="3">
        <v>48</v>
      </c>
      <c r="F1596" s="3">
        <v>4</v>
      </c>
      <c r="G1596" s="4">
        <v>43888</v>
      </c>
      <c r="M1596" s="1"/>
      <c r="N1596" s="1"/>
      <c r="O1596" s="1"/>
      <c r="P1596" s="1"/>
      <c r="Q1596" s="1"/>
      <c r="R1596" s="1"/>
    </row>
    <row r="1597" spans="2:18">
      <c r="C1597" s="2" t="s">
        <v>7</v>
      </c>
      <c r="D1597" s="2" t="s">
        <v>617</v>
      </c>
      <c r="E1597" s="3">
        <v>25</v>
      </c>
      <c r="F1597" s="3">
        <v>5</v>
      </c>
      <c r="G1597" s="4">
        <v>43440</v>
      </c>
      <c r="M1597" s="1"/>
      <c r="N1597" s="1"/>
      <c r="O1597" s="1"/>
      <c r="P1597" s="1"/>
      <c r="Q1597" s="1"/>
      <c r="R1597" s="1"/>
    </row>
    <row r="1598" spans="2:18">
      <c r="C1598" s="2" t="s">
        <v>5</v>
      </c>
      <c r="D1598" s="2" t="s">
        <v>265</v>
      </c>
      <c r="E1598" s="3">
        <v>3.5</v>
      </c>
      <c r="F1598" s="3">
        <f>+E1598/9</f>
        <v>0.3888888888888889</v>
      </c>
      <c r="G1598" s="4">
        <v>42979</v>
      </c>
      <c r="M1598" s="1"/>
      <c r="N1598" s="1"/>
      <c r="O1598" s="1"/>
      <c r="P1598" s="1"/>
      <c r="Q1598" s="1"/>
      <c r="R1598" s="1"/>
    </row>
    <row r="1599" spans="2:18">
      <c r="C1599" s="2" t="s">
        <v>8</v>
      </c>
      <c r="D1599" s="2" t="s">
        <v>181</v>
      </c>
      <c r="E1599" s="3">
        <v>130</v>
      </c>
      <c r="F1599" s="3">
        <v>12</v>
      </c>
      <c r="G1599" s="4">
        <v>42080</v>
      </c>
      <c r="M1599" s="1"/>
      <c r="N1599" s="1"/>
      <c r="O1599" s="1"/>
      <c r="P1599" s="1"/>
      <c r="Q1599" s="1"/>
      <c r="R1599" s="1"/>
    </row>
    <row r="1600" spans="2:18">
      <c r="C1600" s="2" t="s">
        <v>5</v>
      </c>
      <c r="D1600" s="2" t="s">
        <v>181</v>
      </c>
      <c r="E1600" s="3">
        <v>1.1000000000000001</v>
      </c>
      <c r="F1600" s="3">
        <v>1.1000000000000001</v>
      </c>
      <c r="G1600" s="4">
        <v>40750</v>
      </c>
      <c r="M1600" s="1"/>
      <c r="N1600" s="1"/>
      <c r="O1600" s="1"/>
      <c r="P1600" s="1"/>
      <c r="Q1600" s="1"/>
      <c r="R1600" s="1"/>
    </row>
    <row r="1601" spans="2:18">
      <c r="G1601" s="4"/>
      <c r="M1601" s="1"/>
      <c r="N1601" s="1"/>
      <c r="O1601" s="1"/>
      <c r="P1601" s="1"/>
      <c r="Q1601" s="1"/>
      <c r="R1601" s="1"/>
    </row>
    <row r="1602" spans="2:18" s="12" customFormat="1">
      <c r="B1602" s="12" t="s">
        <v>402</v>
      </c>
      <c r="C1602" s="13" t="s">
        <v>984</v>
      </c>
      <c r="D1602" s="13" t="s">
        <v>983</v>
      </c>
      <c r="E1602" s="15"/>
      <c r="F1602" s="15">
        <f>SUM(F1603:F1604)</f>
        <v>30</v>
      </c>
      <c r="G1602" s="14">
        <f>G1603</f>
        <v>44286</v>
      </c>
    </row>
    <row r="1603" spans="2:18">
      <c r="C1603" s="2" t="s">
        <v>8</v>
      </c>
      <c r="D1603" s="2" t="s">
        <v>393</v>
      </c>
      <c r="E1603" s="3">
        <v>140</v>
      </c>
      <c r="F1603" s="3">
        <v>10</v>
      </c>
      <c r="G1603" s="4">
        <v>44286</v>
      </c>
      <c r="M1603" s="1"/>
      <c r="N1603" s="1"/>
      <c r="O1603" s="1"/>
      <c r="P1603" s="1"/>
      <c r="Q1603" s="1"/>
      <c r="R1603" s="1"/>
    </row>
    <row r="1604" spans="2:18">
      <c r="C1604" s="2" t="s">
        <v>18</v>
      </c>
      <c r="D1604" s="2" t="s">
        <v>393</v>
      </c>
      <c r="E1604" s="3">
        <v>110</v>
      </c>
      <c r="F1604" s="3">
        <v>20</v>
      </c>
      <c r="G1604" s="4">
        <v>43690</v>
      </c>
      <c r="M1604" s="1"/>
      <c r="N1604" s="1"/>
      <c r="O1604" s="1"/>
      <c r="P1604" s="1"/>
      <c r="Q1604" s="1"/>
      <c r="R1604" s="1"/>
    </row>
    <row r="1605" spans="2:18">
      <c r="G1605" s="4"/>
      <c r="M1605" s="1"/>
      <c r="N1605" s="1"/>
      <c r="O1605" s="1"/>
      <c r="P1605" s="1"/>
      <c r="Q1605" s="1"/>
      <c r="R1605" s="1"/>
    </row>
    <row r="1606" spans="2:18" s="12" customFormat="1">
      <c r="B1606" s="12" t="s">
        <v>401</v>
      </c>
      <c r="C1606" s="13" t="s">
        <v>984</v>
      </c>
      <c r="D1606" s="13" t="s">
        <v>983</v>
      </c>
      <c r="E1606" s="15"/>
      <c r="F1606" s="15">
        <f>SUM(F1607:F1608)</f>
        <v>30</v>
      </c>
      <c r="G1606" s="14">
        <f>G1607</f>
        <v>44286</v>
      </c>
    </row>
    <row r="1607" spans="2:18">
      <c r="C1607" s="2" t="s">
        <v>8</v>
      </c>
      <c r="D1607" s="2" t="s">
        <v>393</v>
      </c>
      <c r="E1607" s="3">
        <v>140</v>
      </c>
      <c r="F1607" s="3">
        <v>10</v>
      </c>
      <c r="G1607" s="4">
        <v>44286</v>
      </c>
      <c r="M1607" s="1"/>
      <c r="N1607" s="1"/>
      <c r="O1607" s="1"/>
      <c r="P1607" s="1"/>
      <c r="Q1607" s="1"/>
      <c r="R1607" s="1"/>
    </row>
    <row r="1608" spans="2:18">
      <c r="C1608" s="2" t="s">
        <v>18</v>
      </c>
      <c r="D1608" s="2" t="s">
        <v>393</v>
      </c>
      <c r="E1608" s="3">
        <v>110</v>
      </c>
      <c r="F1608" s="3">
        <v>20</v>
      </c>
      <c r="G1608" s="4">
        <v>43690</v>
      </c>
      <c r="M1608" s="1"/>
      <c r="N1608" s="1"/>
      <c r="O1608" s="1"/>
      <c r="P1608" s="1"/>
      <c r="Q1608" s="1"/>
      <c r="R1608" s="1"/>
    </row>
    <row r="1609" spans="2:18">
      <c r="G1609" s="4"/>
      <c r="M1609" s="1"/>
      <c r="N1609" s="1"/>
      <c r="O1609" s="1"/>
      <c r="P1609" s="1"/>
      <c r="Q1609" s="1"/>
      <c r="R1609" s="1"/>
    </row>
    <row r="1610" spans="2:18">
      <c r="B1610" s="12" t="s">
        <v>1022</v>
      </c>
      <c r="C1610" s="13" t="s">
        <v>984</v>
      </c>
      <c r="D1610" s="13" t="s">
        <v>983</v>
      </c>
      <c r="F1610" s="15">
        <f>SUM(F1611:F1613)</f>
        <v>29.5</v>
      </c>
      <c r="G1610" s="14">
        <f>+G1612</f>
        <v>45013</v>
      </c>
    </row>
    <row r="1611" spans="2:18">
      <c r="C1611" s="2" t="s">
        <v>18</v>
      </c>
      <c r="D1611" s="2" t="s">
        <v>1021</v>
      </c>
      <c r="E1611" s="3">
        <v>100</v>
      </c>
      <c r="F1611" s="3">
        <v>10</v>
      </c>
      <c r="G1611" s="4">
        <v>44754</v>
      </c>
    </row>
    <row r="1612" spans="2:18">
      <c r="C1612" s="2" t="s">
        <v>5</v>
      </c>
      <c r="D1612" s="2" t="s">
        <v>1020</v>
      </c>
      <c r="E1612" s="3">
        <v>25.6</v>
      </c>
      <c r="F1612" s="3">
        <v>2</v>
      </c>
      <c r="G1612" s="4">
        <v>45013</v>
      </c>
    </row>
    <row r="1613" spans="2:18">
      <c r="C1613" s="96" t="s">
        <v>8</v>
      </c>
      <c r="D1613" s="96" t="s">
        <v>2147</v>
      </c>
      <c r="E1613" s="3">
        <v>110</v>
      </c>
      <c r="F1613" s="3">
        <f>70/4</f>
        <v>17.5</v>
      </c>
      <c r="G1613" s="4">
        <v>44567</v>
      </c>
      <c r="I1613" s="1">
        <v>790</v>
      </c>
      <c r="J1613" s="1">
        <v>790</v>
      </c>
    </row>
    <row r="1614" spans="2:18">
      <c r="G1614" s="4"/>
    </row>
    <row r="1615" spans="2:18" s="12" customFormat="1">
      <c r="B1615" s="12" t="s">
        <v>938</v>
      </c>
      <c r="C1615" s="13" t="s">
        <v>984</v>
      </c>
      <c r="D1615" s="13" t="s">
        <v>983</v>
      </c>
      <c r="E1615" s="15"/>
      <c r="F1615" s="15">
        <f>SUM(F1616:F1618)</f>
        <v>29.75</v>
      </c>
      <c r="G1615" s="14">
        <f>G1616</f>
        <v>45090</v>
      </c>
      <c r="M1615" s="13"/>
      <c r="N1615" s="13"/>
      <c r="O1615" s="13"/>
      <c r="P1615" s="13"/>
      <c r="Q1615" s="13"/>
      <c r="R1615" s="13"/>
    </row>
    <row r="1616" spans="2:18">
      <c r="C1616" s="2" t="s">
        <v>4</v>
      </c>
      <c r="D1616" s="2" t="s">
        <v>717</v>
      </c>
      <c r="E1616" s="3">
        <v>113</v>
      </c>
      <c r="F1616" s="3">
        <v>8</v>
      </c>
      <c r="G1616" s="4">
        <v>45090</v>
      </c>
    </row>
    <row r="1617" spans="2:18">
      <c r="C1617" s="86" t="s">
        <v>8</v>
      </c>
      <c r="D1617" s="86" t="s">
        <v>2155</v>
      </c>
      <c r="E1617" s="3">
        <v>175</v>
      </c>
      <c r="F1617" s="3">
        <f>75/4</f>
        <v>18.75</v>
      </c>
      <c r="G1617" s="4">
        <v>44511</v>
      </c>
      <c r="I1617" s="1">
        <v>3400</v>
      </c>
      <c r="J1617" s="1">
        <v>3400</v>
      </c>
    </row>
    <row r="1618" spans="2:18">
      <c r="C1618" s="86" t="s">
        <v>7</v>
      </c>
      <c r="D1618" s="86" t="s">
        <v>2155</v>
      </c>
      <c r="E1618" s="3">
        <v>40</v>
      </c>
      <c r="F1618" s="3">
        <v>3</v>
      </c>
      <c r="G1618" s="4">
        <v>43720</v>
      </c>
      <c r="J1618" s="1">
        <v>3400</v>
      </c>
    </row>
    <row r="1619" spans="2:18">
      <c r="G1619" s="4"/>
    </row>
    <row r="1620" spans="2:18" s="12" customFormat="1">
      <c r="B1620" s="12" t="s">
        <v>240</v>
      </c>
      <c r="C1620" s="13" t="s">
        <v>984</v>
      </c>
      <c r="D1620" s="13" t="s">
        <v>983</v>
      </c>
      <c r="E1620" s="15"/>
      <c r="F1620" s="15">
        <f>SUM(F1621:F1622)</f>
        <v>30</v>
      </c>
      <c r="G1620" s="14">
        <f>G1622</f>
        <v>43391</v>
      </c>
      <c r="M1620" s="13"/>
      <c r="N1620" s="13"/>
      <c r="O1620" s="13"/>
      <c r="P1620" s="13"/>
      <c r="Q1620" s="13"/>
      <c r="R1620" s="13"/>
    </row>
    <row r="1621" spans="2:18">
      <c r="C1621" s="2" t="s">
        <v>18</v>
      </c>
      <c r="D1621" s="2" t="s">
        <v>239</v>
      </c>
      <c r="E1621" s="3">
        <v>100</v>
      </c>
      <c r="F1621" s="3">
        <v>20</v>
      </c>
      <c r="G1621" s="4">
        <v>42735</v>
      </c>
    </row>
    <row r="1622" spans="2:18">
      <c r="C1622" s="2" t="s">
        <v>7</v>
      </c>
      <c r="D1622" s="2" t="s">
        <v>203</v>
      </c>
      <c r="E1622" s="3">
        <v>120</v>
      </c>
      <c r="F1622" s="3">
        <v>10</v>
      </c>
      <c r="G1622" s="4">
        <v>43391</v>
      </c>
    </row>
    <row r="1623" spans="2:18">
      <c r="G1623" s="4"/>
    </row>
    <row r="1624" spans="2:18" s="12" customFormat="1">
      <c r="B1624" s="12" t="s">
        <v>508</v>
      </c>
      <c r="C1624" s="13" t="s">
        <v>984</v>
      </c>
      <c r="D1624" s="13" t="s">
        <v>983</v>
      </c>
      <c r="E1624" s="15"/>
      <c r="F1624" s="15">
        <f>SUM(F1625:F1628)</f>
        <v>30.071428571428569</v>
      </c>
      <c r="G1624" s="14">
        <f>G1626</f>
        <v>44880</v>
      </c>
    </row>
    <row r="1625" spans="2:18">
      <c r="C1625" s="2" t="s">
        <v>55</v>
      </c>
      <c r="D1625" s="2" t="s">
        <v>498</v>
      </c>
      <c r="E1625" s="3">
        <v>50</v>
      </c>
      <c r="F1625" s="3">
        <v>10</v>
      </c>
      <c r="G1625" s="4">
        <v>44174</v>
      </c>
      <c r="M1625" s="1"/>
      <c r="N1625" s="1"/>
      <c r="O1625" s="1"/>
      <c r="P1625" s="1"/>
      <c r="Q1625" s="1"/>
      <c r="R1625" s="1"/>
    </row>
    <row r="1626" spans="2:18">
      <c r="C1626" s="2" t="s">
        <v>8</v>
      </c>
      <c r="D1626" s="2" t="s">
        <v>136</v>
      </c>
      <c r="E1626" s="3">
        <v>135</v>
      </c>
      <c r="F1626" s="3">
        <v>8</v>
      </c>
      <c r="G1626" s="4">
        <v>44880</v>
      </c>
      <c r="M1626" s="1"/>
      <c r="N1626" s="1"/>
      <c r="O1626" s="1"/>
      <c r="P1626" s="1"/>
      <c r="Q1626" s="1"/>
      <c r="R1626" s="1"/>
    </row>
    <row r="1627" spans="2:18">
      <c r="C1627" s="2" t="s">
        <v>18</v>
      </c>
      <c r="D1627" s="2" t="s">
        <v>136</v>
      </c>
      <c r="E1627" s="3">
        <v>73</v>
      </c>
      <c r="F1627" s="3">
        <f>53/7</f>
        <v>7.5714285714285712</v>
      </c>
      <c r="G1627" s="4">
        <v>44565</v>
      </c>
      <c r="M1627" s="1"/>
      <c r="N1627" s="1"/>
      <c r="O1627" s="1"/>
      <c r="P1627" s="1"/>
      <c r="Q1627" s="1"/>
      <c r="R1627" s="1"/>
    </row>
    <row r="1628" spans="2:18">
      <c r="C1628" s="2" t="s">
        <v>18</v>
      </c>
      <c r="D1628" s="2" t="s">
        <v>136</v>
      </c>
      <c r="E1628" s="3">
        <v>31.7</v>
      </c>
      <c r="F1628" s="3">
        <f>18/4</f>
        <v>4.5</v>
      </c>
      <c r="G1628" s="4">
        <v>43599</v>
      </c>
      <c r="M1628" s="1"/>
      <c r="N1628" s="1"/>
      <c r="O1628" s="1"/>
      <c r="P1628" s="1"/>
      <c r="Q1628" s="1"/>
      <c r="R1628" s="1"/>
    </row>
    <row r="1629" spans="2:18">
      <c r="G1629" s="4"/>
      <c r="M1629" s="1"/>
      <c r="N1629" s="1"/>
      <c r="O1629" s="1"/>
      <c r="P1629" s="1"/>
      <c r="Q1629" s="1"/>
      <c r="R1629" s="1"/>
    </row>
    <row r="1630" spans="2:18">
      <c r="B1630" s="12" t="s">
        <v>1068</v>
      </c>
      <c r="C1630" s="13" t="s">
        <v>984</v>
      </c>
      <c r="D1630" s="13" t="s">
        <v>983</v>
      </c>
      <c r="E1630" s="15"/>
      <c r="F1630" s="15">
        <f>SUM(F1631:F1639)</f>
        <v>28.683333333333334</v>
      </c>
      <c r="G1630" s="14">
        <f>G1634</f>
        <v>44861</v>
      </c>
    </row>
    <row r="1631" spans="2:18">
      <c r="C1631" s="2" t="s">
        <v>5</v>
      </c>
      <c r="D1631" s="2" t="s">
        <v>1001</v>
      </c>
      <c r="E1631" s="3">
        <v>25</v>
      </c>
      <c r="F1631" s="3">
        <f>15/4</f>
        <v>3.75</v>
      </c>
      <c r="G1631" s="4">
        <v>44615</v>
      </c>
    </row>
    <row r="1632" spans="2:18">
      <c r="C1632" s="2" t="s">
        <v>4</v>
      </c>
      <c r="D1632" s="2" t="s">
        <v>1001</v>
      </c>
      <c r="E1632" s="3">
        <v>5</v>
      </c>
      <c r="F1632" s="3">
        <v>2</v>
      </c>
      <c r="G1632" s="4">
        <v>44292</v>
      </c>
    </row>
    <row r="1633" spans="2:18">
      <c r="C1633" s="2" t="s">
        <v>4</v>
      </c>
      <c r="D1633" s="2" t="s">
        <v>576</v>
      </c>
      <c r="E1633" s="3">
        <v>9</v>
      </c>
      <c r="F1633" s="3">
        <v>2</v>
      </c>
      <c r="G1633" s="4">
        <v>44859</v>
      </c>
    </row>
    <row r="1634" spans="2:18">
      <c r="C1634" s="2" t="s">
        <v>7</v>
      </c>
      <c r="D1634" s="2" t="s">
        <v>358</v>
      </c>
      <c r="E1634" s="3">
        <v>22</v>
      </c>
      <c r="F1634" s="3">
        <v>5</v>
      </c>
      <c r="G1634" s="4">
        <v>44861</v>
      </c>
    </row>
    <row r="1635" spans="2:18">
      <c r="C1635" s="2" t="s">
        <v>5</v>
      </c>
      <c r="D1635" s="2" t="s">
        <v>358</v>
      </c>
      <c r="E1635" s="3">
        <v>15</v>
      </c>
      <c r="F1635" s="3">
        <v>9</v>
      </c>
      <c r="G1635" s="4">
        <v>44487</v>
      </c>
    </row>
    <row r="1636" spans="2:18">
      <c r="C1636" s="2" t="s">
        <v>5</v>
      </c>
      <c r="D1636" s="2" t="s">
        <v>288</v>
      </c>
      <c r="E1636" s="3">
        <v>13</v>
      </c>
      <c r="F1636" s="3">
        <f>+E1636/3</f>
        <v>4.333333333333333</v>
      </c>
      <c r="G1636" s="4">
        <v>44453</v>
      </c>
    </row>
    <row r="1637" spans="2:18">
      <c r="C1637" s="2" t="s">
        <v>4</v>
      </c>
      <c r="D1637" s="2" t="s">
        <v>288</v>
      </c>
      <c r="E1637" s="3">
        <v>6.2</v>
      </c>
      <c r="F1637" s="3">
        <v>2.6</v>
      </c>
      <c r="G1637" s="4">
        <v>44201</v>
      </c>
    </row>
    <row r="1638" spans="2:18">
      <c r="C1638" s="2" t="s">
        <v>9</v>
      </c>
      <c r="D1638" s="2" t="s">
        <v>153</v>
      </c>
      <c r="E1638" s="3">
        <v>300</v>
      </c>
      <c r="F1638" s="6" t="s">
        <v>1063</v>
      </c>
      <c r="G1638" s="4">
        <v>44271</v>
      </c>
    </row>
    <row r="1639" spans="2:18">
      <c r="C1639" s="2" t="s">
        <v>5</v>
      </c>
      <c r="D1639" s="2" t="s">
        <v>153</v>
      </c>
      <c r="E1639" s="3">
        <v>3</v>
      </c>
      <c r="F1639" s="6" t="s">
        <v>1067</v>
      </c>
      <c r="G1639" s="4">
        <v>41879</v>
      </c>
      <c r="I1639" s="1">
        <v>11</v>
      </c>
    </row>
    <row r="1640" spans="2:18">
      <c r="G1640" s="4"/>
    </row>
    <row r="1641" spans="2:18" s="12" customFormat="1">
      <c r="B1641" s="12" t="s">
        <v>748</v>
      </c>
      <c r="C1641" s="13" t="s">
        <v>984</v>
      </c>
      <c r="D1641" s="13" t="s">
        <v>983</v>
      </c>
      <c r="E1641" s="15"/>
      <c r="F1641" s="15">
        <f>SUM(F1642:F1646)</f>
        <v>29</v>
      </c>
      <c r="G1641" s="14">
        <f>G1643</f>
        <v>44776</v>
      </c>
    </row>
    <row r="1642" spans="2:18">
      <c r="C1642" s="2" t="s">
        <v>7</v>
      </c>
      <c r="D1642" s="2" t="s">
        <v>747</v>
      </c>
      <c r="E1642" s="3">
        <v>25</v>
      </c>
      <c r="F1642" s="3">
        <f>15/5</f>
        <v>3</v>
      </c>
      <c r="G1642" s="4">
        <v>44755</v>
      </c>
    </row>
    <row r="1643" spans="2:18">
      <c r="C1643" s="2" t="s">
        <v>8</v>
      </c>
      <c r="D1643" s="2" t="s">
        <v>456</v>
      </c>
      <c r="E1643" s="3">
        <v>90</v>
      </c>
      <c r="F1643" s="3">
        <v>5</v>
      </c>
      <c r="G1643" s="4">
        <v>44776</v>
      </c>
    </row>
    <row r="1644" spans="2:18">
      <c r="C1644" s="2" t="s">
        <v>18</v>
      </c>
      <c r="D1644" s="2" t="s">
        <v>456</v>
      </c>
      <c r="E1644" s="3">
        <v>40</v>
      </c>
      <c r="F1644" s="3">
        <v>10</v>
      </c>
      <c r="G1644" s="4">
        <v>44176</v>
      </c>
    </row>
    <row r="1645" spans="2:18">
      <c r="C1645" s="2" t="s">
        <v>18</v>
      </c>
      <c r="D1645" s="2" t="s">
        <v>424</v>
      </c>
      <c r="E1645" s="3">
        <v>23</v>
      </c>
      <c r="F1645" s="3">
        <v>3</v>
      </c>
      <c r="G1645" s="4">
        <v>44328</v>
      </c>
    </row>
    <row r="1646" spans="2:18">
      <c r="C1646" s="2" t="s">
        <v>7</v>
      </c>
      <c r="D1646" s="2" t="s">
        <v>424</v>
      </c>
      <c r="E1646" s="3">
        <v>16</v>
      </c>
      <c r="F1646" s="3">
        <v>8</v>
      </c>
      <c r="G1646" s="4">
        <v>42995</v>
      </c>
    </row>
    <row r="1647" spans="2:18">
      <c r="G1647" s="4"/>
    </row>
    <row r="1648" spans="2:18" s="12" customFormat="1">
      <c r="B1648" s="12" t="s">
        <v>1066</v>
      </c>
      <c r="C1648" s="13" t="s">
        <v>984</v>
      </c>
      <c r="D1648" s="13" t="s">
        <v>983</v>
      </c>
      <c r="E1648" s="15"/>
      <c r="F1648" s="15">
        <f>SUM(F1649:F1656)</f>
        <v>28.774999999999999</v>
      </c>
      <c r="G1648" s="14">
        <f>+G1649</f>
        <v>44698</v>
      </c>
      <c r="M1648" s="13"/>
      <c r="N1648" s="13"/>
      <c r="O1648" s="13"/>
      <c r="P1648" s="13"/>
      <c r="Q1648" s="13"/>
      <c r="R1648" s="13"/>
    </row>
    <row r="1649" spans="2:7">
      <c r="C1649" s="2" t="s">
        <v>5</v>
      </c>
      <c r="D1649" s="2" t="s">
        <v>785</v>
      </c>
      <c r="E1649" s="3">
        <v>12.8</v>
      </c>
      <c r="F1649" s="3">
        <v>3</v>
      </c>
      <c r="G1649" s="4">
        <v>44698</v>
      </c>
    </row>
    <row r="1650" spans="2:7">
      <c r="C1650" s="2" t="s">
        <v>4</v>
      </c>
      <c r="D1650" s="2" t="s">
        <v>785</v>
      </c>
      <c r="E1650" s="3">
        <v>5.5</v>
      </c>
      <c r="F1650" s="3">
        <v>1</v>
      </c>
      <c r="G1650" s="4">
        <v>44488</v>
      </c>
    </row>
    <row r="1651" spans="2:7">
      <c r="C1651" s="2" t="s">
        <v>4</v>
      </c>
      <c r="D1651" s="2" t="s">
        <v>660</v>
      </c>
      <c r="E1651" s="3">
        <v>8</v>
      </c>
      <c r="F1651" s="3">
        <v>1</v>
      </c>
      <c r="G1651" s="4">
        <v>44677</v>
      </c>
    </row>
    <row r="1652" spans="2:7">
      <c r="C1652" s="2" t="s">
        <v>7</v>
      </c>
      <c r="D1652" s="2" t="s">
        <v>484</v>
      </c>
      <c r="E1652" s="3">
        <v>90</v>
      </c>
      <c r="F1652" s="3">
        <v>6</v>
      </c>
      <c r="G1652" s="4">
        <v>44398</v>
      </c>
    </row>
    <row r="1653" spans="2:7">
      <c r="C1653" s="2" t="s">
        <v>5</v>
      </c>
      <c r="D1653" s="2" t="s">
        <v>484</v>
      </c>
      <c r="E1653" s="3">
        <v>22.8</v>
      </c>
      <c r="F1653" s="3">
        <v>6.4</v>
      </c>
      <c r="G1653" s="4">
        <v>43160</v>
      </c>
    </row>
    <row r="1654" spans="2:7">
      <c r="C1654" s="2" t="s">
        <v>5</v>
      </c>
      <c r="D1654" s="2" t="s">
        <v>320</v>
      </c>
      <c r="E1654" s="3">
        <v>57</v>
      </c>
      <c r="F1654" s="3">
        <v>6</v>
      </c>
      <c r="G1654" s="4">
        <v>44508</v>
      </c>
    </row>
    <row r="1655" spans="2:7">
      <c r="C1655" s="2" t="s">
        <v>7</v>
      </c>
      <c r="D1655" s="2" t="s">
        <v>133</v>
      </c>
      <c r="E1655" s="3">
        <v>23.5</v>
      </c>
      <c r="F1655" s="3">
        <f>13.5/4</f>
        <v>3.375</v>
      </c>
      <c r="G1655" s="4">
        <v>45008</v>
      </c>
    </row>
    <row r="1656" spans="2:7">
      <c r="C1656" s="2" t="s">
        <v>4</v>
      </c>
      <c r="D1656" s="2" t="s">
        <v>133</v>
      </c>
      <c r="E1656" s="3">
        <v>5</v>
      </c>
      <c r="F1656" s="3">
        <v>2</v>
      </c>
      <c r="G1656" s="4">
        <v>44176</v>
      </c>
    </row>
    <row r="1657" spans="2:7">
      <c r="G1657" s="4"/>
    </row>
    <row r="1658" spans="2:7">
      <c r="B1658" s="12" t="s">
        <v>1065</v>
      </c>
      <c r="C1658" s="13" t="s">
        <v>984</v>
      </c>
      <c r="D1658" s="13" t="s">
        <v>983</v>
      </c>
      <c r="E1658" s="15"/>
      <c r="F1658" s="15">
        <f>SUM(F1659:F1665)</f>
        <v>28.566666666666666</v>
      </c>
      <c r="G1658" s="14">
        <f>G1659</f>
        <v>45069</v>
      </c>
    </row>
    <row r="1659" spans="2:7">
      <c r="C1659" s="2" t="s">
        <v>4</v>
      </c>
      <c r="D1659" s="2" t="s">
        <v>691</v>
      </c>
      <c r="E1659" s="3">
        <v>5.3</v>
      </c>
      <c r="F1659" s="3">
        <v>2</v>
      </c>
      <c r="G1659" s="4">
        <v>45069</v>
      </c>
    </row>
    <row r="1660" spans="2:7">
      <c r="C1660" s="2" t="s">
        <v>18</v>
      </c>
      <c r="D1660" s="2" t="s">
        <v>703</v>
      </c>
      <c r="E1660" s="3">
        <v>125</v>
      </c>
      <c r="F1660" s="3">
        <v>9</v>
      </c>
      <c r="G1660" s="4">
        <v>44663</v>
      </c>
    </row>
    <row r="1661" spans="2:7">
      <c r="C1661" s="2" t="s">
        <v>7</v>
      </c>
      <c r="D1661" s="2" t="s">
        <v>703</v>
      </c>
      <c r="E1661" s="3">
        <v>54</v>
      </c>
      <c r="F1661" s="3">
        <f>40/6</f>
        <v>6.666666666666667</v>
      </c>
      <c r="G1661" s="4">
        <v>44089</v>
      </c>
    </row>
    <row r="1662" spans="2:7">
      <c r="C1662" s="2" t="s">
        <v>5</v>
      </c>
      <c r="D1662" s="2" t="s">
        <v>703</v>
      </c>
      <c r="E1662" s="3">
        <v>26</v>
      </c>
      <c r="F1662" s="3">
        <v>4</v>
      </c>
      <c r="G1662" s="4">
        <v>43809</v>
      </c>
    </row>
    <row r="1663" spans="2:7">
      <c r="C1663" s="2" t="s">
        <v>5</v>
      </c>
      <c r="D1663" s="2" t="s">
        <v>703</v>
      </c>
      <c r="E1663" s="3">
        <v>8</v>
      </c>
      <c r="F1663" s="3">
        <v>1</v>
      </c>
      <c r="G1663" s="4">
        <v>43249</v>
      </c>
    </row>
    <row r="1664" spans="2:7">
      <c r="C1664" s="2" t="s">
        <v>5</v>
      </c>
      <c r="D1664" s="2" t="s">
        <v>703</v>
      </c>
      <c r="E1664" s="3">
        <v>0.9</v>
      </c>
      <c r="F1664" s="3">
        <v>0.9</v>
      </c>
      <c r="G1664" s="4">
        <v>42951</v>
      </c>
    </row>
    <row r="1665" spans="2:18">
      <c r="C1665" s="2" t="s">
        <v>5</v>
      </c>
      <c r="D1665" s="2" t="s">
        <v>570</v>
      </c>
      <c r="E1665" s="3">
        <v>20</v>
      </c>
      <c r="F1665" s="3">
        <v>5</v>
      </c>
      <c r="G1665" s="4">
        <v>44671</v>
      </c>
    </row>
    <row r="1666" spans="2:18">
      <c r="G1666" s="4"/>
    </row>
    <row r="1667" spans="2:18">
      <c r="B1667" s="12" t="s">
        <v>1019</v>
      </c>
      <c r="C1667" s="13" t="s">
        <v>984</v>
      </c>
      <c r="D1667" s="13" t="s">
        <v>983</v>
      </c>
      <c r="E1667" s="15"/>
      <c r="F1667" s="15">
        <f>SUM(F1668:F1673)</f>
        <v>29</v>
      </c>
      <c r="G1667" s="14">
        <f>+G1668</f>
        <v>44900</v>
      </c>
    </row>
    <row r="1668" spans="2:18">
      <c r="C1668" s="2" t="s">
        <v>18</v>
      </c>
      <c r="D1668" s="2" t="s">
        <v>972</v>
      </c>
      <c r="E1668" s="3">
        <v>50</v>
      </c>
      <c r="F1668" s="3">
        <v>6</v>
      </c>
      <c r="G1668" s="4">
        <v>44900</v>
      </c>
    </row>
    <row r="1669" spans="2:18">
      <c r="C1669" s="2" t="s">
        <v>7</v>
      </c>
      <c r="D1669" s="2" t="s">
        <v>972</v>
      </c>
      <c r="E1669" s="3">
        <v>35</v>
      </c>
      <c r="F1669" s="3">
        <v>5</v>
      </c>
      <c r="G1669" s="4">
        <v>44543</v>
      </c>
    </row>
    <row r="1670" spans="2:18">
      <c r="C1670" s="2" t="s">
        <v>5</v>
      </c>
      <c r="D1670" s="2" t="s">
        <v>972</v>
      </c>
      <c r="E1670" s="3">
        <v>8.5</v>
      </c>
      <c r="F1670" s="3">
        <v>1</v>
      </c>
      <c r="G1670" s="4">
        <v>44181</v>
      </c>
    </row>
    <row r="1671" spans="2:18">
      <c r="C1671" s="2" t="s">
        <v>7</v>
      </c>
      <c r="D1671" s="2" t="s">
        <v>2170</v>
      </c>
      <c r="E1671" s="3">
        <v>176</v>
      </c>
      <c r="F1671" s="3">
        <v>13</v>
      </c>
      <c r="G1671" s="4">
        <v>44578</v>
      </c>
    </row>
    <row r="1672" spans="2:18">
      <c r="C1672" s="2" t="s">
        <v>5</v>
      </c>
      <c r="D1672" s="2" t="s">
        <v>2170</v>
      </c>
      <c r="E1672" s="3">
        <v>20</v>
      </c>
      <c r="F1672" s="3">
        <v>3</v>
      </c>
      <c r="G1672" s="4">
        <v>44044</v>
      </c>
    </row>
    <row r="1673" spans="2:18">
      <c r="C1673" s="2" t="s">
        <v>4</v>
      </c>
      <c r="D1673" s="2" t="s">
        <v>2170</v>
      </c>
      <c r="E1673" s="3">
        <v>3</v>
      </c>
      <c r="F1673" s="3">
        <v>1</v>
      </c>
      <c r="G1673" s="4">
        <v>42979</v>
      </c>
    </row>
    <row r="1674" spans="2:18">
      <c r="G1674" s="4"/>
    </row>
    <row r="1675" spans="2:18" s="12" customFormat="1">
      <c r="B1675" s="12" t="s">
        <v>4536</v>
      </c>
      <c r="C1675" s="13" t="s">
        <v>984</v>
      </c>
      <c r="D1675" s="13" t="s">
        <v>983</v>
      </c>
      <c r="E1675" s="15"/>
      <c r="F1675" s="15">
        <f>SUM(F1676:F1677)</f>
        <v>28.9</v>
      </c>
      <c r="G1675" s="14">
        <f>G1677</f>
        <v>39506</v>
      </c>
      <c r="M1675" s="13"/>
      <c r="N1675" s="13"/>
      <c r="O1675" s="13"/>
      <c r="P1675" s="13"/>
      <c r="Q1675" s="13"/>
      <c r="R1675" s="13"/>
    </row>
    <row r="1676" spans="2:18">
      <c r="C1676" s="2" t="s">
        <v>7</v>
      </c>
      <c r="D1676" s="2" t="s">
        <v>4031</v>
      </c>
      <c r="E1676" s="3">
        <v>10.5</v>
      </c>
      <c r="F1676" s="3">
        <v>10.5</v>
      </c>
      <c r="G1676" s="4">
        <v>39044</v>
      </c>
    </row>
    <row r="1677" spans="2:18">
      <c r="C1677" s="2" t="s">
        <v>18</v>
      </c>
      <c r="D1677" s="2" t="s">
        <v>4031</v>
      </c>
      <c r="E1677" s="3">
        <v>36.799999999999997</v>
      </c>
      <c r="F1677" s="3">
        <f>E1677/2</f>
        <v>18.399999999999999</v>
      </c>
      <c r="G1677" s="4">
        <v>39506</v>
      </c>
    </row>
    <row r="1678" spans="2:18">
      <c r="G1678" s="4"/>
    </row>
    <row r="1679" spans="2:18" s="12" customFormat="1">
      <c r="B1679" s="12" t="s">
        <v>1064</v>
      </c>
      <c r="C1679" s="13" t="s">
        <v>984</v>
      </c>
      <c r="D1679" s="13" t="s">
        <v>983</v>
      </c>
      <c r="E1679" s="15"/>
      <c r="F1679" s="15">
        <f>SUM(F1680:F1683)</f>
        <v>28.222222222222221</v>
      </c>
      <c r="G1679" s="14">
        <f>G1680</f>
        <v>44274</v>
      </c>
      <c r="M1679" s="13"/>
      <c r="N1679" s="13"/>
      <c r="O1679" s="13"/>
      <c r="P1679" s="13"/>
      <c r="Q1679" s="13"/>
      <c r="R1679" s="13"/>
    </row>
    <row r="1680" spans="2:18">
      <c r="C1680" s="2" t="s">
        <v>18</v>
      </c>
      <c r="D1680" s="2" t="s">
        <v>203</v>
      </c>
      <c r="E1680" s="3">
        <v>500</v>
      </c>
      <c r="F1680" s="3">
        <f>200/9</f>
        <v>22.222222222222221</v>
      </c>
      <c r="G1680" s="4">
        <v>44274</v>
      </c>
    </row>
    <row r="1681" spans="2:18">
      <c r="C1681" s="2" t="s">
        <v>7</v>
      </c>
      <c r="D1681" s="2" t="s">
        <v>203</v>
      </c>
      <c r="E1681" s="3">
        <v>46</v>
      </c>
      <c r="F1681" s="3">
        <v>6</v>
      </c>
      <c r="G1681" s="4">
        <v>42941</v>
      </c>
    </row>
    <row r="1682" spans="2:18">
      <c r="C1682" s="2" t="s">
        <v>9</v>
      </c>
      <c r="D1682" s="2" t="s">
        <v>153</v>
      </c>
      <c r="E1682" s="3">
        <v>300</v>
      </c>
      <c r="F1682" s="6" t="s">
        <v>1063</v>
      </c>
      <c r="G1682" s="4">
        <v>44271</v>
      </c>
    </row>
    <row r="1683" spans="2:18">
      <c r="C1683" s="2" t="s">
        <v>8</v>
      </c>
      <c r="D1683" s="2" t="s">
        <v>153</v>
      </c>
      <c r="E1683" s="3">
        <v>38</v>
      </c>
      <c r="F1683" s="6" t="s">
        <v>1062</v>
      </c>
      <c r="G1683" s="4">
        <v>43266</v>
      </c>
    </row>
    <row r="1684" spans="2:18">
      <c r="G1684" s="4"/>
    </row>
    <row r="1685" spans="2:18" s="12" customFormat="1">
      <c r="B1685" s="12" t="s">
        <v>620</v>
      </c>
      <c r="C1685" s="13" t="s">
        <v>984</v>
      </c>
      <c r="D1685" s="13" t="s">
        <v>983</v>
      </c>
      <c r="E1685" s="15"/>
      <c r="F1685" s="15">
        <f>SUM(F1686:F1689)</f>
        <v>28.2</v>
      </c>
      <c r="G1685" s="14">
        <f>G1686</f>
        <v>44215</v>
      </c>
    </row>
    <row r="1686" spans="2:18">
      <c r="C1686" s="2" t="s">
        <v>9</v>
      </c>
      <c r="D1686" s="2" t="s">
        <v>617</v>
      </c>
      <c r="E1686" s="3">
        <v>132</v>
      </c>
      <c r="F1686" s="3">
        <f>72/10</f>
        <v>7.2</v>
      </c>
      <c r="G1686" s="4">
        <v>44215</v>
      </c>
      <c r="M1686" s="1"/>
      <c r="N1686" s="1"/>
      <c r="O1686" s="1"/>
      <c r="P1686" s="1"/>
      <c r="Q1686" s="1"/>
      <c r="R1686" s="1"/>
    </row>
    <row r="1687" spans="2:18">
      <c r="C1687" s="2" t="s">
        <v>8</v>
      </c>
      <c r="D1687" s="2" t="s">
        <v>617</v>
      </c>
      <c r="E1687" s="3">
        <v>42</v>
      </c>
      <c r="F1687" s="3">
        <f>30/5</f>
        <v>6</v>
      </c>
      <c r="G1687" s="4">
        <v>44153</v>
      </c>
      <c r="M1687" s="1"/>
      <c r="N1687" s="1"/>
      <c r="O1687" s="1"/>
      <c r="P1687" s="1"/>
      <c r="Q1687" s="1"/>
      <c r="R1687" s="1"/>
    </row>
    <row r="1688" spans="2:18">
      <c r="C1688" s="2" t="s">
        <v>18</v>
      </c>
      <c r="D1688" s="2" t="s">
        <v>617</v>
      </c>
      <c r="E1688" s="3">
        <v>48</v>
      </c>
      <c r="F1688" s="3">
        <v>10</v>
      </c>
      <c r="G1688" s="4">
        <v>43888</v>
      </c>
      <c r="M1688" s="1"/>
      <c r="N1688" s="1"/>
      <c r="O1688" s="1"/>
      <c r="P1688" s="1"/>
      <c r="Q1688" s="1"/>
      <c r="R1688" s="1"/>
    </row>
    <row r="1689" spans="2:18">
      <c r="C1689" s="2" t="s">
        <v>7</v>
      </c>
      <c r="D1689" s="2" t="s">
        <v>617</v>
      </c>
      <c r="E1689" s="3">
        <v>25</v>
      </c>
      <c r="F1689" s="3">
        <v>5</v>
      </c>
      <c r="G1689" s="4">
        <v>43440</v>
      </c>
      <c r="M1689" s="1"/>
      <c r="N1689" s="1"/>
      <c r="O1689" s="1"/>
      <c r="P1689" s="1"/>
      <c r="Q1689" s="1"/>
      <c r="R1689" s="1"/>
    </row>
    <row r="1690" spans="2:18">
      <c r="G1690" s="4"/>
      <c r="M1690" s="1"/>
      <c r="N1690" s="1"/>
      <c r="O1690" s="1"/>
      <c r="P1690" s="1"/>
      <c r="Q1690" s="1"/>
      <c r="R1690" s="1"/>
    </row>
    <row r="1691" spans="2:18" s="12" customFormat="1">
      <c r="B1691" s="12" t="s">
        <v>212</v>
      </c>
      <c r="C1691" s="13" t="s">
        <v>984</v>
      </c>
      <c r="D1691" s="13" t="s">
        <v>983</v>
      </c>
      <c r="E1691" s="15"/>
      <c r="F1691" s="15">
        <f>SUM(F1692:F1693)</f>
        <v>28.222222222222221</v>
      </c>
      <c r="G1691" s="14">
        <f>G1692</f>
        <v>44274</v>
      </c>
      <c r="M1691" s="13"/>
      <c r="N1691" s="13"/>
      <c r="O1691" s="13"/>
      <c r="P1691" s="13"/>
      <c r="Q1691" s="13"/>
      <c r="R1691" s="13"/>
    </row>
    <row r="1692" spans="2:18">
      <c r="C1692" s="2" t="s">
        <v>18</v>
      </c>
      <c r="D1692" s="2" t="s">
        <v>203</v>
      </c>
      <c r="E1692" s="3">
        <v>500</v>
      </c>
      <c r="F1692" s="3">
        <f>200/9</f>
        <v>22.222222222222221</v>
      </c>
      <c r="G1692" s="4">
        <v>44274</v>
      </c>
    </row>
    <row r="1693" spans="2:18">
      <c r="C1693" s="2" t="s">
        <v>7</v>
      </c>
      <c r="D1693" s="2" t="s">
        <v>203</v>
      </c>
      <c r="E1693" s="3">
        <v>46</v>
      </c>
      <c r="F1693" s="3">
        <v>6</v>
      </c>
      <c r="G1693" s="4">
        <v>42941</v>
      </c>
    </row>
    <row r="1694" spans="2:18">
      <c r="G1694" s="4"/>
    </row>
    <row r="1695" spans="2:18" s="12" customFormat="1">
      <c r="B1695" s="12" t="s">
        <v>5085</v>
      </c>
      <c r="C1695" s="13" t="s">
        <v>984</v>
      </c>
      <c r="D1695" s="13" t="s">
        <v>983</v>
      </c>
      <c r="E1695" s="15"/>
      <c r="F1695" s="15">
        <f>SUM(F1696:F1698)</f>
        <v>26.8</v>
      </c>
      <c r="G1695" s="14">
        <f>G1696</f>
        <v>44320</v>
      </c>
      <c r="M1695" s="13"/>
      <c r="N1695" s="13"/>
      <c r="O1695" s="13"/>
      <c r="P1695" s="13"/>
      <c r="Q1695" s="13"/>
      <c r="R1695" s="13"/>
    </row>
    <row r="1696" spans="2:18">
      <c r="B1696" s="84"/>
      <c r="C1696" s="86" t="s">
        <v>8</v>
      </c>
      <c r="D1696" s="86" t="s">
        <v>5084</v>
      </c>
      <c r="E1696" s="3">
        <v>83</v>
      </c>
      <c r="F1696" s="3">
        <f>68/10</f>
        <v>6.8</v>
      </c>
      <c r="G1696" s="4">
        <v>44320</v>
      </c>
      <c r="I1696" s="1">
        <v>3600</v>
      </c>
      <c r="J1696" s="1">
        <v>3600</v>
      </c>
    </row>
    <row r="1697" spans="2:18">
      <c r="B1697" s="84"/>
      <c r="C1697" s="86" t="s">
        <v>18</v>
      </c>
      <c r="D1697" s="86" t="s">
        <v>5084</v>
      </c>
      <c r="E1697" s="3">
        <v>100</v>
      </c>
      <c r="F1697" s="3">
        <f>80/8</f>
        <v>10</v>
      </c>
      <c r="G1697" s="4">
        <v>43937</v>
      </c>
      <c r="I1697" s="1">
        <v>1100</v>
      </c>
      <c r="J1697" s="1">
        <v>3600</v>
      </c>
    </row>
    <row r="1698" spans="2:18">
      <c r="B1698" s="84"/>
      <c r="C1698" s="86" t="s">
        <v>7</v>
      </c>
      <c r="D1698" s="86" t="s">
        <v>5084</v>
      </c>
      <c r="E1698" s="3">
        <v>40</v>
      </c>
      <c r="F1698" s="3">
        <v>10</v>
      </c>
      <c r="G1698" s="4">
        <v>43522</v>
      </c>
      <c r="J1698" s="1">
        <v>3600</v>
      </c>
    </row>
    <row r="1699" spans="2:18">
      <c r="B1699" s="84"/>
      <c r="C1699" s="86"/>
      <c r="D1699" s="86"/>
      <c r="G1699" s="4"/>
    </row>
    <row r="1700" spans="2:18" s="12" customFormat="1">
      <c r="B1700" s="12" t="s">
        <v>668</v>
      </c>
      <c r="C1700" s="13" t="s">
        <v>984</v>
      </c>
      <c r="D1700" s="13" t="s">
        <v>983</v>
      </c>
      <c r="E1700" s="15"/>
      <c r="F1700" s="15">
        <f>SUM(F1701:F1704)</f>
        <v>26.745454545454546</v>
      </c>
      <c r="G1700" s="14">
        <f>G1702</f>
        <v>44776</v>
      </c>
      <c r="M1700" s="13"/>
      <c r="N1700" s="13"/>
      <c r="O1700" s="13"/>
      <c r="P1700" s="13"/>
      <c r="Q1700" s="13"/>
      <c r="R1700" s="13"/>
    </row>
    <row r="1701" spans="2:18">
      <c r="C1701" s="2" t="s">
        <v>5</v>
      </c>
      <c r="D1701" s="2" t="s">
        <v>667</v>
      </c>
      <c r="E1701" s="3">
        <v>12.6</v>
      </c>
      <c r="F1701" s="3">
        <f>6.6/3</f>
        <v>2.1999999999999997</v>
      </c>
      <c r="G1701" s="4">
        <v>44579</v>
      </c>
      <c r="M1701" s="1"/>
      <c r="N1701" s="1"/>
      <c r="O1701" s="1"/>
      <c r="P1701" s="1"/>
      <c r="Q1701" s="1"/>
      <c r="R1701" s="1"/>
    </row>
    <row r="1702" spans="2:18">
      <c r="C1702" s="2" t="s">
        <v>8</v>
      </c>
      <c r="D1702" s="2" t="s">
        <v>456</v>
      </c>
      <c r="E1702" s="3">
        <v>90</v>
      </c>
      <c r="F1702" s="3">
        <f>50/11</f>
        <v>4.5454545454545459</v>
      </c>
      <c r="G1702" s="4">
        <v>44776</v>
      </c>
      <c r="M1702" s="1"/>
      <c r="N1702" s="1"/>
      <c r="O1702" s="1"/>
      <c r="P1702" s="1"/>
      <c r="Q1702" s="1"/>
      <c r="R1702" s="1"/>
    </row>
    <row r="1703" spans="2:18">
      <c r="C1703" s="2" t="s">
        <v>9</v>
      </c>
      <c r="D1703" s="2" t="s">
        <v>3</v>
      </c>
      <c r="E1703" s="3">
        <v>90</v>
      </c>
      <c r="F1703" s="3">
        <v>10</v>
      </c>
      <c r="G1703" s="4">
        <v>44721</v>
      </c>
      <c r="I1703" s="1">
        <v>2200</v>
      </c>
      <c r="J1703" s="1">
        <v>2200</v>
      </c>
      <c r="M1703" s="1"/>
      <c r="N1703" s="1"/>
      <c r="O1703" s="1"/>
      <c r="P1703" s="1"/>
      <c r="Q1703" s="1"/>
      <c r="R1703" s="1"/>
    </row>
    <row r="1704" spans="2:18">
      <c r="C1704" s="2" t="s">
        <v>7</v>
      </c>
      <c r="D1704" s="2" t="s">
        <v>3</v>
      </c>
      <c r="E1704" s="3">
        <v>25</v>
      </c>
      <c r="F1704" s="3">
        <v>10</v>
      </c>
      <c r="G1704" s="4">
        <v>43697</v>
      </c>
      <c r="J1704" s="1">
        <v>2200</v>
      </c>
      <c r="M1704" s="1"/>
      <c r="N1704" s="1"/>
      <c r="O1704" s="1"/>
      <c r="P1704" s="1"/>
      <c r="Q1704" s="1"/>
      <c r="R1704" s="1"/>
    </row>
    <row r="1705" spans="2:18">
      <c r="G1705" s="4"/>
      <c r="M1705" s="1"/>
      <c r="N1705" s="1"/>
      <c r="O1705" s="1"/>
      <c r="P1705" s="1"/>
      <c r="Q1705" s="1"/>
      <c r="R1705" s="1"/>
    </row>
    <row r="1706" spans="2:18" s="12" customFormat="1">
      <c r="B1706" s="12" t="s">
        <v>956</v>
      </c>
      <c r="C1706" s="13" t="s">
        <v>984</v>
      </c>
      <c r="D1706" s="13" t="s">
        <v>983</v>
      </c>
      <c r="E1706" s="15"/>
      <c r="F1706" s="15">
        <f>SUM(F1707:F1708)</f>
        <v>27.166666666666664</v>
      </c>
      <c r="G1706" s="14">
        <f>G1707</f>
        <v>43682</v>
      </c>
      <c r="M1706" s="13"/>
      <c r="N1706" s="13"/>
      <c r="O1706" s="13"/>
      <c r="P1706" s="13"/>
      <c r="Q1706" s="13"/>
      <c r="R1706" s="13"/>
    </row>
    <row r="1707" spans="2:18">
      <c r="C1707" s="2" t="s">
        <v>18</v>
      </c>
      <c r="D1707" s="2" t="s">
        <v>815</v>
      </c>
      <c r="E1707" s="3">
        <v>100</v>
      </c>
      <c r="F1707" s="3">
        <v>13</v>
      </c>
      <c r="G1707" s="4">
        <v>43682</v>
      </c>
    </row>
    <row r="1708" spans="2:18">
      <c r="C1708" s="2" t="s">
        <v>8</v>
      </c>
      <c r="D1708" s="2" t="s">
        <v>49</v>
      </c>
      <c r="E1708" s="3">
        <v>145</v>
      </c>
      <c r="F1708" s="3">
        <f>85/6</f>
        <v>14.166666666666666</v>
      </c>
      <c r="G1708" s="4">
        <v>43228</v>
      </c>
      <c r="I1708" s="1">
        <v>855</v>
      </c>
      <c r="J1708" s="1">
        <v>4100</v>
      </c>
    </row>
    <row r="1709" spans="2:18">
      <c r="G1709" s="4"/>
    </row>
    <row r="1710" spans="2:18">
      <c r="B1710" s="12" t="s">
        <v>1061</v>
      </c>
      <c r="C1710" s="13" t="s">
        <v>984</v>
      </c>
      <c r="D1710" s="13" t="s">
        <v>983</v>
      </c>
      <c r="E1710" s="15"/>
      <c r="F1710" s="15">
        <f>SUM(F1711:F1719)</f>
        <v>26.5</v>
      </c>
      <c r="G1710" s="14">
        <f>+G1716</f>
        <v>44398</v>
      </c>
    </row>
    <row r="1711" spans="2:18">
      <c r="C1711" s="2" t="s">
        <v>285</v>
      </c>
      <c r="D1711" s="2" t="s">
        <v>775</v>
      </c>
      <c r="E1711" s="3">
        <v>1</v>
      </c>
      <c r="F1711" s="3">
        <v>0.5</v>
      </c>
      <c r="G1711" s="4">
        <v>44287</v>
      </c>
    </row>
    <row r="1712" spans="2:18">
      <c r="C1712" s="2" t="s">
        <v>5</v>
      </c>
      <c r="D1712" s="2" t="s">
        <v>972</v>
      </c>
      <c r="E1712" s="3">
        <v>8.5</v>
      </c>
      <c r="F1712" s="3">
        <v>1</v>
      </c>
      <c r="G1712" s="4">
        <v>44181</v>
      </c>
    </row>
    <row r="1713" spans="2:18">
      <c r="C1713" s="2" t="s">
        <v>5</v>
      </c>
      <c r="D1713" s="2" t="s">
        <v>706</v>
      </c>
      <c r="E1713" s="3">
        <v>20</v>
      </c>
      <c r="F1713" s="3">
        <f>10/4</f>
        <v>2.5</v>
      </c>
      <c r="G1713" s="4">
        <v>44392</v>
      </c>
    </row>
    <row r="1714" spans="2:18">
      <c r="C1714" s="2" t="s">
        <v>4</v>
      </c>
      <c r="D1714" s="2" t="s">
        <v>674</v>
      </c>
      <c r="E1714" s="3">
        <v>4.5</v>
      </c>
      <c r="F1714" s="3">
        <v>0.5</v>
      </c>
      <c r="G1714" s="4">
        <v>44293</v>
      </c>
    </row>
    <row r="1715" spans="2:18">
      <c r="C1715" s="2" t="s">
        <v>7</v>
      </c>
      <c r="D1715" s="2" t="s">
        <v>610</v>
      </c>
      <c r="E1715" s="3">
        <v>54</v>
      </c>
      <c r="F1715" s="3">
        <f>40/5</f>
        <v>8</v>
      </c>
      <c r="G1715" s="4">
        <v>44089</v>
      </c>
    </row>
    <row r="1716" spans="2:18">
      <c r="C1716" s="2" t="s">
        <v>7</v>
      </c>
      <c r="D1716" s="2" t="s">
        <v>484</v>
      </c>
      <c r="E1716" s="3">
        <v>90</v>
      </c>
      <c r="F1716" s="3">
        <v>6</v>
      </c>
      <c r="G1716" s="4">
        <v>44398</v>
      </c>
    </row>
    <row r="1717" spans="2:18">
      <c r="C1717" s="2" t="s">
        <v>7</v>
      </c>
      <c r="D1717" s="2" t="s">
        <v>535</v>
      </c>
      <c r="E1717" s="3">
        <v>32</v>
      </c>
      <c r="F1717" s="3">
        <v>3</v>
      </c>
      <c r="G1717" s="4">
        <v>44364</v>
      </c>
    </row>
    <row r="1718" spans="2:18">
      <c r="C1718" s="2" t="s">
        <v>5</v>
      </c>
      <c r="D1718" s="2" t="s">
        <v>305</v>
      </c>
      <c r="E1718" s="3">
        <v>15</v>
      </c>
      <c r="F1718" s="3">
        <v>2</v>
      </c>
      <c r="G1718" s="4">
        <v>44314</v>
      </c>
    </row>
    <row r="1719" spans="2:18">
      <c r="C1719" s="2" t="s">
        <v>5</v>
      </c>
      <c r="D1719" s="2" t="s">
        <v>2170</v>
      </c>
      <c r="E1719" s="3">
        <v>20</v>
      </c>
      <c r="F1719" s="3">
        <v>3</v>
      </c>
      <c r="G1719" s="4">
        <v>44044</v>
      </c>
    </row>
    <row r="1721" spans="2:18" s="12" customFormat="1">
      <c r="B1721" s="12" t="s">
        <v>4535</v>
      </c>
      <c r="C1721" s="13" t="s">
        <v>984</v>
      </c>
      <c r="D1721" s="13" t="s">
        <v>983</v>
      </c>
      <c r="E1721" s="15"/>
      <c r="F1721" s="15">
        <f>SUM(F1722:F1723)</f>
        <v>25.9</v>
      </c>
      <c r="G1721" s="14">
        <f>G1723</f>
        <v>39506</v>
      </c>
      <c r="M1721" s="13"/>
      <c r="N1721" s="13"/>
      <c r="O1721" s="13"/>
      <c r="P1721" s="13"/>
      <c r="Q1721" s="13"/>
      <c r="R1721" s="13"/>
    </row>
    <row r="1722" spans="2:18">
      <c r="C1722" s="2" t="s">
        <v>5</v>
      </c>
      <c r="D1722" s="2" t="s">
        <v>4031</v>
      </c>
      <c r="E1722" s="3">
        <v>7.5</v>
      </c>
      <c r="F1722" s="3">
        <v>7.5</v>
      </c>
      <c r="G1722" s="4">
        <v>38919</v>
      </c>
    </row>
    <row r="1723" spans="2:18">
      <c r="C1723" s="2" t="s">
        <v>18</v>
      </c>
      <c r="D1723" s="2" t="s">
        <v>4031</v>
      </c>
      <c r="E1723" s="3">
        <v>36.799999999999997</v>
      </c>
      <c r="F1723" s="3">
        <f>E1723/2</f>
        <v>18.399999999999999</v>
      </c>
      <c r="G1723" s="4">
        <v>39506</v>
      </c>
    </row>
    <row r="1724" spans="2:18">
      <c r="G1724" s="4"/>
    </row>
    <row r="1725" spans="2:18" s="12" customFormat="1">
      <c r="B1725" s="12" t="s">
        <v>629</v>
      </c>
      <c r="C1725" s="13" t="s">
        <v>984</v>
      </c>
      <c r="D1725" s="13" t="s">
        <v>983</v>
      </c>
      <c r="E1725" s="15"/>
      <c r="F1725" s="15">
        <f>SUM(F1726:F1727)</f>
        <v>26</v>
      </c>
      <c r="G1725" s="14">
        <f>G1726</f>
        <v>44215</v>
      </c>
    </row>
    <row r="1726" spans="2:18">
      <c r="C1726" s="2" t="s">
        <v>9</v>
      </c>
      <c r="D1726" s="2" t="s">
        <v>617</v>
      </c>
      <c r="E1726" s="3">
        <v>132</v>
      </c>
      <c r="F1726" s="3">
        <v>20</v>
      </c>
      <c r="G1726" s="4">
        <v>44215</v>
      </c>
      <c r="M1726" s="1"/>
      <c r="N1726" s="1"/>
      <c r="O1726" s="1"/>
      <c r="P1726" s="1"/>
      <c r="Q1726" s="1"/>
      <c r="R1726" s="1"/>
    </row>
    <row r="1727" spans="2:18">
      <c r="C1727" s="2" t="s">
        <v>8</v>
      </c>
      <c r="D1727" s="2" t="s">
        <v>617</v>
      </c>
      <c r="E1727" s="3">
        <v>42</v>
      </c>
      <c r="F1727" s="3">
        <f>30/5</f>
        <v>6</v>
      </c>
      <c r="G1727" s="4">
        <v>44153</v>
      </c>
      <c r="M1727" s="1"/>
      <c r="N1727" s="1"/>
      <c r="O1727" s="1"/>
      <c r="P1727" s="1"/>
      <c r="Q1727" s="1"/>
      <c r="R1727" s="1"/>
    </row>
    <row r="1728" spans="2:18">
      <c r="G1728" s="4"/>
      <c r="M1728" s="1"/>
      <c r="N1728" s="1"/>
      <c r="O1728" s="1"/>
      <c r="P1728" s="1"/>
      <c r="Q1728" s="1"/>
      <c r="R1728" s="1"/>
    </row>
    <row r="1729" spans="2:18" s="12" customFormat="1">
      <c r="B1729" s="12" t="s">
        <v>639</v>
      </c>
      <c r="C1729" s="13" t="s">
        <v>984</v>
      </c>
      <c r="D1729" s="13" t="s">
        <v>983</v>
      </c>
      <c r="E1729" s="15"/>
      <c r="F1729" s="15">
        <f>SUM(F1730:F1733)</f>
        <v>25</v>
      </c>
      <c r="G1729" s="14">
        <f>G1730</f>
        <v>44930</v>
      </c>
    </row>
    <row r="1730" spans="2:18">
      <c r="C1730" s="2" t="s">
        <v>5</v>
      </c>
      <c r="D1730" s="2" t="s">
        <v>635</v>
      </c>
      <c r="E1730" s="3">
        <v>10</v>
      </c>
      <c r="F1730" s="3">
        <v>4</v>
      </c>
      <c r="G1730" s="4">
        <v>44930</v>
      </c>
      <c r="M1730" s="1"/>
      <c r="N1730" s="1"/>
      <c r="O1730" s="1"/>
      <c r="P1730" s="1"/>
      <c r="Q1730" s="1"/>
      <c r="R1730" s="1"/>
    </row>
    <row r="1731" spans="2:18">
      <c r="C1731" s="2" t="s">
        <v>7</v>
      </c>
      <c r="D1731" s="2" t="s">
        <v>2170</v>
      </c>
      <c r="E1731" s="3">
        <v>176</v>
      </c>
      <c r="F1731" s="3">
        <v>13</v>
      </c>
      <c r="G1731" s="4">
        <v>44578</v>
      </c>
      <c r="M1731" s="1"/>
      <c r="N1731" s="1"/>
      <c r="O1731" s="1"/>
      <c r="P1731" s="1"/>
      <c r="Q1731" s="1"/>
      <c r="R1731" s="1"/>
    </row>
    <row r="1732" spans="2:18">
      <c r="C1732" s="2" t="s">
        <v>5</v>
      </c>
      <c r="D1732" s="2" t="s">
        <v>2170</v>
      </c>
      <c r="E1732" s="3">
        <v>20</v>
      </c>
      <c r="F1732" s="3">
        <v>5</v>
      </c>
      <c r="G1732" s="4">
        <v>44044</v>
      </c>
      <c r="M1732" s="1"/>
      <c r="N1732" s="1"/>
      <c r="O1732" s="1"/>
      <c r="P1732" s="1"/>
      <c r="Q1732" s="1"/>
      <c r="R1732" s="1"/>
    </row>
    <row r="1733" spans="2:18">
      <c r="C1733" s="2" t="s">
        <v>5</v>
      </c>
      <c r="D1733" s="2" t="s">
        <v>2170</v>
      </c>
      <c r="E1733" s="3">
        <v>20</v>
      </c>
      <c r="F1733" s="3">
        <v>3</v>
      </c>
      <c r="G1733" s="4">
        <v>43647</v>
      </c>
      <c r="M1733" s="1"/>
      <c r="N1733" s="1"/>
      <c r="O1733" s="1"/>
      <c r="P1733" s="1"/>
      <c r="Q1733" s="1"/>
      <c r="R1733" s="1"/>
    </row>
    <row r="1734" spans="2:18">
      <c r="G1734" s="4"/>
      <c r="M1734" s="1"/>
      <c r="N1734" s="1"/>
      <c r="O1734" s="1"/>
      <c r="P1734" s="1"/>
      <c r="Q1734" s="1"/>
      <c r="R1734" s="1"/>
    </row>
    <row r="1735" spans="2:18" s="12" customFormat="1">
      <c r="B1735" s="12" t="s">
        <v>400</v>
      </c>
      <c r="C1735" s="13" t="s">
        <v>984</v>
      </c>
      <c r="D1735" s="13" t="s">
        <v>983</v>
      </c>
      <c r="E1735" s="15"/>
      <c r="F1735" s="15">
        <f>SUM(F1736:F1738)</f>
        <v>24.5</v>
      </c>
      <c r="G1735" s="14">
        <f>G1736</f>
        <v>44286</v>
      </c>
    </row>
    <row r="1736" spans="2:18">
      <c r="C1736" s="2" t="s">
        <v>8</v>
      </c>
      <c r="D1736" s="2" t="s">
        <v>393</v>
      </c>
      <c r="E1736" s="3">
        <v>140</v>
      </c>
      <c r="F1736" s="3">
        <v>10</v>
      </c>
      <c r="G1736" s="4">
        <v>44286</v>
      </c>
      <c r="M1736" s="1"/>
      <c r="N1736" s="1"/>
      <c r="O1736" s="1"/>
      <c r="P1736" s="1"/>
      <c r="Q1736" s="1"/>
      <c r="R1736" s="1"/>
    </row>
    <row r="1737" spans="2:18">
      <c r="C1737" s="2" t="s">
        <v>18</v>
      </c>
      <c r="D1737" s="2" t="s">
        <v>393</v>
      </c>
      <c r="E1737" s="3">
        <v>110</v>
      </c>
      <c r="F1737" s="3">
        <v>10</v>
      </c>
      <c r="G1737" s="4">
        <v>43690</v>
      </c>
      <c r="M1737" s="1"/>
      <c r="N1737" s="1"/>
      <c r="O1737" s="1"/>
      <c r="P1737" s="1"/>
      <c r="Q1737" s="1"/>
      <c r="R1737" s="1"/>
    </row>
    <row r="1738" spans="2:18">
      <c r="C1738" s="2" t="s">
        <v>5</v>
      </c>
      <c r="D1738" s="2" t="s">
        <v>393</v>
      </c>
      <c r="E1738" s="3">
        <v>5.5</v>
      </c>
      <c r="F1738" s="3">
        <v>4.5</v>
      </c>
      <c r="G1738" s="4">
        <v>42156</v>
      </c>
      <c r="M1738" s="1"/>
      <c r="N1738" s="1"/>
      <c r="O1738" s="1"/>
      <c r="P1738" s="1"/>
      <c r="Q1738" s="1"/>
      <c r="R1738" s="1"/>
    </row>
    <row r="1739" spans="2:18">
      <c r="G1739" s="4"/>
      <c r="M1739" s="1"/>
      <c r="N1739" s="1"/>
      <c r="O1739" s="1"/>
      <c r="P1739" s="1"/>
      <c r="Q1739" s="1"/>
      <c r="R1739" s="1"/>
    </row>
    <row r="1740" spans="2:18" s="12" customFormat="1">
      <c r="B1740" s="12" t="s">
        <v>905</v>
      </c>
      <c r="C1740" s="13" t="s">
        <v>984</v>
      </c>
      <c r="D1740" s="13" t="s">
        <v>983</v>
      </c>
      <c r="E1740" s="15"/>
      <c r="F1740" s="15">
        <f>SUM(F1741:F1742)</f>
        <v>25</v>
      </c>
      <c r="G1740" s="14">
        <f>G1741</f>
        <v>44650</v>
      </c>
      <c r="M1740" s="13"/>
      <c r="N1740" s="13"/>
      <c r="O1740" s="13"/>
      <c r="P1740" s="13"/>
      <c r="Q1740" s="13"/>
      <c r="R1740" s="13"/>
    </row>
    <row r="1741" spans="2:18">
      <c r="C1741" s="2" t="s">
        <v>7</v>
      </c>
      <c r="D1741" s="2" t="s">
        <v>904</v>
      </c>
      <c r="E1741" s="3">
        <v>40</v>
      </c>
      <c r="F1741" s="3">
        <v>5</v>
      </c>
      <c r="G1741" s="4">
        <v>44650</v>
      </c>
    </row>
    <row r="1742" spans="2:18">
      <c r="C1742" s="2" t="s">
        <v>8</v>
      </c>
      <c r="D1742" s="2" t="s">
        <v>2176</v>
      </c>
      <c r="E1742" s="3">
        <v>200</v>
      </c>
      <c r="F1742" s="3">
        <v>20</v>
      </c>
      <c r="G1742" s="4">
        <v>44237</v>
      </c>
    </row>
    <row r="1743" spans="2:18">
      <c r="G1743" s="4"/>
    </row>
    <row r="1744" spans="2:18">
      <c r="B1744" s="12" t="s">
        <v>1048</v>
      </c>
      <c r="C1744" s="13" t="s">
        <v>984</v>
      </c>
      <c r="D1744" s="13" t="s">
        <v>983</v>
      </c>
      <c r="F1744" s="15">
        <f>SUM(F1745:F1754)</f>
        <v>25.966666666666669</v>
      </c>
      <c r="G1744" s="14">
        <f>G1750</f>
        <v>45092</v>
      </c>
    </row>
    <row r="1745" spans="2:18">
      <c r="C1745" s="2" t="s">
        <v>7</v>
      </c>
      <c r="D1745" s="2" t="s">
        <v>808</v>
      </c>
      <c r="E1745" s="3">
        <v>50</v>
      </c>
      <c r="F1745" s="3">
        <v>6</v>
      </c>
      <c r="G1745" s="4">
        <v>45036</v>
      </c>
    </row>
    <row r="1746" spans="2:18">
      <c r="C1746" s="2" t="s">
        <v>5</v>
      </c>
      <c r="D1746" s="2" t="s">
        <v>808</v>
      </c>
      <c r="E1746" s="3">
        <v>16.5</v>
      </c>
      <c r="F1746" s="3">
        <v>1</v>
      </c>
      <c r="G1746" s="4">
        <v>44614</v>
      </c>
    </row>
    <row r="1747" spans="2:18">
      <c r="C1747" s="2" t="s">
        <v>4</v>
      </c>
      <c r="D1747" s="2" t="s">
        <v>808</v>
      </c>
      <c r="E1747" s="3">
        <v>1.2</v>
      </c>
      <c r="F1747" s="3">
        <v>0.5</v>
      </c>
      <c r="G1747" s="4">
        <v>44044</v>
      </c>
    </row>
    <row r="1748" spans="2:18">
      <c r="C1748" s="2" t="s">
        <v>7</v>
      </c>
      <c r="D1748" s="2" t="s">
        <v>904</v>
      </c>
      <c r="E1748" s="3">
        <v>40</v>
      </c>
      <c r="F1748" s="3">
        <f>30/6</f>
        <v>5</v>
      </c>
      <c r="G1748" s="4">
        <v>44650</v>
      </c>
    </row>
    <row r="1749" spans="2:18">
      <c r="C1749" s="2" t="s">
        <v>5</v>
      </c>
      <c r="D1749" s="2" t="s">
        <v>904</v>
      </c>
      <c r="E1749" s="3">
        <v>14</v>
      </c>
      <c r="F1749" s="3">
        <f>9/5</f>
        <v>1.8</v>
      </c>
      <c r="G1749" s="4">
        <v>44131</v>
      </c>
    </row>
    <row r="1750" spans="2:18">
      <c r="C1750" s="2" t="s">
        <v>4</v>
      </c>
      <c r="D1750" s="2" t="s">
        <v>721</v>
      </c>
      <c r="E1750" s="3">
        <v>5.5</v>
      </c>
      <c r="F1750" s="3">
        <v>1</v>
      </c>
      <c r="G1750" s="4">
        <v>45092</v>
      </c>
    </row>
    <row r="1751" spans="2:18">
      <c r="C1751" s="2" t="s">
        <v>4</v>
      </c>
      <c r="D1751" s="2" t="s">
        <v>663</v>
      </c>
      <c r="E1751" s="3">
        <v>12</v>
      </c>
      <c r="F1751" s="3">
        <v>2</v>
      </c>
      <c r="G1751" s="4">
        <v>44971</v>
      </c>
    </row>
    <row r="1752" spans="2:18">
      <c r="C1752" s="2" t="s">
        <v>4</v>
      </c>
      <c r="D1752" s="2" t="s">
        <v>663</v>
      </c>
      <c r="E1752" s="3">
        <v>5</v>
      </c>
      <c r="F1752" s="3">
        <v>2</v>
      </c>
      <c r="G1752" s="4">
        <v>44769</v>
      </c>
    </row>
    <row r="1753" spans="2:18">
      <c r="C1753" s="96" t="s">
        <v>18</v>
      </c>
      <c r="D1753" s="96" t="s">
        <v>5209</v>
      </c>
      <c r="E1753" s="3">
        <v>27</v>
      </c>
      <c r="F1753" s="3">
        <f>17/3</f>
        <v>5.666666666666667</v>
      </c>
      <c r="G1753" s="4">
        <v>42851</v>
      </c>
    </row>
    <row r="1754" spans="2:18">
      <c r="C1754" s="96" t="s">
        <v>5</v>
      </c>
      <c r="D1754" s="96" t="s">
        <v>5209</v>
      </c>
      <c r="E1754" s="3">
        <v>3</v>
      </c>
      <c r="F1754" s="3">
        <v>1</v>
      </c>
      <c r="G1754" s="4">
        <v>42220</v>
      </c>
    </row>
    <row r="1755" spans="2:18">
      <c r="G1755" s="4"/>
    </row>
    <row r="1756" spans="2:18" s="12" customFormat="1">
      <c r="B1756" s="12" t="s">
        <v>1018</v>
      </c>
      <c r="C1756" s="13" t="s">
        <v>984</v>
      </c>
      <c r="D1756" s="13" t="s">
        <v>983</v>
      </c>
      <c r="E1756" s="15"/>
      <c r="F1756" s="15">
        <f>SUM(F1757:F1760)</f>
        <v>24.885714285714286</v>
      </c>
      <c r="G1756" s="14">
        <f>G1757</f>
        <v>44650</v>
      </c>
      <c r="M1756" s="13"/>
      <c r="N1756" s="13"/>
      <c r="O1756" s="13"/>
      <c r="P1756" s="13"/>
      <c r="Q1756" s="13"/>
      <c r="R1756" s="13"/>
    </row>
    <row r="1757" spans="2:18">
      <c r="C1757" s="2" t="s">
        <v>7</v>
      </c>
      <c r="D1757" s="2" t="s">
        <v>904</v>
      </c>
      <c r="E1757" s="3">
        <v>40</v>
      </c>
      <c r="F1757" s="3">
        <v>5</v>
      </c>
      <c r="G1757" s="4">
        <v>44650</v>
      </c>
    </row>
    <row r="1758" spans="2:18">
      <c r="C1758" s="2" t="s">
        <v>5</v>
      </c>
      <c r="D1758" s="2" t="s">
        <v>904</v>
      </c>
      <c r="E1758" s="3">
        <v>14</v>
      </c>
      <c r="F1758" s="3">
        <f>9/5</f>
        <v>1.8</v>
      </c>
      <c r="G1758" s="4">
        <v>44131</v>
      </c>
    </row>
    <row r="1759" spans="2:18">
      <c r="C1759" s="2" t="s">
        <v>5</v>
      </c>
      <c r="D1759" s="2" t="s">
        <v>883</v>
      </c>
      <c r="E1759" s="3">
        <v>21.4</v>
      </c>
      <c r="F1759" s="3">
        <f>11.4/3</f>
        <v>3.8000000000000003</v>
      </c>
      <c r="G1759" s="4">
        <v>44232</v>
      </c>
    </row>
    <row r="1760" spans="2:18">
      <c r="C1760" s="86" t="s">
        <v>18</v>
      </c>
      <c r="D1760" s="86" t="s">
        <v>2157</v>
      </c>
      <c r="E1760" s="3">
        <v>300</v>
      </c>
      <c r="F1760" s="3">
        <f>200/14</f>
        <v>14.285714285714286</v>
      </c>
      <c r="G1760" s="4">
        <v>44300</v>
      </c>
    </row>
    <row r="1761" spans="2:18">
      <c r="G1761" s="4"/>
    </row>
    <row r="1762" spans="2:18" s="12" customFormat="1">
      <c r="B1762" s="12" t="s">
        <v>818</v>
      </c>
      <c r="C1762" s="13" t="s">
        <v>984</v>
      </c>
      <c r="D1762" s="13" t="s">
        <v>983</v>
      </c>
      <c r="E1762" s="15"/>
      <c r="F1762" s="15">
        <f>SUM(F1763:F1764)</f>
        <v>23.6</v>
      </c>
      <c r="G1762" s="14">
        <f>G1763</f>
        <v>44623</v>
      </c>
      <c r="M1762" s="13"/>
      <c r="N1762" s="13"/>
      <c r="O1762" s="13"/>
      <c r="P1762" s="13"/>
      <c r="Q1762" s="13"/>
      <c r="R1762" s="13"/>
    </row>
    <row r="1763" spans="2:18">
      <c r="C1763" s="2" t="s">
        <v>4</v>
      </c>
      <c r="D1763" s="2" t="s">
        <v>712</v>
      </c>
      <c r="E1763" s="3">
        <v>12.5</v>
      </c>
      <c r="F1763" s="3">
        <f>8/5</f>
        <v>1.6</v>
      </c>
      <c r="G1763" s="4">
        <v>44623</v>
      </c>
    </row>
    <row r="1764" spans="2:18">
      <c r="C1764" s="2" t="s">
        <v>8</v>
      </c>
      <c r="D1764" s="2" t="s">
        <v>41</v>
      </c>
      <c r="E1764" s="3">
        <v>170</v>
      </c>
      <c r="F1764" s="3">
        <f>110/5</f>
        <v>22</v>
      </c>
      <c r="G1764" s="4">
        <v>44255</v>
      </c>
      <c r="I1764" s="1">
        <v>830</v>
      </c>
      <c r="J1764" s="1">
        <v>2000</v>
      </c>
    </row>
    <row r="1765" spans="2:18">
      <c r="G1765" s="4"/>
    </row>
    <row r="1766" spans="2:18" s="12" customFormat="1">
      <c r="B1766" s="12" t="s">
        <v>673</v>
      </c>
      <c r="C1766" s="13" t="s">
        <v>984</v>
      </c>
      <c r="D1766" s="13" t="s">
        <v>983</v>
      </c>
      <c r="E1766" s="15"/>
      <c r="F1766" s="15">
        <f>SUM(F1767:F1772)</f>
        <v>24.15</v>
      </c>
      <c r="G1766" s="14">
        <f>G1767</f>
        <v>44896</v>
      </c>
    </row>
    <row r="1767" spans="2:18">
      <c r="C1767" s="2" t="s">
        <v>4</v>
      </c>
      <c r="D1767" s="2" t="s">
        <v>672</v>
      </c>
      <c r="E1767" s="3">
        <v>13</v>
      </c>
      <c r="F1767" s="3">
        <f>7/2</f>
        <v>3.5</v>
      </c>
      <c r="G1767" s="4">
        <v>44896</v>
      </c>
      <c r="M1767" s="1"/>
      <c r="N1767" s="1"/>
      <c r="O1767" s="1"/>
      <c r="P1767" s="1"/>
      <c r="Q1767" s="1"/>
      <c r="R1767" s="1"/>
    </row>
    <row r="1768" spans="2:18">
      <c r="C1768" s="2" t="s">
        <v>18</v>
      </c>
      <c r="D1768" s="2" t="s">
        <v>617</v>
      </c>
      <c r="E1768" s="3">
        <v>48</v>
      </c>
      <c r="F1768" s="3">
        <v>10</v>
      </c>
      <c r="G1768" s="4">
        <v>43888</v>
      </c>
      <c r="M1768" s="1"/>
      <c r="N1768" s="1"/>
      <c r="O1768" s="1"/>
      <c r="P1768" s="1"/>
      <c r="Q1768" s="1"/>
      <c r="R1768" s="1"/>
    </row>
    <row r="1769" spans="2:18">
      <c r="C1769" s="2" t="s">
        <v>7</v>
      </c>
      <c r="D1769" s="2" t="s">
        <v>617</v>
      </c>
      <c r="E1769" s="3">
        <v>25</v>
      </c>
      <c r="F1769" s="3">
        <v>5</v>
      </c>
      <c r="G1769" s="4">
        <v>43440</v>
      </c>
      <c r="M1769" s="1"/>
      <c r="N1769" s="1"/>
      <c r="O1769" s="1"/>
      <c r="P1769" s="1"/>
      <c r="Q1769" s="1"/>
      <c r="R1769" s="1"/>
    </row>
    <row r="1770" spans="2:18">
      <c r="C1770" s="2" t="s">
        <v>5</v>
      </c>
      <c r="D1770" s="2" t="s">
        <v>617</v>
      </c>
      <c r="E1770" s="3">
        <v>5.8</v>
      </c>
      <c r="F1770" s="3">
        <f>E1770/4</f>
        <v>1.45</v>
      </c>
      <c r="G1770" s="4">
        <v>43117</v>
      </c>
      <c r="M1770" s="1"/>
      <c r="N1770" s="1"/>
      <c r="O1770" s="1"/>
      <c r="P1770" s="1"/>
      <c r="Q1770" s="1"/>
      <c r="R1770" s="1"/>
    </row>
    <row r="1771" spans="2:18">
      <c r="C1771" s="2" t="s">
        <v>4</v>
      </c>
      <c r="D1771" s="2" t="s">
        <v>617</v>
      </c>
      <c r="E1771" s="3">
        <v>3.2</v>
      </c>
      <c r="F1771" s="3">
        <v>3.2</v>
      </c>
      <c r="G1771" s="4">
        <v>42887</v>
      </c>
      <c r="M1771" s="1"/>
      <c r="N1771" s="1"/>
      <c r="O1771" s="1"/>
      <c r="P1771" s="1"/>
      <c r="Q1771" s="1"/>
      <c r="R1771" s="1"/>
    </row>
    <row r="1772" spans="2:18">
      <c r="C1772" s="2" t="s">
        <v>4</v>
      </c>
      <c r="D1772" s="2" t="s">
        <v>617</v>
      </c>
      <c r="E1772" s="3">
        <v>3.3</v>
      </c>
      <c r="F1772" s="3">
        <v>1</v>
      </c>
      <c r="G1772" s="4">
        <v>42678</v>
      </c>
      <c r="M1772" s="1"/>
      <c r="N1772" s="1"/>
      <c r="O1772" s="1"/>
      <c r="P1772" s="1"/>
      <c r="Q1772" s="1"/>
      <c r="R1772" s="1"/>
    </row>
    <row r="1773" spans="2:18">
      <c r="G1773" s="4"/>
      <c r="M1773" s="1"/>
      <c r="N1773" s="1"/>
      <c r="O1773" s="1"/>
      <c r="P1773" s="1"/>
      <c r="Q1773" s="1"/>
      <c r="R1773" s="1"/>
    </row>
    <row r="1774" spans="2:18">
      <c r="B1774" s="12" t="s">
        <v>1052</v>
      </c>
      <c r="C1774" s="13" t="s">
        <v>984</v>
      </c>
      <c r="D1774" s="13" t="s">
        <v>983</v>
      </c>
      <c r="E1774" s="15"/>
      <c r="F1774" s="15">
        <f>SUM(F1775:F1782)</f>
        <v>24.3</v>
      </c>
      <c r="G1774" s="14">
        <f>G1778</f>
        <v>45090</v>
      </c>
    </row>
    <row r="1775" spans="2:18">
      <c r="C1775" s="2" t="s">
        <v>7</v>
      </c>
      <c r="D1775" s="2" t="s">
        <v>907</v>
      </c>
      <c r="E1775" s="3">
        <v>40</v>
      </c>
      <c r="F1775" s="3">
        <v>5</v>
      </c>
      <c r="G1775" s="4">
        <v>44728</v>
      </c>
    </row>
    <row r="1776" spans="2:18">
      <c r="C1776" s="2" t="s">
        <v>5</v>
      </c>
      <c r="D1776" s="2" t="s">
        <v>907</v>
      </c>
      <c r="E1776" s="3">
        <v>18.600000000000001</v>
      </c>
      <c r="F1776" s="3">
        <f>8.6/2</f>
        <v>4.3</v>
      </c>
      <c r="G1776" s="4">
        <v>44112</v>
      </c>
    </row>
    <row r="1777" spans="2:11">
      <c r="C1777" s="2" t="s">
        <v>4</v>
      </c>
      <c r="D1777" s="2" t="s">
        <v>742</v>
      </c>
      <c r="E1777" s="3">
        <v>1.5</v>
      </c>
      <c r="F1777" s="3">
        <v>0.5</v>
      </c>
      <c r="G1777" s="4">
        <v>43979</v>
      </c>
    </row>
    <row r="1778" spans="2:11">
      <c r="C1778" s="2" t="s">
        <v>4</v>
      </c>
      <c r="D1778" s="2" t="s">
        <v>717</v>
      </c>
      <c r="E1778" s="3">
        <v>113</v>
      </c>
      <c r="F1778" s="3">
        <v>8</v>
      </c>
      <c r="G1778" s="4">
        <v>45090</v>
      </c>
    </row>
    <row r="1779" spans="2:11">
      <c r="C1779" s="2" t="s">
        <v>5</v>
      </c>
      <c r="D1779" s="2" t="s">
        <v>595</v>
      </c>
      <c r="E1779" s="3">
        <v>20</v>
      </c>
      <c r="F1779" s="3">
        <f>15/6</f>
        <v>2.5</v>
      </c>
      <c r="G1779" s="4">
        <v>44801</v>
      </c>
    </row>
    <row r="1780" spans="2:11">
      <c r="C1780" s="2" t="s">
        <v>4</v>
      </c>
      <c r="D1780" s="2" t="s">
        <v>1051</v>
      </c>
      <c r="E1780" s="3">
        <v>2</v>
      </c>
      <c r="F1780" s="3">
        <v>0.5</v>
      </c>
      <c r="G1780" s="4">
        <v>43876</v>
      </c>
    </row>
    <row r="1781" spans="2:11">
      <c r="C1781" s="2" t="s">
        <v>5</v>
      </c>
      <c r="D1781" s="2" t="s">
        <v>2170</v>
      </c>
      <c r="E1781" s="3">
        <v>20</v>
      </c>
      <c r="F1781" s="3">
        <v>3</v>
      </c>
      <c r="G1781" s="4">
        <v>43647</v>
      </c>
    </row>
    <row r="1782" spans="2:11">
      <c r="C1782" s="2" t="s">
        <v>4</v>
      </c>
      <c r="D1782" s="2" t="s">
        <v>2170</v>
      </c>
      <c r="E1782" s="3">
        <v>3</v>
      </c>
      <c r="F1782" s="3">
        <v>0.5</v>
      </c>
      <c r="G1782" s="4">
        <v>42979</v>
      </c>
    </row>
    <row r="1783" spans="2:11">
      <c r="G1783" s="4"/>
    </row>
    <row r="1784" spans="2:11">
      <c r="B1784" s="12" t="s">
        <v>1060</v>
      </c>
      <c r="C1784" s="13" t="s">
        <v>984</v>
      </c>
      <c r="D1784" s="13" t="s">
        <v>983</v>
      </c>
      <c r="F1784" s="15">
        <f>+F1785+F1786</f>
        <v>23.333333333333336</v>
      </c>
      <c r="G1784" s="14">
        <f>+G1785</f>
        <v>44699</v>
      </c>
      <c r="I1784" s="1" t="s">
        <v>1</v>
      </c>
      <c r="J1784" s="1" t="s">
        <v>1</v>
      </c>
      <c r="K1784" s="1" t="s">
        <v>1</v>
      </c>
    </row>
    <row r="1785" spans="2:11">
      <c r="C1785" s="2" t="s">
        <v>18</v>
      </c>
      <c r="D1785" s="2" t="s">
        <v>1059</v>
      </c>
      <c r="E1785" s="3">
        <v>100</v>
      </c>
      <c r="F1785" s="3">
        <v>15</v>
      </c>
      <c r="G1785" s="4">
        <v>44699</v>
      </c>
    </row>
    <row r="1786" spans="2:11">
      <c r="C1786" s="2" t="s">
        <v>7</v>
      </c>
      <c r="D1786" s="2" t="s">
        <v>1059</v>
      </c>
      <c r="E1786" s="3">
        <v>100</v>
      </c>
      <c r="F1786" s="3">
        <f>25/3</f>
        <v>8.3333333333333339</v>
      </c>
      <c r="G1786" s="4">
        <v>44286</v>
      </c>
    </row>
    <row r="1787" spans="2:11">
      <c r="G1787" s="4"/>
    </row>
    <row r="1788" spans="2:11">
      <c r="B1788" s="12" t="s">
        <v>1058</v>
      </c>
      <c r="C1788" s="13" t="s">
        <v>984</v>
      </c>
      <c r="D1788" s="13" t="s">
        <v>983</v>
      </c>
      <c r="F1788" s="15">
        <f>SUM(F1789:F1796)</f>
        <v>23.366666666666667</v>
      </c>
      <c r="G1788" s="14">
        <f>G1789</f>
        <v>44690</v>
      </c>
    </row>
    <row r="1789" spans="2:11">
      <c r="C1789" s="2" t="s">
        <v>18</v>
      </c>
      <c r="D1789" s="2" t="s">
        <v>939</v>
      </c>
      <c r="E1789" s="3">
        <v>100</v>
      </c>
      <c r="F1789" s="3">
        <v>9</v>
      </c>
      <c r="G1789" s="4">
        <v>44690</v>
      </c>
    </row>
    <row r="1790" spans="2:11">
      <c r="C1790" s="2" t="s">
        <v>7</v>
      </c>
      <c r="D1790" s="2" t="s">
        <v>939</v>
      </c>
      <c r="E1790" s="3">
        <v>40</v>
      </c>
      <c r="F1790" s="3">
        <f>20/3</f>
        <v>6.666666666666667</v>
      </c>
      <c r="G1790" s="4">
        <v>44327</v>
      </c>
    </row>
    <row r="1791" spans="2:11">
      <c r="C1791" s="2" t="s">
        <v>5</v>
      </c>
      <c r="D1791" s="2" t="s">
        <v>939</v>
      </c>
      <c r="E1791" s="3">
        <v>15</v>
      </c>
      <c r="F1791" s="3">
        <v>3</v>
      </c>
      <c r="G1791" s="4">
        <v>43816</v>
      </c>
    </row>
    <row r="1792" spans="2:11">
      <c r="C1792" s="2" t="s">
        <v>4</v>
      </c>
      <c r="D1792" s="2" t="s">
        <v>939</v>
      </c>
      <c r="E1792" s="3">
        <v>4</v>
      </c>
      <c r="F1792" s="3">
        <v>1</v>
      </c>
      <c r="G1792" s="4">
        <v>43243</v>
      </c>
    </row>
    <row r="1793" spans="2:18">
      <c r="C1793" s="2" t="s">
        <v>560</v>
      </c>
      <c r="D1793" s="2" t="s">
        <v>939</v>
      </c>
      <c r="E1793" s="3">
        <v>1.2</v>
      </c>
      <c r="F1793" s="3">
        <v>0.2</v>
      </c>
      <c r="G1793" s="4">
        <v>42799</v>
      </c>
    </row>
    <row r="1794" spans="2:18">
      <c r="C1794" s="2" t="s">
        <v>5</v>
      </c>
      <c r="D1794" s="2" t="s">
        <v>657</v>
      </c>
      <c r="E1794" s="3">
        <v>13</v>
      </c>
      <c r="F1794" s="3">
        <v>2</v>
      </c>
      <c r="G1794" s="4">
        <v>44642</v>
      </c>
    </row>
    <row r="1795" spans="2:18">
      <c r="C1795" s="2" t="s">
        <v>4</v>
      </c>
      <c r="D1795" s="2" t="s">
        <v>657</v>
      </c>
      <c r="E1795" s="3">
        <v>3.5</v>
      </c>
      <c r="F1795" s="3">
        <v>1</v>
      </c>
      <c r="G1795" s="4">
        <v>44124</v>
      </c>
    </row>
    <row r="1796" spans="2:18">
      <c r="C1796" s="2" t="s">
        <v>4</v>
      </c>
      <c r="D1796" s="2" t="s">
        <v>490</v>
      </c>
      <c r="E1796" s="3">
        <v>2</v>
      </c>
      <c r="F1796" s="3">
        <v>0.5</v>
      </c>
      <c r="G1796" s="4">
        <v>43876</v>
      </c>
    </row>
    <row r="1797" spans="2:18">
      <c r="G1797" s="4"/>
    </row>
    <row r="1798" spans="2:18">
      <c r="B1798" s="12" t="s">
        <v>1057</v>
      </c>
      <c r="C1798" s="13" t="s">
        <v>984</v>
      </c>
      <c r="D1798" s="13" t="s">
        <v>983</v>
      </c>
      <c r="E1798" s="15"/>
      <c r="F1798" s="15">
        <f>SUM(F1799:F1800)</f>
        <v>23</v>
      </c>
      <c r="G1798" s="14">
        <f>G1799</f>
        <v>44796</v>
      </c>
    </row>
    <row r="1799" spans="2:18">
      <c r="C1799" s="2" t="s">
        <v>1056</v>
      </c>
      <c r="D1799" s="2" t="s">
        <v>844</v>
      </c>
      <c r="E1799" s="3">
        <v>99</v>
      </c>
      <c r="F1799" s="3">
        <v>20</v>
      </c>
      <c r="G1799" s="4">
        <v>44796</v>
      </c>
    </row>
    <row r="1800" spans="2:18">
      <c r="C1800" s="2" t="s">
        <v>5</v>
      </c>
      <c r="D1800" s="2" t="s">
        <v>700</v>
      </c>
      <c r="E1800" s="3">
        <v>29</v>
      </c>
      <c r="F1800" s="3">
        <v>3</v>
      </c>
      <c r="G1800" s="4">
        <v>44783</v>
      </c>
    </row>
    <row r="1801" spans="2:18">
      <c r="G1801" s="4"/>
    </row>
    <row r="1802" spans="2:18" s="12" customFormat="1">
      <c r="B1802" s="12" t="s">
        <v>1055</v>
      </c>
      <c r="C1802" s="13" t="s">
        <v>984</v>
      </c>
      <c r="D1802" s="13" t="s">
        <v>983</v>
      </c>
      <c r="E1802" s="15"/>
      <c r="F1802" s="15">
        <f>SUM(F1803:F1806)</f>
        <v>22.83</v>
      </c>
      <c r="G1802" s="14">
        <f>G1804</f>
        <v>44419</v>
      </c>
      <c r="M1802" s="13"/>
      <c r="N1802" s="13"/>
      <c r="O1802" s="13"/>
      <c r="P1802" s="13"/>
      <c r="Q1802" s="13"/>
      <c r="R1802" s="13"/>
    </row>
    <row r="1803" spans="2:18">
      <c r="C1803" s="2" t="s">
        <v>5</v>
      </c>
      <c r="D1803" s="2" t="s">
        <v>977</v>
      </c>
      <c r="E1803" s="3">
        <v>5</v>
      </c>
      <c r="F1803" s="3">
        <v>1</v>
      </c>
      <c r="G1803" s="4">
        <v>43251</v>
      </c>
    </row>
    <row r="1804" spans="2:18">
      <c r="C1804" s="2" t="s">
        <v>8</v>
      </c>
      <c r="D1804" s="2" t="s">
        <v>530</v>
      </c>
      <c r="E1804" s="3">
        <v>100</v>
      </c>
      <c r="F1804" s="3">
        <f>50/4</f>
        <v>12.5</v>
      </c>
      <c r="G1804" s="4">
        <v>44419</v>
      </c>
    </row>
    <row r="1805" spans="2:18">
      <c r="C1805" s="2" t="s">
        <v>7</v>
      </c>
      <c r="D1805" s="2" t="s">
        <v>484</v>
      </c>
      <c r="E1805" s="3">
        <v>90</v>
      </c>
      <c r="F1805" s="3">
        <v>6</v>
      </c>
      <c r="G1805" s="4">
        <v>44398</v>
      </c>
    </row>
    <row r="1806" spans="2:18">
      <c r="C1806" s="2" t="s">
        <v>5</v>
      </c>
      <c r="D1806" s="2" t="s">
        <v>484</v>
      </c>
      <c r="E1806" s="3">
        <v>22.8</v>
      </c>
      <c r="F1806" s="3">
        <v>3.33</v>
      </c>
      <c r="G1806" s="4">
        <v>43160</v>
      </c>
    </row>
    <row r="1807" spans="2:18">
      <c r="G1807" s="4"/>
    </row>
    <row r="1808" spans="2:18" s="12" customFormat="1">
      <c r="B1808" s="12" t="s">
        <v>1049</v>
      </c>
      <c r="C1808" s="13" t="s">
        <v>984</v>
      </c>
      <c r="D1808" s="13" t="s">
        <v>983</v>
      </c>
      <c r="E1808" s="15"/>
      <c r="F1808" s="15">
        <f>SUM(F1809:F1812)</f>
        <v>22.933333333333334</v>
      </c>
      <c r="G1808" s="14">
        <f>G1810</f>
        <v>44851</v>
      </c>
      <c r="M1808" s="13"/>
      <c r="N1808" s="13"/>
      <c r="O1808" s="13"/>
      <c r="P1808" s="13"/>
      <c r="Q1808" s="13"/>
      <c r="R1808" s="13"/>
    </row>
    <row r="1809" spans="2:18">
      <c r="C1809" s="2" t="s">
        <v>5</v>
      </c>
      <c r="D1809" s="2" t="s">
        <v>1015</v>
      </c>
      <c r="E1809" s="3">
        <v>25</v>
      </c>
      <c r="F1809" s="3">
        <v>5</v>
      </c>
      <c r="G1809" s="4">
        <v>44699</v>
      </c>
    </row>
    <row r="1810" spans="2:18">
      <c r="C1810" s="2" t="s">
        <v>5</v>
      </c>
      <c r="D1810" s="2" t="s">
        <v>288</v>
      </c>
      <c r="E1810" s="3">
        <v>32</v>
      </c>
      <c r="F1810" s="3">
        <v>11</v>
      </c>
      <c r="G1810" s="4">
        <v>44851</v>
      </c>
    </row>
    <row r="1811" spans="2:18">
      <c r="C1811" s="2" t="s">
        <v>5</v>
      </c>
      <c r="D1811" s="2" t="s">
        <v>288</v>
      </c>
      <c r="E1811" s="3">
        <v>26</v>
      </c>
      <c r="F1811" s="3">
        <v>4.333333333333333</v>
      </c>
      <c r="G1811" s="4">
        <v>44453</v>
      </c>
    </row>
    <row r="1812" spans="2:18">
      <c r="C1812" s="2" t="s">
        <v>4</v>
      </c>
      <c r="D1812" s="2" t="s">
        <v>288</v>
      </c>
      <c r="E1812" s="3">
        <v>6.2</v>
      </c>
      <c r="F1812" s="3">
        <v>2.6</v>
      </c>
      <c r="G1812" s="4">
        <v>44201</v>
      </c>
    </row>
    <row r="1813" spans="2:18">
      <c r="G1813" s="4"/>
    </row>
    <row r="1814" spans="2:18" s="12" customFormat="1">
      <c r="B1814" s="12" t="s">
        <v>387</v>
      </c>
      <c r="C1814" s="13" t="s">
        <v>984</v>
      </c>
      <c r="D1814" s="13" t="s">
        <v>983</v>
      </c>
      <c r="E1814" s="15"/>
      <c r="F1814" s="15">
        <f>SUM(F1815:F1818)</f>
        <v>22.785714285714285</v>
      </c>
      <c r="G1814" s="14">
        <f>G1815</f>
        <v>44323</v>
      </c>
    </row>
    <row r="1815" spans="2:18">
      <c r="C1815" s="2" t="s">
        <v>18</v>
      </c>
      <c r="D1815" s="2" t="s">
        <v>381</v>
      </c>
      <c r="E1815" s="3">
        <v>130</v>
      </c>
      <c r="F1815" s="3">
        <f>100/7</f>
        <v>14.285714285714286</v>
      </c>
      <c r="G1815" s="4">
        <v>44323</v>
      </c>
      <c r="M1815" s="1"/>
      <c r="N1815" s="1"/>
      <c r="O1815" s="1"/>
      <c r="P1815" s="1"/>
      <c r="Q1815" s="1"/>
      <c r="R1815" s="1"/>
    </row>
    <row r="1816" spans="2:18">
      <c r="C1816" s="2" t="s">
        <v>7</v>
      </c>
      <c r="D1816" s="2" t="s">
        <v>381</v>
      </c>
      <c r="E1816" s="3">
        <v>44</v>
      </c>
      <c r="F1816" s="3">
        <f>30/6</f>
        <v>5</v>
      </c>
      <c r="G1816" s="4">
        <v>43909</v>
      </c>
      <c r="M1816" s="1"/>
      <c r="N1816" s="1"/>
      <c r="O1816" s="1"/>
      <c r="P1816" s="1"/>
      <c r="Q1816" s="1"/>
      <c r="R1816" s="1"/>
    </row>
    <row r="1817" spans="2:18">
      <c r="C1817" s="2" t="s">
        <v>5</v>
      </c>
      <c r="D1817" s="2" t="s">
        <v>381</v>
      </c>
      <c r="E1817" s="3">
        <v>15</v>
      </c>
      <c r="F1817" s="3">
        <v>3</v>
      </c>
      <c r="G1817" s="4">
        <v>43452</v>
      </c>
      <c r="M1817" s="1"/>
      <c r="N1817" s="1"/>
      <c r="O1817" s="1"/>
      <c r="P1817" s="1"/>
      <c r="Q1817" s="1"/>
      <c r="R1817" s="1"/>
    </row>
    <row r="1818" spans="2:18">
      <c r="C1818" s="2" t="s">
        <v>4</v>
      </c>
      <c r="D1818" s="2" t="s">
        <v>381</v>
      </c>
      <c r="E1818" s="3">
        <v>2.5</v>
      </c>
      <c r="F1818" s="3">
        <v>0.5</v>
      </c>
      <c r="G1818" s="4">
        <v>42936</v>
      </c>
      <c r="M1818" s="1"/>
      <c r="N1818" s="1"/>
      <c r="O1818" s="1"/>
      <c r="P1818" s="1"/>
      <c r="Q1818" s="1"/>
      <c r="R1818" s="1"/>
    </row>
    <row r="1819" spans="2:18">
      <c r="G1819" s="4"/>
      <c r="M1819" s="1"/>
      <c r="N1819" s="1"/>
      <c r="O1819" s="1"/>
      <c r="P1819" s="1"/>
      <c r="Q1819" s="1"/>
      <c r="R1819" s="1"/>
    </row>
    <row r="1820" spans="2:18" s="12" customFormat="1">
      <c r="B1820" s="12" t="s">
        <v>1054</v>
      </c>
      <c r="C1820" s="13" t="s">
        <v>984</v>
      </c>
      <c r="D1820" s="13" t="s">
        <v>983</v>
      </c>
      <c r="E1820" s="15"/>
      <c r="F1820" s="15">
        <f>SUM(F1821:F1825)</f>
        <v>22.633333333333333</v>
      </c>
      <c r="G1820" s="14">
        <f>G1822</f>
        <v>44882</v>
      </c>
      <c r="M1820" s="13"/>
      <c r="N1820" s="13"/>
      <c r="O1820" s="13"/>
      <c r="P1820" s="13"/>
      <c r="Q1820" s="13"/>
      <c r="R1820" s="13"/>
    </row>
    <row r="1821" spans="2:18">
      <c r="C1821" s="2" t="s">
        <v>5</v>
      </c>
      <c r="D1821" s="2" t="s">
        <v>904</v>
      </c>
      <c r="E1821" s="3">
        <v>14</v>
      </c>
      <c r="F1821" s="3">
        <f>9/5</f>
        <v>1.8</v>
      </c>
      <c r="G1821" s="4">
        <v>44131</v>
      </c>
    </row>
    <row r="1822" spans="2:18">
      <c r="C1822" s="2" t="s">
        <v>4</v>
      </c>
      <c r="D1822" s="2" t="s">
        <v>925</v>
      </c>
      <c r="E1822" s="3">
        <v>42</v>
      </c>
      <c r="F1822" s="3">
        <f>22/3</f>
        <v>7.333333333333333</v>
      </c>
      <c r="G1822" s="4">
        <v>44882</v>
      </c>
    </row>
    <row r="1823" spans="2:18">
      <c r="C1823" s="2" t="s">
        <v>5</v>
      </c>
      <c r="D1823" s="2" t="s">
        <v>683</v>
      </c>
      <c r="E1823" s="3">
        <v>14.5</v>
      </c>
      <c r="F1823" s="3">
        <v>2.5</v>
      </c>
      <c r="G1823" s="4">
        <v>44389</v>
      </c>
    </row>
    <row r="1824" spans="2:18">
      <c r="C1824" s="2" t="s">
        <v>18</v>
      </c>
      <c r="D1824" s="2" t="s">
        <v>498</v>
      </c>
      <c r="E1824" s="3">
        <v>67.2</v>
      </c>
      <c r="F1824" s="3">
        <v>10</v>
      </c>
      <c r="G1824" s="4">
        <v>42943</v>
      </c>
    </row>
    <row r="1825" spans="2:18">
      <c r="C1825" s="2" t="s">
        <v>4</v>
      </c>
      <c r="D1825" s="2" t="s">
        <v>133</v>
      </c>
      <c r="E1825" s="3">
        <v>5</v>
      </c>
      <c r="F1825" s="3">
        <v>1</v>
      </c>
      <c r="G1825" s="4">
        <v>44176</v>
      </c>
    </row>
    <row r="1826" spans="2:18">
      <c r="G1826" s="4"/>
    </row>
    <row r="1827" spans="2:18" s="12" customFormat="1">
      <c r="B1827" s="12" t="s">
        <v>369</v>
      </c>
      <c r="C1827" s="13" t="s">
        <v>984</v>
      </c>
      <c r="D1827" s="13" t="s">
        <v>983</v>
      </c>
      <c r="E1827" s="15"/>
      <c r="F1827" s="15">
        <f>SUM(F1828:F1829)</f>
        <v>21.75</v>
      </c>
      <c r="G1827" s="14">
        <f>G1828</f>
        <v>44181</v>
      </c>
    </row>
    <row r="1828" spans="2:18">
      <c r="C1828" s="2" t="s">
        <v>7</v>
      </c>
      <c r="D1828" s="2" t="s">
        <v>367</v>
      </c>
      <c r="E1828" s="3">
        <v>27.5</v>
      </c>
      <c r="F1828" s="3">
        <f>E1828/2</f>
        <v>13.75</v>
      </c>
      <c r="G1828" s="4">
        <v>44181</v>
      </c>
      <c r="M1828" s="1"/>
      <c r="N1828" s="1"/>
      <c r="O1828" s="1"/>
      <c r="P1828" s="1"/>
      <c r="Q1828" s="1"/>
      <c r="R1828" s="1"/>
    </row>
    <row r="1829" spans="2:18">
      <c r="C1829" s="2" t="s">
        <v>5</v>
      </c>
      <c r="D1829" s="2" t="s">
        <v>166</v>
      </c>
      <c r="E1829" s="3">
        <v>102</v>
      </c>
      <c r="F1829" s="3">
        <v>8</v>
      </c>
      <c r="G1829" s="4">
        <v>43292</v>
      </c>
      <c r="M1829" s="1"/>
      <c r="N1829" s="1"/>
      <c r="O1829" s="1"/>
      <c r="P1829" s="1"/>
      <c r="Q1829" s="1"/>
      <c r="R1829" s="1"/>
    </row>
    <row r="1830" spans="2:18">
      <c r="G1830" s="4"/>
      <c r="M1830" s="1"/>
      <c r="N1830" s="1"/>
      <c r="O1830" s="1"/>
      <c r="P1830" s="1"/>
      <c r="Q1830" s="1"/>
      <c r="R1830" s="1"/>
    </row>
    <row r="1831" spans="2:18" s="12" customFormat="1">
      <c r="B1831" s="12" t="s">
        <v>507</v>
      </c>
      <c r="C1831" s="13" t="s">
        <v>984</v>
      </c>
      <c r="D1831" s="13" t="s">
        <v>983</v>
      </c>
      <c r="E1831" s="15"/>
      <c r="F1831" s="15">
        <f>SUM(F1832:F1834)</f>
        <v>22.295454545454547</v>
      </c>
      <c r="G1831" s="14">
        <f>G1833</f>
        <v>44776</v>
      </c>
    </row>
    <row r="1832" spans="2:18">
      <c r="C1832" s="2" t="s">
        <v>9</v>
      </c>
      <c r="D1832" s="2" t="s">
        <v>498</v>
      </c>
      <c r="E1832" s="3">
        <v>206</v>
      </c>
      <c r="F1832" s="3">
        <v>14</v>
      </c>
      <c r="G1832" s="4">
        <v>43725</v>
      </c>
      <c r="M1832" s="1"/>
      <c r="N1832" s="1"/>
      <c r="O1832" s="1"/>
      <c r="P1832" s="1"/>
      <c r="Q1832" s="1"/>
      <c r="R1832" s="1"/>
    </row>
    <row r="1833" spans="2:18">
      <c r="C1833" s="2" t="s">
        <v>8</v>
      </c>
      <c r="D1833" s="2" t="s">
        <v>456</v>
      </c>
      <c r="E1833" s="3">
        <v>90</v>
      </c>
      <c r="F1833" s="3">
        <f>50/11</f>
        <v>4.5454545454545459</v>
      </c>
      <c r="G1833" s="4">
        <v>44776</v>
      </c>
      <c r="M1833" s="1"/>
      <c r="N1833" s="1"/>
      <c r="O1833" s="1"/>
      <c r="P1833" s="1"/>
      <c r="Q1833" s="1"/>
      <c r="R1833" s="1"/>
    </row>
    <row r="1834" spans="2:18">
      <c r="C1834" s="2" t="s">
        <v>18</v>
      </c>
      <c r="D1834" s="2" t="s">
        <v>456</v>
      </c>
      <c r="E1834" s="3">
        <v>40</v>
      </c>
      <c r="F1834" s="3">
        <v>3.75</v>
      </c>
      <c r="G1834" s="4">
        <v>44176</v>
      </c>
      <c r="M1834" s="1"/>
      <c r="N1834" s="1"/>
      <c r="O1834" s="1"/>
      <c r="P1834" s="1"/>
      <c r="Q1834" s="1"/>
      <c r="R1834" s="1"/>
    </row>
    <row r="1835" spans="2:18">
      <c r="G1835" s="4"/>
      <c r="M1835" s="1"/>
      <c r="N1835" s="1"/>
      <c r="O1835" s="1"/>
      <c r="P1835" s="1"/>
      <c r="Q1835" s="1"/>
      <c r="R1835" s="1"/>
    </row>
    <row r="1836" spans="2:18" s="12" customFormat="1">
      <c r="B1836" s="12" t="s">
        <v>962</v>
      </c>
      <c r="C1836" s="13" t="s">
        <v>984</v>
      </c>
      <c r="D1836" s="13" t="s">
        <v>983</v>
      </c>
      <c r="E1836" s="15"/>
      <c r="F1836" s="15">
        <f>SUM(F1837:F1838)</f>
        <v>21.5</v>
      </c>
      <c r="G1836" s="14">
        <f>G1837</f>
        <v>44299</v>
      </c>
      <c r="M1836" s="13"/>
      <c r="N1836" s="13"/>
      <c r="O1836" s="13"/>
      <c r="P1836" s="13"/>
      <c r="Q1836" s="13"/>
      <c r="R1836" s="13"/>
    </row>
    <row r="1837" spans="2:18">
      <c r="C1837" s="2" t="s">
        <v>9</v>
      </c>
      <c r="D1837" s="2" t="s">
        <v>815</v>
      </c>
      <c r="E1837" s="3">
        <v>325</v>
      </c>
      <c r="F1837" s="3">
        <v>18.5</v>
      </c>
      <c r="G1837" s="4">
        <v>44299</v>
      </c>
    </row>
    <row r="1838" spans="2:18">
      <c r="C1838" s="86" t="s">
        <v>7</v>
      </c>
      <c r="D1838" s="86" t="s">
        <v>2155</v>
      </c>
      <c r="E1838" s="3">
        <v>40</v>
      </c>
      <c r="F1838" s="3">
        <v>3</v>
      </c>
      <c r="G1838" s="4">
        <v>43720</v>
      </c>
      <c r="J1838" s="1">
        <v>3400</v>
      </c>
    </row>
    <row r="1839" spans="2:18">
      <c r="G1839" s="4"/>
    </row>
    <row r="1840" spans="2:18" s="12" customFormat="1">
      <c r="B1840" s="12" t="s">
        <v>385</v>
      </c>
      <c r="C1840" s="13" t="s">
        <v>984</v>
      </c>
      <c r="D1840" s="13" t="s">
        <v>983</v>
      </c>
      <c r="E1840" s="15"/>
      <c r="F1840" s="15">
        <f>SUM(F1841:F1843)</f>
        <v>22.285714285714285</v>
      </c>
      <c r="G1840" s="14">
        <f>G1841</f>
        <v>44323</v>
      </c>
    </row>
    <row r="1841" spans="2:18">
      <c r="C1841" s="2" t="s">
        <v>18</v>
      </c>
      <c r="D1841" s="2" t="s">
        <v>381</v>
      </c>
      <c r="E1841" s="3">
        <v>130</v>
      </c>
      <c r="F1841" s="3">
        <f>100/7</f>
        <v>14.285714285714286</v>
      </c>
      <c r="G1841" s="4">
        <v>44323</v>
      </c>
      <c r="M1841" s="1"/>
      <c r="N1841" s="1"/>
      <c r="O1841" s="1"/>
      <c r="P1841" s="1"/>
      <c r="Q1841" s="1"/>
      <c r="R1841" s="1"/>
    </row>
    <row r="1842" spans="2:18">
      <c r="C1842" s="2" t="s">
        <v>7</v>
      </c>
      <c r="D1842" s="2" t="s">
        <v>381</v>
      </c>
      <c r="E1842" s="3">
        <v>44</v>
      </c>
      <c r="F1842" s="3">
        <f>30/6</f>
        <v>5</v>
      </c>
      <c r="G1842" s="4">
        <v>43909</v>
      </c>
      <c r="M1842" s="1"/>
      <c r="N1842" s="1"/>
      <c r="O1842" s="1"/>
      <c r="P1842" s="1"/>
      <c r="Q1842" s="1"/>
      <c r="R1842" s="1"/>
    </row>
    <row r="1843" spans="2:18">
      <c r="C1843" s="2" t="s">
        <v>5</v>
      </c>
      <c r="D1843" s="2" t="s">
        <v>381</v>
      </c>
      <c r="E1843" s="3">
        <v>15</v>
      </c>
      <c r="F1843" s="3">
        <v>3</v>
      </c>
      <c r="G1843" s="4">
        <v>43452</v>
      </c>
      <c r="M1843" s="1"/>
      <c r="N1843" s="1"/>
      <c r="O1843" s="1"/>
      <c r="P1843" s="1"/>
      <c r="Q1843" s="1"/>
      <c r="R1843" s="1"/>
    </row>
    <row r="1844" spans="2:18">
      <c r="G1844" s="4"/>
      <c r="M1844" s="1"/>
      <c r="N1844" s="1"/>
      <c r="O1844" s="1"/>
      <c r="P1844" s="1"/>
      <c r="Q1844" s="1"/>
      <c r="R1844" s="1"/>
    </row>
    <row r="1845" spans="2:18" s="12" customFormat="1">
      <c r="B1845" s="12" t="s">
        <v>138</v>
      </c>
      <c r="C1845" s="13" t="s">
        <v>984</v>
      </c>
      <c r="D1845" s="13" t="s">
        <v>983</v>
      </c>
      <c r="E1845" s="15"/>
      <c r="F1845" s="15">
        <f>SUM(F1846:F1848)</f>
        <v>21.3</v>
      </c>
      <c r="G1845" s="14">
        <f>G1847</f>
        <v>44320</v>
      </c>
      <c r="M1845" s="13"/>
      <c r="N1845" s="13"/>
      <c r="O1845" s="13"/>
      <c r="P1845" s="13"/>
      <c r="Q1845" s="13"/>
      <c r="R1845" s="13"/>
    </row>
    <row r="1846" spans="2:18">
      <c r="C1846" s="2" t="s">
        <v>18</v>
      </c>
      <c r="D1846" s="2" t="s">
        <v>136</v>
      </c>
      <c r="E1846" s="3">
        <v>31.7</v>
      </c>
      <c r="F1846" s="3">
        <f>18/4</f>
        <v>4.5</v>
      </c>
      <c r="G1846" s="4">
        <v>43599</v>
      </c>
    </row>
    <row r="1847" spans="2:18">
      <c r="C1847" s="86" t="s">
        <v>8</v>
      </c>
      <c r="D1847" s="86" t="s">
        <v>5084</v>
      </c>
      <c r="E1847" s="3">
        <v>83</v>
      </c>
      <c r="F1847" s="3">
        <v>6.8</v>
      </c>
      <c r="G1847" s="4">
        <v>44320</v>
      </c>
      <c r="I1847" s="1">
        <v>3600</v>
      </c>
      <c r="J1847" s="1">
        <v>3600</v>
      </c>
    </row>
    <row r="1848" spans="2:18">
      <c r="C1848" s="86" t="s">
        <v>18</v>
      </c>
      <c r="D1848" s="86" t="s">
        <v>5084</v>
      </c>
      <c r="E1848" s="3">
        <v>100</v>
      </c>
      <c r="F1848" s="3">
        <v>10</v>
      </c>
      <c r="G1848" s="4">
        <v>43937</v>
      </c>
      <c r="I1848" s="1">
        <v>1100</v>
      </c>
      <c r="J1848" s="1">
        <v>3600</v>
      </c>
    </row>
    <row r="1849" spans="2:18">
      <c r="G1849" s="4"/>
    </row>
    <row r="1850" spans="2:18">
      <c r="B1850" s="12" t="s">
        <v>1053</v>
      </c>
      <c r="C1850" s="13" t="s">
        <v>984</v>
      </c>
      <c r="D1850" s="13" t="s">
        <v>983</v>
      </c>
      <c r="E1850" s="15"/>
      <c r="F1850" s="15">
        <f>SUM(F1851:F1855)</f>
        <v>21.333333333333336</v>
      </c>
      <c r="G1850" s="14">
        <f>G1855</f>
        <v>45007</v>
      </c>
    </row>
    <row r="1851" spans="2:18">
      <c r="C1851" s="2" t="s">
        <v>7</v>
      </c>
      <c r="D1851" s="2" t="s">
        <v>704</v>
      </c>
      <c r="E1851" s="3">
        <v>50</v>
      </c>
      <c r="F1851" s="3">
        <f>25/3</f>
        <v>8.3333333333333339</v>
      </c>
      <c r="G1851" s="4">
        <v>44643</v>
      </c>
    </row>
    <row r="1852" spans="2:18">
      <c r="C1852" s="2" t="s">
        <v>5</v>
      </c>
      <c r="D1852" s="2" t="s">
        <v>704</v>
      </c>
      <c r="E1852" s="3">
        <v>18.5</v>
      </c>
      <c r="F1852" s="3">
        <f>10/4</f>
        <v>2.5</v>
      </c>
      <c r="G1852" s="4">
        <v>44242</v>
      </c>
    </row>
    <row r="1853" spans="2:18">
      <c r="C1853" s="2" t="s">
        <v>4</v>
      </c>
      <c r="D1853" s="2" t="s">
        <v>704</v>
      </c>
      <c r="E1853" s="3">
        <v>3.5</v>
      </c>
      <c r="F1853" s="3">
        <v>1.5</v>
      </c>
      <c r="G1853" s="4">
        <v>43631</v>
      </c>
    </row>
    <row r="1854" spans="2:18">
      <c r="C1854" s="2" t="s">
        <v>5</v>
      </c>
      <c r="D1854" s="2" t="s">
        <v>1001</v>
      </c>
      <c r="E1854" s="3">
        <v>25</v>
      </c>
      <c r="F1854" s="3">
        <v>4</v>
      </c>
      <c r="G1854" s="4">
        <v>44615</v>
      </c>
    </row>
    <row r="1855" spans="2:18">
      <c r="C1855" s="2" t="s">
        <v>4</v>
      </c>
      <c r="D1855" s="2" t="s">
        <v>646</v>
      </c>
      <c r="E1855" s="3">
        <v>10.6</v>
      </c>
      <c r="F1855" s="3">
        <v>5</v>
      </c>
      <c r="G1855" s="4">
        <v>45007</v>
      </c>
    </row>
    <row r="1856" spans="2:18">
      <c r="G1856" s="4"/>
    </row>
    <row r="1857" spans="2:18" s="12" customFormat="1">
      <c r="B1857" s="47" t="s">
        <v>410</v>
      </c>
      <c r="C1857" s="13" t="s">
        <v>984</v>
      </c>
      <c r="D1857" s="13" t="s">
        <v>983</v>
      </c>
      <c r="E1857" s="15"/>
      <c r="F1857" s="15">
        <f>SUM(F1858:F1860)</f>
        <v>20.666666666666668</v>
      </c>
      <c r="G1857" s="14">
        <f>G1858</f>
        <v>44860</v>
      </c>
      <c r="I1857" s="74"/>
    </row>
    <row r="1858" spans="2:18">
      <c r="B1858" s="7"/>
      <c r="C1858" s="2" t="s">
        <v>7</v>
      </c>
      <c r="D1858" s="2" t="s">
        <v>406</v>
      </c>
      <c r="E1858" s="3">
        <v>37</v>
      </c>
      <c r="F1858" s="3">
        <v>4</v>
      </c>
      <c r="G1858" s="4">
        <v>44860</v>
      </c>
      <c r="M1858" s="1"/>
      <c r="N1858" s="1"/>
      <c r="O1858" s="1"/>
      <c r="P1858" s="1"/>
      <c r="Q1858" s="1"/>
      <c r="R1858" s="1"/>
    </row>
    <row r="1859" spans="2:18">
      <c r="B1859" s="7"/>
      <c r="C1859" s="2" t="s">
        <v>7</v>
      </c>
      <c r="D1859" s="2" t="s">
        <v>406</v>
      </c>
      <c r="E1859" s="3">
        <v>80</v>
      </c>
      <c r="F1859" s="3">
        <v>10</v>
      </c>
      <c r="G1859" s="4">
        <v>44327</v>
      </c>
      <c r="M1859" s="1"/>
      <c r="N1859" s="1"/>
      <c r="O1859" s="1"/>
      <c r="P1859" s="1"/>
      <c r="Q1859" s="1"/>
      <c r="R1859" s="1"/>
    </row>
    <row r="1860" spans="2:18">
      <c r="B1860" s="7"/>
      <c r="C1860" s="2" t="s">
        <v>5</v>
      </c>
      <c r="D1860" s="2" t="s">
        <v>406</v>
      </c>
      <c r="E1860" s="3">
        <v>30</v>
      </c>
      <c r="F1860" s="3">
        <v>6.666666666666667</v>
      </c>
      <c r="G1860" s="4">
        <v>43963</v>
      </c>
      <c r="M1860" s="1"/>
      <c r="N1860" s="1"/>
      <c r="O1860" s="1"/>
      <c r="P1860" s="1"/>
      <c r="Q1860" s="1"/>
      <c r="R1860" s="1"/>
    </row>
    <row r="1861" spans="2:18">
      <c r="B1861" s="7"/>
      <c r="G1861" s="4"/>
      <c r="M1861" s="1"/>
      <c r="N1861" s="1"/>
      <c r="O1861" s="1"/>
      <c r="P1861" s="1"/>
      <c r="Q1861" s="1"/>
      <c r="R1861" s="1"/>
    </row>
    <row r="1862" spans="2:18" s="12" customFormat="1">
      <c r="B1862" s="12" t="s">
        <v>1050</v>
      </c>
      <c r="C1862" s="13" t="s">
        <v>984</v>
      </c>
      <c r="D1862" s="13" t="s">
        <v>983</v>
      </c>
      <c r="E1862" s="15"/>
      <c r="F1862" s="15">
        <f>SUM(F1863:F1865)</f>
        <v>21.2</v>
      </c>
      <c r="G1862" s="14">
        <f>G1865</f>
        <v>44880</v>
      </c>
    </row>
    <row r="1863" spans="2:18">
      <c r="C1863" s="2" t="s">
        <v>9</v>
      </c>
      <c r="D1863" s="2" t="s">
        <v>617</v>
      </c>
      <c r="E1863" s="3">
        <v>132</v>
      </c>
      <c r="F1863" s="3">
        <f>72/10</f>
        <v>7.2</v>
      </c>
      <c r="G1863" s="4">
        <v>44215</v>
      </c>
      <c r="M1863" s="1"/>
      <c r="N1863" s="1"/>
      <c r="O1863" s="1"/>
      <c r="P1863" s="1"/>
      <c r="Q1863" s="1"/>
      <c r="R1863" s="1"/>
    </row>
    <row r="1864" spans="2:18">
      <c r="C1864" s="2" t="s">
        <v>8</v>
      </c>
      <c r="D1864" s="2" t="s">
        <v>617</v>
      </c>
      <c r="E1864" s="3">
        <v>42</v>
      </c>
      <c r="F1864" s="3">
        <f>30/5</f>
        <v>6</v>
      </c>
      <c r="G1864" s="4">
        <v>44153</v>
      </c>
      <c r="M1864" s="1"/>
      <c r="N1864" s="1"/>
      <c r="O1864" s="1"/>
      <c r="P1864" s="1"/>
      <c r="Q1864" s="1"/>
      <c r="R1864" s="1"/>
    </row>
    <row r="1865" spans="2:18">
      <c r="C1865" s="2" t="s">
        <v>8</v>
      </c>
      <c r="D1865" s="2" t="s">
        <v>136</v>
      </c>
      <c r="E1865" s="3">
        <v>135</v>
      </c>
      <c r="F1865" s="3">
        <v>8</v>
      </c>
      <c r="G1865" s="4">
        <v>44880</v>
      </c>
      <c r="I1865" s="1">
        <v>615</v>
      </c>
      <c r="M1865" s="1"/>
      <c r="N1865" s="1"/>
      <c r="O1865" s="1"/>
      <c r="P1865" s="1"/>
      <c r="Q1865" s="1"/>
      <c r="R1865" s="1"/>
    </row>
    <row r="1866" spans="2:18">
      <c r="G1866" s="4"/>
      <c r="M1866" s="1"/>
      <c r="N1866" s="1"/>
      <c r="O1866" s="1"/>
      <c r="P1866" s="1"/>
      <c r="Q1866" s="1"/>
      <c r="R1866" s="1"/>
    </row>
    <row r="1867" spans="2:18" s="12" customFormat="1">
      <c r="B1867" s="12" t="s">
        <v>405</v>
      </c>
      <c r="C1867" s="13" t="s">
        <v>984</v>
      </c>
      <c r="D1867" s="13" t="s">
        <v>983</v>
      </c>
      <c r="E1867" s="15"/>
      <c r="F1867" s="15">
        <f>SUM(F1868:F1869)</f>
        <v>20</v>
      </c>
      <c r="G1867" s="14">
        <f>G1868</f>
        <v>44286</v>
      </c>
    </row>
    <row r="1868" spans="2:18">
      <c r="C1868" s="2" t="s">
        <v>8</v>
      </c>
      <c r="D1868" s="2" t="s">
        <v>393</v>
      </c>
      <c r="E1868" s="3">
        <v>140</v>
      </c>
      <c r="F1868" s="3">
        <v>10</v>
      </c>
      <c r="G1868" s="4">
        <v>44286</v>
      </c>
      <c r="M1868" s="1"/>
      <c r="N1868" s="1"/>
      <c r="O1868" s="1"/>
      <c r="P1868" s="1"/>
      <c r="Q1868" s="1"/>
      <c r="R1868" s="1"/>
    </row>
    <row r="1869" spans="2:18">
      <c r="C1869" s="2" t="s">
        <v>18</v>
      </c>
      <c r="D1869" s="2" t="s">
        <v>393</v>
      </c>
      <c r="E1869" s="3">
        <v>110</v>
      </c>
      <c r="F1869" s="3">
        <v>10</v>
      </c>
      <c r="G1869" s="4">
        <v>43690</v>
      </c>
      <c r="M1869" s="1"/>
      <c r="N1869" s="1"/>
      <c r="O1869" s="1"/>
      <c r="P1869" s="1"/>
      <c r="Q1869" s="1"/>
      <c r="R1869" s="1"/>
    </row>
    <row r="1870" spans="2:18">
      <c r="G1870" s="4"/>
      <c r="M1870" s="1"/>
      <c r="N1870" s="1"/>
      <c r="O1870" s="1"/>
      <c r="P1870" s="1"/>
      <c r="Q1870" s="1"/>
      <c r="R1870" s="1"/>
    </row>
    <row r="1871" spans="2:18" s="12" customFormat="1">
      <c r="B1871" s="12" t="s">
        <v>955</v>
      </c>
      <c r="C1871" s="13" t="s">
        <v>984</v>
      </c>
      <c r="D1871" s="13" t="s">
        <v>983</v>
      </c>
      <c r="E1871" s="15"/>
      <c r="F1871" s="15">
        <f>SUM(F1872:F1873)</f>
        <v>20.166666666666668</v>
      </c>
      <c r="G1871" s="14">
        <f>G1872</f>
        <v>44056</v>
      </c>
      <c r="M1871" s="13"/>
      <c r="N1871" s="13"/>
      <c r="O1871" s="13"/>
      <c r="P1871" s="13"/>
      <c r="Q1871" s="13"/>
      <c r="R1871" s="13"/>
    </row>
    <row r="1872" spans="2:18">
      <c r="C1872" s="2" t="s">
        <v>7</v>
      </c>
      <c r="D1872" s="2" t="s">
        <v>438</v>
      </c>
      <c r="E1872" s="3">
        <v>13</v>
      </c>
      <c r="F1872" s="3">
        <v>13</v>
      </c>
      <c r="G1872" s="4">
        <v>44056</v>
      </c>
    </row>
    <row r="1873" spans="2:18">
      <c r="C1873" s="2" t="s">
        <v>5</v>
      </c>
      <c r="D1873" s="2" t="s">
        <v>82</v>
      </c>
      <c r="E1873" s="3">
        <v>43</v>
      </c>
      <c r="F1873" s="3">
        <f>+E1873/6</f>
        <v>7.166666666666667</v>
      </c>
      <c r="G1873" s="4">
        <v>43622</v>
      </c>
    </row>
    <row r="1874" spans="2:18">
      <c r="G1874" s="4"/>
    </row>
    <row r="1875" spans="2:18" s="12" customFormat="1">
      <c r="B1875" s="12" t="s">
        <v>664</v>
      </c>
      <c r="C1875" s="13" t="s">
        <v>984</v>
      </c>
      <c r="D1875" s="13" t="s">
        <v>983</v>
      </c>
      <c r="E1875" s="15"/>
      <c r="F1875" s="15">
        <f>SUM(F1876:F1879)</f>
        <v>20.3</v>
      </c>
      <c r="G1875" s="14">
        <f>G1876</f>
        <v>44971</v>
      </c>
    </row>
    <row r="1876" spans="2:18">
      <c r="C1876" s="2" t="s">
        <v>4</v>
      </c>
      <c r="D1876" s="2" t="s">
        <v>663</v>
      </c>
      <c r="E1876" s="3">
        <v>12</v>
      </c>
      <c r="F1876" s="3">
        <v>2</v>
      </c>
      <c r="G1876" s="4">
        <v>44971</v>
      </c>
      <c r="M1876" s="1"/>
      <c r="N1876" s="1"/>
      <c r="O1876" s="1"/>
      <c r="P1876" s="1"/>
      <c r="Q1876" s="1"/>
      <c r="R1876" s="1"/>
    </row>
    <row r="1877" spans="2:18">
      <c r="C1877" s="2" t="s">
        <v>4</v>
      </c>
      <c r="D1877" s="2" t="s">
        <v>663</v>
      </c>
      <c r="E1877" s="3">
        <v>5</v>
      </c>
      <c r="F1877" s="3">
        <v>2</v>
      </c>
      <c r="G1877" s="4">
        <v>44769</v>
      </c>
      <c r="M1877" s="1"/>
      <c r="N1877" s="1"/>
      <c r="O1877" s="1"/>
      <c r="P1877" s="1"/>
      <c r="Q1877" s="1"/>
      <c r="R1877" s="1"/>
    </row>
    <row r="1878" spans="2:18">
      <c r="C1878" s="2" t="s">
        <v>4</v>
      </c>
      <c r="D1878" s="2" t="s">
        <v>662</v>
      </c>
      <c r="E1878" s="3">
        <v>12.3</v>
      </c>
      <c r="F1878" s="3">
        <v>6.3</v>
      </c>
      <c r="G1878" s="4">
        <v>44622</v>
      </c>
      <c r="M1878" s="1"/>
      <c r="N1878" s="1"/>
      <c r="O1878" s="1"/>
      <c r="P1878" s="1"/>
      <c r="Q1878" s="1"/>
      <c r="R1878" s="1"/>
    </row>
    <row r="1879" spans="2:18">
      <c r="C1879" s="2" t="s">
        <v>7</v>
      </c>
      <c r="D1879" s="2" t="s">
        <v>293</v>
      </c>
      <c r="E1879" s="3">
        <v>35</v>
      </c>
      <c r="F1879" s="3">
        <v>10</v>
      </c>
      <c r="G1879" s="4">
        <v>44309</v>
      </c>
      <c r="M1879" s="1"/>
      <c r="N1879" s="1"/>
      <c r="O1879" s="1"/>
      <c r="P1879" s="1"/>
      <c r="Q1879" s="1"/>
      <c r="R1879" s="1"/>
    </row>
    <row r="1880" spans="2:18">
      <c r="G1880" s="4"/>
      <c r="M1880" s="1"/>
      <c r="N1880" s="1"/>
      <c r="O1880" s="1"/>
      <c r="P1880" s="1"/>
      <c r="Q1880" s="1"/>
      <c r="R1880" s="1"/>
    </row>
    <row r="1881" spans="2:18" s="12" customFormat="1">
      <c r="B1881" s="12" t="s">
        <v>627</v>
      </c>
      <c r="C1881" s="13" t="s">
        <v>984</v>
      </c>
      <c r="D1881" s="13" t="s">
        <v>983</v>
      </c>
      <c r="E1881" s="15"/>
      <c r="F1881" s="15">
        <f>SUM(F1882:F1885)</f>
        <v>19.2</v>
      </c>
      <c r="G1881" s="14">
        <f>G1882</f>
        <v>44215</v>
      </c>
    </row>
    <row r="1882" spans="2:18">
      <c r="C1882" s="2" t="s">
        <v>9</v>
      </c>
      <c r="D1882" s="2" t="s">
        <v>617</v>
      </c>
      <c r="E1882" s="3">
        <v>132</v>
      </c>
      <c r="F1882" s="3">
        <f>72/10</f>
        <v>7.2</v>
      </c>
      <c r="G1882" s="4">
        <v>44215</v>
      </c>
      <c r="M1882" s="1"/>
      <c r="N1882" s="1"/>
      <c r="O1882" s="1"/>
      <c r="P1882" s="1"/>
      <c r="Q1882" s="1"/>
      <c r="R1882" s="1"/>
    </row>
    <row r="1883" spans="2:18">
      <c r="C1883" s="2" t="s">
        <v>8</v>
      </c>
      <c r="D1883" s="2" t="s">
        <v>617</v>
      </c>
      <c r="E1883" s="3">
        <v>42</v>
      </c>
      <c r="F1883" s="3">
        <f>30/5</f>
        <v>6</v>
      </c>
      <c r="G1883" s="4">
        <v>44153</v>
      </c>
      <c r="M1883" s="1"/>
      <c r="N1883" s="1"/>
      <c r="O1883" s="1"/>
      <c r="P1883" s="1"/>
      <c r="Q1883" s="1"/>
      <c r="R1883" s="1"/>
    </row>
    <row r="1884" spans="2:18">
      <c r="C1884" s="2" t="s">
        <v>18</v>
      </c>
      <c r="D1884" s="2" t="s">
        <v>617</v>
      </c>
      <c r="E1884" s="3">
        <v>48</v>
      </c>
      <c r="F1884" s="3">
        <f>28/7</f>
        <v>4</v>
      </c>
      <c r="G1884" s="4">
        <v>43888</v>
      </c>
      <c r="M1884" s="1"/>
      <c r="N1884" s="1"/>
      <c r="O1884" s="1"/>
      <c r="P1884" s="1"/>
      <c r="Q1884" s="1"/>
      <c r="R1884" s="1"/>
    </row>
    <row r="1885" spans="2:18">
      <c r="C1885" s="2" t="s">
        <v>7</v>
      </c>
      <c r="D1885" s="2" t="s">
        <v>617</v>
      </c>
      <c r="E1885" s="3">
        <v>25</v>
      </c>
      <c r="F1885" s="3">
        <f>10/5</f>
        <v>2</v>
      </c>
      <c r="G1885" s="4">
        <v>43440</v>
      </c>
      <c r="M1885" s="1"/>
      <c r="N1885" s="1"/>
      <c r="O1885" s="1"/>
      <c r="P1885" s="1"/>
      <c r="Q1885" s="1"/>
      <c r="R1885" s="1"/>
    </row>
    <row r="1886" spans="2:18">
      <c r="G1886" s="4"/>
      <c r="M1886" s="1"/>
      <c r="N1886" s="1"/>
      <c r="O1886" s="1"/>
      <c r="P1886" s="1"/>
      <c r="Q1886" s="1"/>
      <c r="R1886" s="1"/>
    </row>
    <row r="1887" spans="2:18" s="12" customFormat="1">
      <c r="B1887" s="12" t="s">
        <v>1047</v>
      </c>
      <c r="C1887" s="13" t="s">
        <v>984</v>
      </c>
      <c r="D1887" s="13" t="s">
        <v>983</v>
      </c>
      <c r="E1887" s="15"/>
      <c r="F1887" s="15">
        <f>SUM(F1888:F1890)</f>
        <v>18.866666666666667</v>
      </c>
      <c r="G1887" s="14">
        <f>G1888</f>
        <v>45035</v>
      </c>
      <c r="M1887" s="13"/>
      <c r="N1887" s="13"/>
      <c r="O1887" s="13"/>
      <c r="P1887" s="13"/>
      <c r="Q1887" s="13"/>
      <c r="R1887" s="13"/>
    </row>
    <row r="1888" spans="2:18">
      <c r="C1888" s="2" t="s">
        <v>5</v>
      </c>
      <c r="D1888" s="2" t="s">
        <v>914</v>
      </c>
      <c r="E1888" s="3">
        <v>70</v>
      </c>
      <c r="F1888" s="3">
        <f>40/6</f>
        <v>6.666666666666667</v>
      </c>
      <c r="G1888" s="4">
        <v>45035</v>
      </c>
    </row>
    <row r="1889" spans="2:18">
      <c r="C1889" s="2" t="s">
        <v>4</v>
      </c>
      <c r="D1889" s="2" t="s">
        <v>309</v>
      </c>
      <c r="E1889" s="3">
        <v>1.8</v>
      </c>
      <c r="F1889" s="3">
        <v>0.2</v>
      </c>
      <c r="G1889" s="4">
        <v>42690</v>
      </c>
    </row>
    <row r="1890" spans="2:18">
      <c r="C1890" s="2" t="s">
        <v>8</v>
      </c>
      <c r="D1890" s="2" t="s">
        <v>181</v>
      </c>
      <c r="E1890" s="3">
        <v>130</v>
      </c>
      <c r="F1890" s="3">
        <v>12</v>
      </c>
      <c r="G1890" s="4">
        <v>42080</v>
      </c>
      <c r="I1890" s="1">
        <v>570</v>
      </c>
    </row>
    <row r="1891" spans="2:18">
      <c r="G1891" s="4"/>
    </row>
    <row r="1892" spans="2:18">
      <c r="B1892" s="12" t="s">
        <v>1046</v>
      </c>
      <c r="C1892" s="13" t="s">
        <v>984</v>
      </c>
      <c r="D1892" s="13" t="s">
        <v>983</v>
      </c>
      <c r="F1892" s="15">
        <f>SUM(F1893:F1897)</f>
        <v>19</v>
      </c>
      <c r="G1892" s="14">
        <f>+G1895</f>
        <v>44698</v>
      </c>
    </row>
    <row r="1893" spans="2:18">
      <c r="C1893" s="2" t="s">
        <v>7</v>
      </c>
      <c r="D1893" s="2" t="s">
        <v>810</v>
      </c>
      <c r="E1893" s="3">
        <v>22</v>
      </c>
      <c r="F1893" s="3">
        <v>5</v>
      </c>
      <c r="G1893" s="4">
        <v>44153</v>
      </c>
    </row>
    <row r="1894" spans="2:18">
      <c r="C1894" s="2" t="s">
        <v>5</v>
      </c>
      <c r="D1894" s="2" t="s">
        <v>810</v>
      </c>
      <c r="E1894" s="3">
        <v>13</v>
      </c>
      <c r="F1894" s="3">
        <v>3</v>
      </c>
      <c r="G1894" s="4">
        <v>44026</v>
      </c>
    </row>
    <row r="1895" spans="2:18">
      <c r="C1895" s="2" t="s">
        <v>5</v>
      </c>
      <c r="D1895" s="2" t="s">
        <v>785</v>
      </c>
      <c r="E1895" s="3">
        <v>12.8</v>
      </c>
      <c r="F1895" s="3">
        <v>3</v>
      </c>
      <c r="G1895" s="4">
        <v>44698</v>
      </c>
    </row>
    <row r="1896" spans="2:18">
      <c r="C1896" s="2" t="s">
        <v>4</v>
      </c>
      <c r="D1896" s="2" t="s">
        <v>785</v>
      </c>
      <c r="E1896" s="3">
        <v>5.5</v>
      </c>
      <c r="F1896" s="3">
        <v>3</v>
      </c>
      <c r="G1896" s="4">
        <v>44488</v>
      </c>
    </row>
    <row r="1897" spans="2:18">
      <c r="C1897" s="2" t="s">
        <v>5</v>
      </c>
      <c r="D1897" s="2" t="s">
        <v>305</v>
      </c>
      <c r="E1897" s="3">
        <v>15</v>
      </c>
      <c r="F1897" s="3">
        <v>5</v>
      </c>
      <c r="G1897" s="4">
        <v>44314</v>
      </c>
    </row>
    <row r="1898" spans="2:18">
      <c r="G1898" s="4"/>
    </row>
    <row r="1899" spans="2:18" s="12" customFormat="1">
      <c r="B1899" s="12" t="s">
        <v>562</v>
      </c>
      <c r="C1899" s="13" t="s">
        <v>984</v>
      </c>
      <c r="D1899" s="13" t="s">
        <v>983</v>
      </c>
      <c r="E1899" s="15"/>
      <c r="F1899" s="15">
        <f>SUM(F1900:F1902)</f>
        <v>19.25</v>
      </c>
      <c r="G1899" s="14">
        <f>G1901</f>
        <v>44811</v>
      </c>
    </row>
    <row r="1900" spans="2:18">
      <c r="C1900" s="2" t="s">
        <v>5</v>
      </c>
      <c r="D1900" s="2" t="s">
        <v>558</v>
      </c>
      <c r="E1900" s="3">
        <v>10.5</v>
      </c>
      <c r="F1900" s="3">
        <f>5/5</f>
        <v>1</v>
      </c>
      <c r="G1900" s="4">
        <v>44341</v>
      </c>
      <c r="M1900" s="1"/>
      <c r="N1900" s="1"/>
      <c r="O1900" s="1"/>
      <c r="P1900" s="1"/>
      <c r="Q1900" s="1"/>
      <c r="R1900" s="1"/>
    </row>
    <row r="1901" spans="2:18">
      <c r="C1901" s="2" t="s">
        <v>7</v>
      </c>
      <c r="D1901" s="2" t="s">
        <v>552</v>
      </c>
      <c r="E1901" s="3">
        <v>40</v>
      </c>
      <c r="F1901" s="3">
        <f>25/4</f>
        <v>6.25</v>
      </c>
      <c r="G1901" s="4">
        <v>44811</v>
      </c>
      <c r="M1901" s="1"/>
      <c r="N1901" s="1"/>
      <c r="O1901" s="1"/>
      <c r="P1901" s="1"/>
      <c r="Q1901" s="1"/>
      <c r="R1901" s="1"/>
    </row>
    <row r="1902" spans="2:18">
      <c r="C1902" s="2" t="s">
        <v>18</v>
      </c>
      <c r="D1902" s="2" t="s">
        <v>2168</v>
      </c>
      <c r="E1902" s="3">
        <v>200</v>
      </c>
      <c r="F1902" s="3">
        <v>12</v>
      </c>
      <c r="G1902" s="4">
        <v>44557</v>
      </c>
      <c r="I1902" s="1">
        <v>1300</v>
      </c>
      <c r="J1902" s="1">
        <v>1300</v>
      </c>
      <c r="M1902" s="1"/>
      <c r="N1902" s="1"/>
      <c r="O1902" s="1"/>
      <c r="P1902" s="1"/>
      <c r="Q1902" s="1"/>
      <c r="R1902" s="1"/>
    </row>
    <row r="1903" spans="2:18">
      <c r="G1903" s="4"/>
      <c r="M1903" s="1"/>
      <c r="N1903" s="1"/>
      <c r="O1903" s="1"/>
      <c r="P1903" s="1"/>
      <c r="Q1903" s="1"/>
      <c r="R1903" s="1"/>
    </row>
    <row r="1904" spans="2:18" s="12" customFormat="1">
      <c r="B1904" s="12" t="s">
        <v>12</v>
      </c>
      <c r="C1904" s="13" t="s">
        <v>984</v>
      </c>
      <c r="D1904" s="13" t="s">
        <v>983</v>
      </c>
      <c r="E1904" s="15"/>
      <c r="F1904" s="15">
        <f>SUM(F1905:F1909)</f>
        <v>18.916666666666668</v>
      </c>
      <c r="G1904" s="14">
        <f>G1905</f>
        <v>44721</v>
      </c>
      <c r="M1904" s="13"/>
      <c r="N1904" s="13"/>
      <c r="O1904" s="13"/>
      <c r="P1904" s="13"/>
      <c r="Q1904" s="13"/>
      <c r="R1904" s="13"/>
    </row>
    <row r="1905" spans="2:18">
      <c r="C1905" s="2" t="s">
        <v>9</v>
      </c>
      <c r="D1905" s="2" t="s">
        <v>3</v>
      </c>
      <c r="E1905" s="3">
        <v>90</v>
      </c>
      <c r="F1905" s="3">
        <v>10</v>
      </c>
      <c r="G1905" s="4">
        <v>44721</v>
      </c>
      <c r="I1905" s="1">
        <v>2200</v>
      </c>
      <c r="J1905" s="1">
        <v>2200</v>
      </c>
    </row>
    <row r="1906" spans="2:18">
      <c r="C1906" s="2" t="s">
        <v>7</v>
      </c>
      <c r="D1906" s="2" t="s">
        <v>3</v>
      </c>
      <c r="E1906" s="3">
        <v>25</v>
      </c>
      <c r="F1906" s="3">
        <v>3.75</v>
      </c>
      <c r="G1906" s="4">
        <v>43697</v>
      </c>
      <c r="J1906" s="1">
        <v>2200</v>
      </c>
    </row>
    <row r="1907" spans="2:18">
      <c r="C1907" s="2" t="s">
        <v>5</v>
      </c>
      <c r="D1907" s="2" t="s">
        <v>3</v>
      </c>
      <c r="E1907" s="3">
        <v>10</v>
      </c>
      <c r="F1907" s="3">
        <v>2.5</v>
      </c>
      <c r="G1907" s="4">
        <v>43456</v>
      </c>
      <c r="J1907" s="1">
        <v>2200</v>
      </c>
    </row>
    <row r="1908" spans="2:18">
      <c r="C1908" s="2" t="s">
        <v>5</v>
      </c>
      <c r="D1908" s="2" t="s">
        <v>3</v>
      </c>
      <c r="E1908" s="3">
        <v>10.5</v>
      </c>
      <c r="F1908" s="3">
        <v>2</v>
      </c>
      <c r="G1908" s="4">
        <v>42828</v>
      </c>
      <c r="J1908" s="1">
        <v>2200</v>
      </c>
    </row>
    <row r="1909" spans="2:18">
      <c r="C1909" s="2" t="s">
        <v>4</v>
      </c>
      <c r="D1909" s="2" t="s">
        <v>3</v>
      </c>
      <c r="E1909" s="3">
        <v>2</v>
      </c>
      <c r="F1909" s="3">
        <f>+E1909/3</f>
        <v>0.66666666666666663</v>
      </c>
      <c r="G1909" s="4">
        <v>42521</v>
      </c>
      <c r="J1909" s="1">
        <v>2200</v>
      </c>
    </row>
    <row r="1910" spans="2:18">
      <c r="G1910" s="4"/>
    </row>
    <row r="1911" spans="2:18" s="12" customFormat="1">
      <c r="B1911" s="12" t="s">
        <v>5208</v>
      </c>
      <c r="C1911" s="13" t="s">
        <v>984</v>
      </c>
      <c r="D1911" s="13" t="s">
        <v>983</v>
      </c>
      <c r="E1911" s="15"/>
      <c r="F1911" s="15">
        <f>SUM(F1912:F1914)</f>
        <v>18.071428571428569</v>
      </c>
      <c r="G1911" s="14">
        <f>G1913</f>
        <v>44880</v>
      </c>
      <c r="M1911" s="13"/>
      <c r="N1911" s="13"/>
      <c r="O1911" s="13"/>
      <c r="P1911" s="13"/>
      <c r="Q1911" s="13"/>
      <c r="R1911" s="13"/>
    </row>
    <row r="1912" spans="2:18">
      <c r="C1912" s="2" t="s">
        <v>5</v>
      </c>
      <c r="D1912" s="2" t="s">
        <v>712</v>
      </c>
      <c r="E1912" s="3">
        <v>50</v>
      </c>
      <c r="F1912" s="3">
        <f>30/12</f>
        <v>2.5</v>
      </c>
      <c r="G1912" s="4">
        <v>44796</v>
      </c>
    </row>
    <row r="1913" spans="2:18">
      <c r="C1913" s="2" t="s">
        <v>8</v>
      </c>
      <c r="D1913" s="2" t="s">
        <v>136</v>
      </c>
      <c r="E1913" s="3">
        <v>135</v>
      </c>
      <c r="F1913" s="3">
        <v>8</v>
      </c>
      <c r="G1913" s="4">
        <v>44880</v>
      </c>
    </row>
    <row r="1914" spans="2:18">
      <c r="C1914" s="2" t="s">
        <v>18</v>
      </c>
      <c r="D1914" s="2" t="s">
        <v>136</v>
      </c>
      <c r="E1914" s="3">
        <v>73</v>
      </c>
      <c r="F1914" s="3">
        <f>53/7</f>
        <v>7.5714285714285712</v>
      </c>
      <c r="G1914" s="4">
        <v>44565</v>
      </c>
    </row>
    <row r="1915" spans="2:18">
      <c r="G1915" s="4"/>
    </row>
    <row r="1916" spans="2:18" s="12" customFormat="1">
      <c r="B1916" s="12" t="s">
        <v>489</v>
      </c>
      <c r="C1916" s="13" t="s">
        <v>984</v>
      </c>
      <c r="D1916" s="13" t="s">
        <v>983</v>
      </c>
      <c r="E1916" s="15"/>
      <c r="F1916" s="15">
        <f>SUM(F1917:F1918)</f>
        <v>18.3</v>
      </c>
      <c r="G1916" s="14">
        <f>G1917</f>
        <v>44398</v>
      </c>
    </row>
    <row r="1917" spans="2:18">
      <c r="C1917" s="2" t="s">
        <v>7</v>
      </c>
      <c r="D1917" s="2" t="s">
        <v>484</v>
      </c>
      <c r="E1917" s="3">
        <v>90</v>
      </c>
      <c r="F1917" s="3">
        <v>15</v>
      </c>
      <c r="G1917" s="4">
        <v>44398</v>
      </c>
      <c r="M1917" s="1"/>
      <c r="N1917" s="1"/>
      <c r="O1917" s="1"/>
      <c r="P1917" s="1"/>
      <c r="Q1917" s="1"/>
      <c r="R1917" s="1"/>
    </row>
    <row r="1918" spans="2:18">
      <c r="C1918" s="2" t="s">
        <v>5</v>
      </c>
      <c r="D1918" s="2" t="s">
        <v>484</v>
      </c>
      <c r="E1918" s="3">
        <v>22.8</v>
      </c>
      <c r="F1918" s="3">
        <v>3.3</v>
      </c>
      <c r="G1918" s="4">
        <v>43160</v>
      </c>
      <c r="M1918" s="1"/>
      <c r="N1918" s="1"/>
      <c r="O1918" s="1"/>
      <c r="P1918" s="1"/>
      <c r="Q1918" s="1"/>
      <c r="R1918" s="1"/>
    </row>
    <row r="1919" spans="2:18">
      <c r="G1919" s="4"/>
      <c r="M1919" s="1"/>
      <c r="N1919" s="1"/>
      <c r="O1919" s="1"/>
      <c r="P1919" s="1"/>
      <c r="Q1919" s="1"/>
      <c r="R1919" s="1"/>
    </row>
    <row r="1920" spans="2:18" s="12" customFormat="1">
      <c r="B1920" s="12" t="s">
        <v>4572</v>
      </c>
      <c r="C1920" s="13" t="s">
        <v>984</v>
      </c>
      <c r="D1920" s="13" t="s">
        <v>983</v>
      </c>
      <c r="E1920" s="15"/>
      <c r="F1920" s="15">
        <f>SUM(F1921:F1923)</f>
        <v>18</v>
      </c>
      <c r="G1920" s="14">
        <f>G1921</f>
        <v>44578</v>
      </c>
      <c r="M1920" s="13"/>
      <c r="N1920" s="13"/>
      <c r="O1920" s="13"/>
      <c r="P1920" s="13"/>
      <c r="Q1920" s="13"/>
      <c r="R1920" s="13"/>
    </row>
    <row r="1921" spans="2:18">
      <c r="C1921" s="2" t="s">
        <v>7</v>
      </c>
      <c r="D1921" s="2" t="s">
        <v>2170</v>
      </c>
      <c r="E1921" s="3">
        <f>176</f>
        <v>176</v>
      </c>
      <c r="F1921" s="3">
        <f>150/12</f>
        <v>12.5</v>
      </c>
      <c r="G1921" s="4">
        <v>44578</v>
      </c>
    </row>
    <row r="1922" spans="2:18">
      <c r="C1922" s="2" t="s">
        <v>5</v>
      </c>
      <c r="D1922" s="2" t="s">
        <v>2170</v>
      </c>
      <c r="E1922" s="3">
        <v>20</v>
      </c>
      <c r="F1922" s="3">
        <f>15/6</f>
        <v>2.5</v>
      </c>
      <c r="G1922" s="4">
        <v>44044</v>
      </c>
    </row>
    <row r="1923" spans="2:18">
      <c r="C1923" s="2" t="s">
        <v>5</v>
      </c>
      <c r="D1923" s="2" t="s">
        <v>2170</v>
      </c>
      <c r="E1923" s="3">
        <v>20</v>
      </c>
      <c r="F1923" s="3">
        <f>12/4</f>
        <v>3</v>
      </c>
      <c r="G1923" s="4">
        <v>43647</v>
      </c>
    </row>
    <row r="1924" spans="2:18">
      <c r="G1924" s="4"/>
    </row>
    <row r="1925" spans="2:18" s="12" customFormat="1">
      <c r="B1925" s="12" t="s">
        <v>1045</v>
      </c>
      <c r="C1925" s="13" t="s">
        <v>984</v>
      </c>
      <c r="D1925" s="13" t="s">
        <v>983</v>
      </c>
      <c r="E1925" s="15"/>
      <c r="F1925" s="15">
        <f>SUM(F1926:F1932)</f>
        <v>17.533333333333335</v>
      </c>
      <c r="G1925" s="14">
        <f>G1926</f>
        <v>44643</v>
      </c>
      <c r="M1925" s="13"/>
      <c r="N1925" s="13"/>
      <c r="O1925" s="13"/>
      <c r="P1925" s="13"/>
      <c r="Q1925" s="13"/>
      <c r="R1925" s="13"/>
    </row>
    <row r="1926" spans="2:18">
      <c r="C1926" s="2" t="s">
        <v>7</v>
      </c>
      <c r="D1926" s="2" t="s">
        <v>704</v>
      </c>
      <c r="E1926" s="3">
        <v>50</v>
      </c>
      <c r="F1926" s="3">
        <f>25/3</f>
        <v>8.3333333333333339</v>
      </c>
      <c r="G1926" s="4">
        <v>44643</v>
      </c>
    </row>
    <row r="1927" spans="2:18">
      <c r="C1927" s="2" t="s">
        <v>5</v>
      </c>
      <c r="D1927" s="2" t="s">
        <v>704</v>
      </c>
      <c r="E1927" s="3">
        <v>18.5</v>
      </c>
      <c r="F1927" s="3">
        <f>10/4</f>
        <v>2.5</v>
      </c>
      <c r="G1927" s="4">
        <v>44242</v>
      </c>
    </row>
    <row r="1928" spans="2:18">
      <c r="C1928" s="2" t="s">
        <v>4</v>
      </c>
      <c r="D1928" s="2" t="s">
        <v>704</v>
      </c>
      <c r="E1928" s="3">
        <v>3.5</v>
      </c>
      <c r="F1928" s="3">
        <v>1.5</v>
      </c>
      <c r="G1928" s="4">
        <v>43631</v>
      </c>
    </row>
    <row r="1929" spans="2:18">
      <c r="C1929" s="2" t="s">
        <v>5</v>
      </c>
      <c r="D1929" s="2" t="s">
        <v>667</v>
      </c>
      <c r="E1929" s="3">
        <v>12.6</v>
      </c>
      <c r="F1929" s="3">
        <v>2.2000000000000002</v>
      </c>
      <c r="G1929" s="4">
        <v>44579</v>
      </c>
    </row>
    <row r="1930" spans="2:18">
      <c r="C1930" s="2" t="s">
        <v>4</v>
      </c>
      <c r="D1930" s="2" t="s">
        <v>667</v>
      </c>
      <c r="E1930" s="3">
        <v>3</v>
      </c>
      <c r="F1930" s="3">
        <v>1</v>
      </c>
      <c r="G1930" s="4">
        <v>43999</v>
      </c>
    </row>
    <row r="1931" spans="2:18">
      <c r="C1931" s="2" t="s">
        <v>5</v>
      </c>
      <c r="D1931" s="2" t="s">
        <v>558</v>
      </c>
      <c r="E1931" s="3">
        <v>10.5</v>
      </c>
      <c r="F1931" s="3">
        <v>1</v>
      </c>
      <c r="G1931" s="4">
        <v>44341</v>
      </c>
    </row>
    <row r="1932" spans="2:18">
      <c r="C1932" s="2" t="s">
        <v>4</v>
      </c>
      <c r="D1932" s="2" t="s">
        <v>558</v>
      </c>
      <c r="E1932" s="3">
        <v>4</v>
      </c>
      <c r="F1932" s="3">
        <v>1</v>
      </c>
      <c r="G1932" s="4">
        <v>43671</v>
      </c>
    </row>
    <row r="1933" spans="2:18">
      <c r="G1933" s="4"/>
    </row>
    <row r="1934" spans="2:18">
      <c r="B1934" s="12" t="s">
        <v>1044</v>
      </c>
      <c r="C1934" s="13" t="s">
        <v>984</v>
      </c>
      <c r="D1934" s="13" t="s">
        <v>983</v>
      </c>
      <c r="E1934" s="15"/>
      <c r="F1934" s="15">
        <f>SUM(F1935:F1938)</f>
        <v>18</v>
      </c>
      <c r="G1934" s="14">
        <f>G1937</f>
        <v>44467</v>
      </c>
    </row>
    <row r="1935" spans="2:18">
      <c r="C1935" s="2" t="s">
        <v>7</v>
      </c>
      <c r="D1935" s="2" t="s">
        <v>977</v>
      </c>
      <c r="E1935" s="3">
        <v>45</v>
      </c>
      <c r="F1935" s="3">
        <v>10</v>
      </c>
      <c r="G1935" s="4">
        <v>44228</v>
      </c>
    </row>
    <row r="1936" spans="2:18">
      <c r="C1936" s="2" t="s">
        <v>5</v>
      </c>
      <c r="D1936" s="2" t="s">
        <v>977</v>
      </c>
      <c r="E1936" s="3">
        <v>5</v>
      </c>
      <c r="F1936" s="3">
        <v>2</v>
      </c>
      <c r="G1936" s="4">
        <v>43251</v>
      </c>
    </row>
    <row r="1937" spans="2:18">
      <c r="C1937" s="2" t="s">
        <v>5</v>
      </c>
      <c r="D1937" s="2" t="s">
        <v>999</v>
      </c>
      <c r="E1937" s="3">
        <v>19</v>
      </c>
      <c r="F1937" s="3">
        <v>4</v>
      </c>
      <c r="G1937" s="4">
        <v>44467</v>
      </c>
    </row>
    <row r="1938" spans="2:18">
      <c r="C1938" s="2" t="s">
        <v>4</v>
      </c>
      <c r="D1938" s="2" t="s">
        <v>999</v>
      </c>
      <c r="E1938" s="3">
        <v>4</v>
      </c>
      <c r="F1938" s="3">
        <v>2</v>
      </c>
      <c r="G1938" s="4">
        <v>43873</v>
      </c>
    </row>
    <row r="1939" spans="2:18">
      <c r="G1939" s="4"/>
    </row>
    <row r="1940" spans="2:18" s="12" customFormat="1">
      <c r="B1940" s="12" t="s">
        <v>481</v>
      </c>
      <c r="C1940" s="13" t="s">
        <v>984</v>
      </c>
      <c r="D1940" s="13" t="s">
        <v>983</v>
      </c>
      <c r="E1940" s="15"/>
      <c r="F1940" s="15">
        <f>SUM(F1941:F1945)</f>
        <v>17.5</v>
      </c>
      <c r="G1940" s="14">
        <f>G1941</f>
        <v>45104</v>
      </c>
    </row>
    <row r="1941" spans="2:18">
      <c r="C1941" s="2" t="s">
        <v>4</v>
      </c>
      <c r="D1941" s="2" t="s">
        <v>478</v>
      </c>
      <c r="E1941" s="3">
        <v>6</v>
      </c>
      <c r="F1941" s="3">
        <v>1</v>
      </c>
      <c r="G1941" s="4">
        <v>45104</v>
      </c>
      <c r="M1941" s="1"/>
      <c r="N1941" s="1"/>
      <c r="O1941" s="1"/>
      <c r="P1941" s="1"/>
      <c r="Q1941" s="1"/>
      <c r="R1941" s="1"/>
    </row>
    <row r="1942" spans="2:18">
      <c r="C1942" s="2" t="s">
        <v>7</v>
      </c>
      <c r="D1942" s="2" t="s">
        <v>411</v>
      </c>
      <c r="E1942" s="3">
        <v>50</v>
      </c>
      <c r="F1942" s="3">
        <v>5</v>
      </c>
      <c r="G1942" s="4">
        <v>44538</v>
      </c>
      <c r="M1942" s="1"/>
      <c r="N1942" s="1"/>
      <c r="O1942" s="1"/>
      <c r="P1942" s="1"/>
      <c r="Q1942" s="1"/>
      <c r="R1942" s="1"/>
    </row>
    <row r="1943" spans="2:18">
      <c r="C1943" s="2" t="s">
        <v>4</v>
      </c>
      <c r="D1943" s="2" t="s">
        <v>411</v>
      </c>
      <c r="E1943" s="3">
        <v>3.1</v>
      </c>
      <c r="F1943" s="3">
        <v>0.5</v>
      </c>
      <c r="G1943" s="4">
        <v>43580</v>
      </c>
      <c r="M1943" s="1"/>
      <c r="N1943" s="1"/>
      <c r="O1943" s="1"/>
      <c r="P1943" s="1"/>
      <c r="Q1943" s="1"/>
      <c r="R1943" s="1"/>
    </row>
    <row r="1944" spans="2:18">
      <c r="C1944" s="2" t="s">
        <v>5</v>
      </c>
      <c r="D1944" s="2" t="s">
        <v>388</v>
      </c>
      <c r="E1944" s="3">
        <v>86</v>
      </c>
      <c r="F1944" s="3">
        <v>10</v>
      </c>
      <c r="G1944" s="4">
        <v>44488</v>
      </c>
      <c r="M1944" s="1"/>
      <c r="N1944" s="1"/>
      <c r="O1944" s="1"/>
      <c r="P1944" s="1"/>
      <c r="Q1944" s="1"/>
      <c r="R1944" s="1"/>
    </row>
    <row r="1945" spans="2:18">
      <c r="C1945" s="2" t="s">
        <v>4</v>
      </c>
      <c r="D1945" s="2" t="s">
        <v>388</v>
      </c>
      <c r="E1945" s="3">
        <v>8.5</v>
      </c>
      <c r="F1945" s="3">
        <v>1</v>
      </c>
      <c r="G1945" s="4">
        <v>43796</v>
      </c>
      <c r="M1945" s="1"/>
      <c r="N1945" s="1"/>
      <c r="O1945" s="1"/>
      <c r="P1945" s="1"/>
      <c r="Q1945" s="1"/>
      <c r="R1945" s="1"/>
    </row>
    <row r="1946" spans="2:18">
      <c r="G1946" s="4"/>
      <c r="M1946" s="1"/>
      <c r="N1946" s="1"/>
      <c r="O1946" s="1"/>
      <c r="P1946" s="1"/>
      <c r="Q1946" s="1"/>
      <c r="R1946" s="1"/>
    </row>
    <row r="1947" spans="2:18">
      <c r="B1947" s="12" t="s">
        <v>1042</v>
      </c>
      <c r="C1947" s="13" t="s">
        <v>984</v>
      </c>
      <c r="D1947" s="13" t="s">
        <v>983</v>
      </c>
      <c r="F1947" s="15">
        <f>SUM(F1948:F1952)</f>
        <v>18.166666666666668</v>
      </c>
      <c r="G1947" s="14">
        <f>+G1948</f>
        <v>44812</v>
      </c>
    </row>
    <row r="1948" spans="2:18">
      <c r="C1948" s="2" t="s">
        <v>7</v>
      </c>
      <c r="D1948" s="2" t="s">
        <v>999</v>
      </c>
      <c r="E1948" s="3">
        <v>38</v>
      </c>
      <c r="F1948" s="3">
        <f>20/3</f>
        <v>6.666666666666667</v>
      </c>
      <c r="G1948" s="4">
        <v>44812</v>
      </c>
    </row>
    <row r="1949" spans="2:18">
      <c r="C1949" s="2" t="s">
        <v>5</v>
      </c>
      <c r="D1949" s="2" t="s">
        <v>999</v>
      </c>
      <c r="E1949" s="3">
        <v>19</v>
      </c>
      <c r="F1949" s="3">
        <v>4</v>
      </c>
      <c r="G1949" s="4">
        <v>44467</v>
      </c>
    </row>
    <row r="1950" spans="2:18">
      <c r="C1950" s="2" t="s">
        <v>5</v>
      </c>
      <c r="D1950" s="2" t="s">
        <v>1015</v>
      </c>
      <c r="E1950" s="3">
        <v>25</v>
      </c>
      <c r="F1950" s="3">
        <v>5</v>
      </c>
      <c r="G1950" s="4">
        <v>44699</v>
      </c>
    </row>
    <row r="1951" spans="2:18">
      <c r="C1951" s="2" t="s">
        <v>5</v>
      </c>
      <c r="D1951" s="2" t="s">
        <v>837</v>
      </c>
      <c r="E1951" s="3">
        <v>20</v>
      </c>
      <c r="F1951" s="3">
        <v>2</v>
      </c>
      <c r="G1951" s="4">
        <v>44602</v>
      </c>
    </row>
    <row r="1952" spans="2:18">
      <c r="C1952" s="2" t="s">
        <v>4</v>
      </c>
      <c r="D1952" s="2" t="s">
        <v>674</v>
      </c>
      <c r="E1952" s="3">
        <v>4.5</v>
      </c>
      <c r="F1952" s="3">
        <v>0.5</v>
      </c>
      <c r="G1952" s="4">
        <v>44293</v>
      </c>
    </row>
    <row r="1953" spans="2:18">
      <c r="G1953" s="4"/>
    </row>
    <row r="1954" spans="2:18" s="12" customFormat="1">
      <c r="B1954" s="12" t="s">
        <v>1026</v>
      </c>
      <c r="C1954" s="13" t="s">
        <v>984</v>
      </c>
      <c r="D1954" s="13" t="s">
        <v>983</v>
      </c>
      <c r="E1954" s="15"/>
      <c r="F1954" s="15">
        <f>SUM(F1955:F1963)</f>
        <v>29.3</v>
      </c>
      <c r="G1954" s="14">
        <f>G1956</f>
        <v>44705</v>
      </c>
      <c r="M1954" s="13"/>
      <c r="N1954" s="13"/>
      <c r="O1954" s="13"/>
      <c r="P1954" s="13"/>
      <c r="Q1954" s="13"/>
      <c r="R1954" s="13"/>
    </row>
    <row r="1955" spans="2:18">
      <c r="C1955" s="2" t="s">
        <v>5</v>
      </c>
      <c r="D1955" s="2" t="s">
        <v>883</v>
      </c>
      <c r="E1955" s="3">
        <v>21.4</v>
      </c>
      <c r="F1955" s="3">
        <f>11.4/3</f>
        <v>3.8000000000000003</v>
      </c>
      <c r="G1955" s="4">
        <v>44232</v>
      </c>
    </row>
    <row r="1956" spans="2:18">
      <c r="C1956" s="2" t="s">
        <v>5</v>
      </c>
      <c r="D1956" s="2" t="s">
        <v>680</v>
      </c>
      <c r="E1956" s="3">
        <v>14</v>
      </c>
      <c r="F1956" s="3">
        <v>3</v>
      </c>
      <c r="G1956" s="4">
        <v>44705</v>
      </c>
    </row>
    <row r="1957" spans="2:18">
      <c r="C1957" s="2" t="s">
        <v>4</v>
      </c>
      <c r="D1957" s="2" t="s">
        <v>680</v>
      </c>
      <c r="E1957" s="3">
        <v>5</v>
      </c>
      <c r="F1957" s="3">
        <v>2</v>
      </c>
      <c r="G1957" s="4">
        <v>44578</v>
      </c>
    </row>
    <row r="1958" spans="2:18">
      <c r="C1958" s="2" t="s">
        <v>5</v>
      </c>
      <c r="D1958" s="2" t="s">
        <v>115</v>
      </c>
      <c r="E1958" s="3">
        <v>25</v>
      </c>
      <c r="F1958" s="3">
        <v>3</v>
      </c>
      <c r="G1958" s="4">
        <v>44510</v>
      </c>
    </row>
    <row r="1959" spans="2:18">
      <c r="C1959" s="2" t="s">
        <v>4</v>
      </c>
      <c r="D1959" s="2" t="s">
        <v>115</v>
      </c>
      <c r="E1959" s="3">
        <v>8</v>
      </c>
      <c r="F1959" s="3">
        <v>1.5</v>
      </c>
      <c r="G1959" s="4">
        <v>44063</v>
      </c>
    </row>
    <row r="1960" spans="2:18">
      <c r="C1960" s="96" t="s">
        <v>18</v>
      </c>
      <c r="D1960" s="96" t="s">
        <v>2147</v>
      </c>
      <c r="E1960" s="3">
        <v>40</v>
      </c>
      <c r="F1960" s="3">
        <v>5</v>
      </c>
      <c r="G1960" s="4">
        <v>44238</v>
      </c>
      <c r="J1960" s="1">
        <v>790</v>
      </c>
    </row>
    <row r="1961" spans="2:18">
      <c r="C1961" s="96" t="s">
        <v>7</v>
      </c>
      <c r="D1961" s="96" t="s">
        <v>2147</v>
      </c>
      <c r="E1961" s="3">
        <v>25</v>
      </c>
      <c r="F1961" s="3">
        <v>5</v>
      </c>
      <c r="G1961" s="4">
        <v>43865</v>
      </c>
      <c r="J1961" s="1">
        <v>790</v>
      </c>
    </row>
    <row r="1962" spans="2:18">
      <c r="C1962" s="96" t="s">
        <v>5</v>
      </c>
      <c r="D1962" s="96" t="s">
        <v>2147</v>
      </c>
      <c r="E1962" s="3">
        <v>10</v>
      </c>
      <c r="F1962" s="3">
        <v>5</v>
      </c>
      <c r="G1962" s="4">
        <v>43564</v>
      </c>
      <c r="J1962" s="1">
        <v>790</v>
      </c>
    </row>
    <row r="1963" spans="2:18">
      <c r="C1963" s="96" t="s">
        <v>4</v>
      </c>
      <c r="D1963" s="96" t="s">
        <v>2147</v>
      </c>
      <c r="E1963" s="3">
        <v>3.9</v>
      </c>
      <c r="F1963" s="3">
        <v>1</v>
      </c>
      <c r="G1963" s="4">
        <v>43311</v>
      </c>
      <c r="J1963" s="1">
        <v>790</v>
      </c>
    </row>
    <row r="1964" spans="2:18">
      <c r="G1964" s="4"/>
    </row>
    <row r="1965" spans="2:18">
      <c r="B1965" s="12" t="s">
        <v>1041</v>
      </c>
      <c r="C1965" s="13" t="s">
        <v>984</v>
      </c>
      <c r="D1965" s="13" t="s">
        <v>983</v>
      </c>
      <c r="F1965" s="15">
        <f>SUM(F1966:F1969)</f>
        <v>18</v>
      </c>
      <c r="G1965" s="14">
        <f>G1966</f>
        <v>45036</v>
      </c>
    </row>
    <row r="1966" spans="2:18">
      <c r="C1966" s="2" t="s">
        <v>7</v>
      </c>
      <c r="D1966" s="2" t="s">
        <v>808</v>
      </c>
      <c r="E1966" s="3">
        <v>50</v>
      </c>
      <c r="F1966" s="3">
        <v>6</v>
      </c>
      <c r="G1966" s="4">
        <v>45036</v>
      </c>
    </row>
    <row r="1967" spans="2:18">
      <c r="C1967" s="2" t="s">
        <v>5</v>
      </c>
      <c r="D1967" s="2" t="s">
        <v>808</v>
      </c>
      <c r="E1967" s="3">
        <v>16.5</v>
      </c>
      <c r="F1967" s="3">
        <v>6</v>
      </c>
      <c r="G1967" s="4">
        <v>44614</v>
      </c>
    </row>
    <row r="1968" spans="2:18">
      <c r="C1968" s="2" t="s">
        <v>4</v>
      </c>
      <c r="D1968" s="2" t="s">
        <v>1040</v>
      </c>
      <c r="E1968" s="3">
        <v>2.8</v>
      </c>
      <c r="F1968" s="3">
        <v>1</v>
      </c>
      <c r="G1968" s="4">
        <v>44994</v>
      </c>
    </row>
    <row r="1969" spans="2:18">
      <c r="C1969" s="2" t="s">
        <v>4</v>
      </c>
      <c r="D1969" s="2" t="s">
        <v>697</v>
      </c>
      <c r="E1969" s="3">
        <v>30</v>
      </c>
      <c r="F1969" s="3">
        <v>5</v>
      </c>
      <c r="G1969" s="4">
        <v>44601</v>
      </c>
    </row>
    <row r="1970" spans="2:18">
      <c r="G1970" s="4"/>
    </row>
    <row r="1971" spans="2:18" s="12" customFormat="1">
      <c r="B1971" s="12" t="s">
        <v>386</v>
      </c>
      <c r="C1971" s="13" t="s">
        <v>984</v>
      </c>
      <c r="D1971" s="13" t="s">
        <v>983</v>
      </c>
      <c r="E1971" s="15"/>
      <c r="F1971" s="15">
        <f>SUM(F1972:F1973)</f>
        <v>17.285714285714285</v>
      </c>
      <c r="G1971" s="14">
        <f>G1972</f>
        <v>44323</v>
      </c>
    </row>
    <row r="1972" spans="2:18">
      <c r="C1972" s="2" t="s">
        <v>18</v>
      </c>
      <c r="D1972" s="2" t="s">
        <v>381</v>
      </c>
      <c r="E1972" s="3">
        <v>130</v>
      </c>
      <c r="F1972" s="3">
        <f>100/7</f>
        <v>14.285714285714286</v>
      </c>
      <c r="G1972" s="4">
        <v>44323</v>
      </c>
      <c r="M1972" s="1"/>
      <c r="N1972" s="1"/>
      <c r="O1972" s="1"/>
      <c r="P1972" s="1"/>
      <c r="Q1972" s="1"/>
      <c r="R1972" s="1"/>
    </row>
    <row r="1973" spans="2:18">
      <c r="C1973" s="2" t="s">
        <v>5</v>
      </c>
      <c r="D1973" s="2" t="s">
        <v>381</v>
      </c>
      <c r="E1973" s="3">
        <v>15</v>
      </c>
      <c r="F1973" s="3">
        <v>3</v>
      </c>
      <c r="G1973" s="4">
        <v>43452</v>
      </c>
      <c r="M1973" s="1"/>
      <c r="N1973" s="1"/>
      <c r="O1973" s="1"/>
      <c r="P1973" s="1"/>
      <c r="Q1973" s="1"/>
      <c r="R1973" s="1"/>
    </row>
    <row r="1974" spans="2:18">
      <c r="G1974" s="4"/>
      <c r="M1974" s="1"/>
      <c r="N1974" s="1"/>
      <c r="O1974" s="1"/>
      <c r="P1974" s="1"/>
      <c r="Q1974" s="1"/>
      <c r="R1974" s="1"/>
    </row>
    <row r="1975" spans="2:18" s="12" customFormat="1">
      <c r="B1975" s="12" t="s">
        <v>1039</v>
      </c>
      <c r="C1975" s="13" t="s">
        <v>984</v>
      </c>
      <c r="D1975" s="13" t="s">
        <v>983</v>
      </c>
      <c r="E1975" s="15"/>
      <c r="F1975" s="15">
        <f>SUM(F1976:F1979)</f>
        <v>17.166666666666664</v>
      </c>
      <c r="G1975" s="14">
        <f>G1977</f>
        <v>44903</v>
      </c>
      <c r="M1975" s="13"/>
      <c r="N1975" s="13"/>
      <c r="O1975" s="13"/>
      <c r="P1975" s="13"/>
      <c r="Q1975" s="13"/>
      <c r="R1975" s="13"/>
    </row>
    <row r="1976" spans="2:18">
      <c r="C1976" s="2" t="s">
        <v>5</v>
      </c>
      <c r="D1976" s="2" t="s">
        <v>945</v>
      </c>
      <c r="E1976" s="3">
        <v>30</v>
      </c>
      <c r="F1976" s="3">
        <v>10</v>
      </c>
      <c r="G1976" s="4">
        <v>44656</v>
      </c>
    </row>
    <row r="1977" spans="2:18">
      <c r="C1977" s="2" t="s">
        <v>5</v>
      </c>
      <c r="D1977" s="2" t="s">
        <v>734</v>
      </c>
      <c r="E1977" s="3">
        <v>20</v>
      </c>
      <c r="F1977" s="3">
        <f>13/6</f>
        <v>2.1666666666666665</v>
      </c>
      <c r="G1977" s="4">
        <v>44903</v>
      </c>
    </row>
    <row r="1978" spans="2:18">
      <c r="C1978" s="2" t="s">
        <v>5</v>
      </c>
      <c r="D1978" s="2" t="s">
        <v>734</v>
      </c>
      <c r="E1978" s="3">
        <v>11</v>
      </c>
      <c r="F1978" s="3">
        <v>3</v>
      </c>
      <c r="G1978" s="4">
        <v>44313</v>
      </c>
    </row>
    <row r="1979" spans="2:18">
      <c r="C1979" s="2" t="s">
        <v>4</v>
      </c>
      <c r="D1979" s="2" t="s">
        <v>734</v>
      </c>
      <c r="E1979" s="3">
        <v>3</v>
      </c>
      <c r="F1979" s="3">
        <v>2</v>
      </c>
      <c r="G1979" s="4">
        <v>44011</v>
      </c>
    </row>
    <row r="1980" spans="2:18">
      <c r="G1980" s="4"/>
    </row>
    <row r="1981" spans="2:18" s="12" customFormat="1">
      <c r="B1981" s="12" t="s">
        <v>615</v>
      </c>
      <c r="C1981" s="13" t="s">
        <v>984</v>
      </c>
      <c r="D1981" s="13" t="s">
        <v>983</v>
      </c>
      <c r="E1981" s="15"/>
      <c r="F1981" s="15">
        <f>SUM(F1982:F1983)</f>
        <v>17.375</v>
      </c>
      <c r="G1981" s="14">
        <f>G1982</f>
        <v>44663</v>
      </c>
    </row>
    <row r="1982" spans="2:18">
      <c r="C1982" s="2" t="s">
        <v>18</v>
      </c>
      <c r="D1982" s="2" t="s">
        <v>610</v>
      </c>
      <c r="E1982" s="3">
        <v>125</v>
      </c>
      <c r="F1982" s="3">
        <f>75/8</f>
        <v>9.375</v>
      </c>
      <c r="G1982" s="4">
        <v>44663</v>
      </c>
      <c r="M1982" s="1"/>
      <c r="N1982" s="1"/>
      <c r="O1982" s="1"/>
      <c r="P1982" s="1"/>
      <c r="Q1982" s="1"/>
      <c r="R1982" s="1"/>
    </row>
    <row r="1983" spans="2:18">
      <c r="C1983" s="2" t="s">
        <v>7</v>
      </c>
      <c r="D1983" s="2" t="s">
        <v>610</v>
      </c>
      <c r="E1983" s="3">
        <v>54</v>
      </c>
      <c r="F1983" s="3">
        <f>40/5</f>
        <v>8</v>
      </c>
      <c r="G1983" s="4">
        <v>44089</v>
      </c>
      <c r="M1983" s="1"/>
      <c r="N1983" s="1"/>
      <c r="O1983" s="1"/>
      <c r="P1983" s="1"/>
      <c r="Q1983" s="1"/>
      <c r="R1983" s="1"/>
    </row>
    <row r="1984" spans="2:18">
      <c r="G1984" s="4"/>
      <c r="M1984" s="1"/>
      <c r="N1984" s="1"/>
      <c r="O1984" s="1"/>
      <c r="P1984" s="1"/>
      <c r="Q1984" s="1"/>
      <c r="R1984" s="1"/>
    </row>
    <row r="1985" spans="2:18" s="12" customFormat="1">
      <c r="B1985" s="12" t="s">
        <v>5086</v>
      </c>
      <c r="C1985" s="13" t="s">
        <v>984</v>
      </c>
      <c r="D1985" s="13" t="s">
        <v>983</v>
      </c>
      <c r="E1985" s="15"/>
      <c r="F1985" s="15">
        <f>SUM(F1986:F1987)</f>
        <v>16.8</v>
      </c>
      <c r="G1985" s="14">
        <f>G1986</f>
        <v>44320</v>
      </c>
      <c r="M1985" s="13"/>
      <c r="N1985" s="13"/>
      <c r="O1985" s="13"/>
      <c r="P1985" s="13"/>
      <c r="Q1985" s="13"/>
      <c r="R1985" s="13"/>
    </row>
    <row r="1986" spans="2:18">
      <c r="B1986" s="84"/>
      <c r="C1986" s="86" t="s">
        <v>8</v>
      </c>
      <c r="D1986" s="86" t="s">
        <v>5084</v>
      </c>
      <c r="E1986" s="3">
        <v>83</v>
      </c>
      <c r="F1986" s="3">
        <f>68/10</f>
        <v>6.8</v>
      </c>
      <c r="G1986" s="4">
        <v>44320</v>
      </c>
      <c r="I1986" s="1">
        <v>3600</v>
      </c>
      <c r="J1986" s="1">
        <v>3600</v>
      </c>
    </row>
    <row r="1987" spans="2:18">
      <c r="B1987" s="84"/>
      <c r="C1987" s="86" t="s">
        <v>18</v>
      </c>
      <c r="D1987" s="86" t="s">
        <v>5084</v>
      </c>
      <c r="E1987" s="3">
        <v>100</v>
      </c>
      <c r="F1987" s="3">
        <f>80/8</f>
        <v>10</v>
      </c>
      <c r="G1987" s="4">
        <v>43937</v>
      </c>
      <c r="I1987" s="1">
        <v>1100</v>
      </c>
      <c r="J1987" s="1">
        <v>3600</v>
      </c>
    </row>
    <row r="1988" spans="2:18">
      <c r="B1988" s="84"/>
      <c r="C1988" s="86"/>
      <c r="D1988" s="86"/>
      <c r="G1988" s="4"/>
    </row>
    <row r="1989" spans="2:18">
      <c r="B1989" s="12" t="s">
        <v>1038</v>
      </c>
      <c r="C1989" s="13" t="s">
        <v>984</v>
      </c>
      <c r="D1989" s="13" t="s">
        <v>983</v>
      </c>
      <c r="F1989" s="15">
        <f>SUM(F1990:F1994)</f>
        <v>16.940000000000001</v>
      </c>
      <c r="G1989" s="14">
        <f>G1992</f>
        <v>44636</v>
      </c>
    </row>
    <row r="1990" spans="2:18">
      <c r="C1990" s="2" t="s">
        <v>7</v>
      </c>
      <c r="D1990" s="2" t="s">
        <v>1024</v>
      </c>
      <c r="E1990" s="3">
        <v>30</v>
      </c>
      <c r="F1990" s="3">
        <v>6</v>
      </c>
      <c r="G1990" s="4">
        <v>44539</v>
      </c>
    </row>
    <row r="1991" spans="2:18">
      <c r="C1991" s="2" t="s">
        <v>5</v>
      </c>
      <c r="D1991" s="2" t="s">
        <v>1024</v>
      </c>
      <c r="E1991" s="3">
        <v>11</v>
      </c>
      <c r="F1991" s="3">
        <v>3</v>
      </c>
      <c r="G1991" s="4">
        <v>43862</v>
      </c>
    </row>
    <row r="1992" spans="2:18">
      <c r="C1992" s="2" t="s">
        <v>7</v>
      </c>
      <c r="D1992" s="2" t="s">
        <v>872</v>
      </c>
      <c r="E1992" s="3">
        <v>25</v>
      </c>
      <c r="F1992" s="3">
        <v>3</v>
      </c>
      <c r="G1992" s="4">
        <v>44636</v>
      </c>
    </row>
    <row r="1993" spans="2:18">
      <c r="C1993" s="2" t="s">
        <v>5</v>
      </c>
      <c r="D1993" s="2" t="s">
        <v>872</v>
      </c>
      <c r="E1993" s="3">
        <v>12.2</v>
      </c>
      <c r="F1993" s="3">
        <f>8.2/5</f>
        <v>1.64</v>
      </c>
      <c r="G1993" s="4">
        <v>44179</v>
      </c>
    </row>
    <row r="1994" spans="2:18">
      <c r="C1994" s="2" t="s">
        <v>5</v>
      </c>
      <c r="D1994" s="2" t="s">
        <v>687</v>
      </c>
      <c r="E1994" s="3">
        <v>15</v>
      </c>
      <c r="F1994" s="3">
        <v>3.3</v>
      </c>
      <c r="G1994" s="4">
        <v>44482</v>
      </c>
    </row>
    <row r="1995" spans="2:18">
      <c r="G1995" s="4"/>
    </row>
    <row r="1996" spans="2:18" s="12" customFormat="1">
      <c r="B1996" s="12" t="s">
        <v>5087</v>
      </c>
      <c r="C1996" s="13" t="s">
        <v>984</v>
      </c>
      <c r="D1996" s="13" t="s">
        <v>983</v>
      </c>
      <c r="E1996" s="15"/>
      <c r="F1996" s="15">
        <f>SUM(F1997:F1998)</f>
        <v>16.8</v>
      </c>
      <c r="G1996" s="14">
        <f>G1997</f>
        <v>44320</v>
      </c>
      <c r="M1996" s="13"/>
      <c r="N1996" s="13"/>
      <c r="O1996" s="13"/>
      <c r="P1996" s="13"/>
      <c r="Q1996" s="13"/>
      <c r="R1996" s="13"/>
    </row>
    <row r="1997" spans="2:18">
      <c r="B1997" s="84"/>
      <c r="C1997" s="86" t="s">
        <v>8</v>
      </c>
      <c r="D1997" s="86" t="s">
        <v>5084</v>
      </c>
      <c r="E1997" s="3">
        <v>83</v>
      </c>
      <c r="F1997" s="3">
        <f>68/10</f>
        <v>6.8</v>
      </c>
      <c r="G1997" s="4">
        <v>44320</v>
      </c>
      <c r="I1997" s="1">
        <v>3600</v>
      </c>
      <c r="J1997" s="1">
        <v>3600</v>
      </c>
    </row>
    <row r="1998" spans="2:18">
      <c r="B1998" s="84"/>
      <c r="C1998" s="86" t="s">
        <v>18</v>
      </c>
      <c r="D1998" s="86" t="s">
        <v>5084</v>
      </c>
      <c r="E1998" s="3">
        <v>100</v>
      </c>
      <c r="F1998" s="3">
        <f>80/8</f>
        <v>10</v>
      </c>
      <c r="G1998" s="4">
        <v>43937</v>
      </c>
      <c r="I1998" s="1">
        <v>1100</v>
      </c>
      <c r="J1998" s="1">
        <v>3600</v>
      </c>
    </row>
    <row r="1999" spans="2:18">
      <c r="B1999" s="84"/>
      <c r="C1999" s="86"/>
      <c r="D1999" s="86"/>
      <c r="G1999" s="4"/>
    </row>
    <row r="2000" spans="2:18" s="12" customFormat="1">
      <c r="B2000" s="12" t="s">
        <v>666</v>
      </c>
      <c r="C2000" s="13" t="s">
        <v>984</v>
      </c>
      <c r="D2000" s="13" t="s">
        <v>983</v>
      </c>
      <c r="E2000" s="15"/>
      <c r="F2000" s="15">
        <f>SUM(F2001:F2002)</f>
        <v>17</v>
      </c>
      <c r="G2000" s="14">
        <f>G2001</f>
        <v>44601</v>
      </c>
      <c r="M2000" s="13"/>
      <c r="N2000" s="13"/>
      <c r="O2000" s="13"/>
      <c r="P2000" s="13"/>
      <c r="Q2000" s="13"/>
      <c r="R2000" s="13"/>
    </row>
    <row r="2001" spans="2:18">
      <c r="C2001" s="2" t="s">
        <v>4</v>
      </c>
      <c r="D2001" s="2" t="s">
        <v>665</v>
      </c>
      <c r="E2001" s="3">
        <v>12.8</v>
      </c>
      <c r="F2001" s="3">
        <v>2</v>
      </c>
      <c r="G2001" s="4">
        <v>44601</v>
      </c>
      <c r="M2001" s="1"/>
      <c r="N2001" s="1"/>
      <c r="O2001" s="1"/>
      <c r="P2001" s="1"/>
      <c r="Q2001" s="1"/>
      <c r="R2001" s="1"/>
    </row>
    <row r="2002" spans="2:18">
      <c r="C2002" s="2" t="s">
        <v>8</v>
      </c>
      <c r="D2002" s="2" t="s">
        <v>498</v>
      </c>
      <c r="E2002" s="3">
        <v>100</v>
      </c>
      <c r="F2002" s="3">
        <v>15</v>
      </c>
      <c r="G2002" s="4">
        <v>43397</v>
      </c>
      <c r="M2002" s="1"/>
      <c r="N2002" s="1"/>
      <c r="O2002" s="1"/>
      <c r="P2002" s="1"/>
      <c r="Q2002" s="1"/>
      <c r="R2002" s="1"/>
    </row>
    <row r="2003" spans="2:18">
      <c r="G2003" s="4"/>
      <c r="M2003" s="1"/>
      <c r="N2003" s="1"/>
      <c r="O2003" s="1"/>
      <c r="P2003" s="1"/>
      <c r="Q2003" s="1"/>
      <c r="R2003" s="1"/>
    </row>
    <row r="2004" spans="2:18" s="12" customFormat="1">
      <c r="B2004" s="12" t="s">
        <v>172</v>
      </c>
      <c r="C2004" s="13" t="s">
        <v>984</v>
      </c>
      <c r="D2004" s="13" t="s">
        <v>983</v>
      </c>
      <c r="E2004" s="15"/>
      <c r="F2004" s="15">
        <f>SUM(F2005:F2006)</f>
        <v>17</v>
      </c>
      <c r="G2004" s="14">
        <f>G2005</f>
        <v>43292</v>
      </c>
      <c r="M2004" s="13"/>
      <c r="N2004" s="13"/>
      <c r="O2004" s="13"/>
      <c r="P2004" s="13"/>
      <c r="Q2004" s="13"/>
      <c r="R2004" s="13"/>
    </row>
    <row r="2005" spans="2:18">
      <c r="C2005" s="2" t="s">
        <v>5</v>
      </c>
      <c r="D2005" s="2" t="s">
        <v>166</v>
      </c>
      <c r="E2005" s="3">
        <v>102</v>
      </c>
      <c r="F2005" s="3">
        <v>8</v>
      </c>
      <c r="G2005" s="4">
        <v>43292</v>
      </c>
    </row>
    <row r="2006" spans="2:18">
      <c r="C2006" s="2" t="s">
        <v>5</v>
      </c>
      <c r="D2006" s="2" t="s">
        <v>166</v>
      </c>
      <c r="E2006" s="3">
        <v>112</v>
      </c>
      <c r="F2006" s="3">
        <f>72/8</f>
        <v>9</v>
      </c>
      <c r="G2006" s="4">
        <v>43115</v>
      </c>
    </row>
    <row r="2007" spans="2:18">
      <c r="G2007" s="4"/>
    </row>
    <row r="2008" spans="2:18" s="12" customFormat="1">
      <c r="B2008" s="12" t="s">
        <v>1037</v>
      </c>
      <c r="C2008" s="13" t="s">
        <v>984</v>
      </c>
      <c r="D2008" s="13" t="s">
        <v>983</v>
      </c>
      <c r="E2008" s="15"/>
      <c r="F2008" s="15">
        <f>SUM(F2009:F2010)</f>
        <v>16.833333333333336</v>
      </c>
      <c r="G2008" s="14">
        <f>G2009</f>
        <v>44643</v>
      </c>
      <c r="M2008" s="13"/>
      <c r="N2008" s="13"/>
      <c r="O2008" s="13"/>
      <c r="P2008" s="13"/>
      <c r="Q2008" s="13"/>
      <c r="R2008" s="13"/>
    </row>
    <row r="2009" spans="2:18">
      <c r="C2009" s="2" t="s">
        <v>7</v>
      </c>
      <c r="D2009" s="2" t="s">
        <v>704</v>
      </c>
      <c r="E2009" s="3">
        <v>50</v>
      </c>
      <c r="F2009" s="3">
        <f>25/3</f>
        <v>8.3333333333333339</v>
      </c>
      <c r="G2009" s="4">
        <v>44643</v>
      </c>
    </row>
    <row r="2010" spans="2:18">
      <c r="C2010" s="2" t="s">
        <v>5</v>
      </c>
      <c r="D2010" s="2" t="s">
        <v>704</v>
      </c>
      <c r="E2010" s="3">
        <v>18.5</v>
      </c>
      <c r="F2010" s="3">
        <v>8.5</v>
      </c>
      <c r="G2010" s="4">
        <v>44242</v>
      </c>
    </row>
    <row r="2011" spans="2:18">
      <c r="G2011" s="4"/>
    </row>
    <row r="2012" spans="2:18" s="12" customFormat="1">
      <c r="B2012" s="12" t="s">
        <v>359</v>
      </c>
      <c r="C2012" s="13" t="s">
        <v>984</v>
      </c>
      <c r="D2012" s="13" t="s">
        <v>983</v>
      </c>
      <c r="E2012" s="15"/>
      <c r="F2012" s="15">
        <f>SUM(F2013:F2015)</f>
        <v>17</v>
      </c>
      <c r="G2012" s="14">
        <f>G2013</f>
        <v>44861</v>
      </c>
    </row>
    <row r="2013" spans="2:18">
      <c r="C2013" s="2" t="s">
        <v>7</v>
      </c>
      <c r="D2013" s="2" t="s">
        <v>358</v>
      </c>
      <c r="E2013" s="3">
        <v>22</v>
      </c>
      <c r="F2013" s="3">
        <v>5</v>
      </c>
      <c r="G2013" s="4">
        <v>44861</v>
      </c>
      <c r="M2013" s="1"/>
      <c r="N2013" s="1"/>
      <c r="O2013" s="1"/>
      <c r="P2013" s="1"/>
      <c r="Q2013" s="1"/>
      <c r="R2013" s="1"/>
    </row>
    <row r="2014" spans="2:18">
      <c r="C2014" s="2" t="s">
        <v>5</v>
      </c>
      <c r="D2014" s="2" t="s">
        <v>358</v>
      </c>
      <c r="E2014" s="3">
        <v>15</v>
      </c>
      <c r="F2014" s="3">
        <v>5</v>
      </c>
      <c r="G2014" s="4">
        <v>44487</v>
      </c>
      <c r="M2014" s="1"/>
      <c r="N2014" s="1"/>
      <c r="O2014" s="1"/>
      <c r="P2014" s="1"/>
      <c r="Q2014" s="1"/>
      <c r="R2014" s="1"/>
    </row>
    <row r="2015" spans="2:18">
      <c r="C2015" s="2" t="s">
        <v>4</v>
      </c>
      <c r="D2015" s="2" t="s">
        <v>358</v>
      </c>
      <c r="E2015" s="3">
        <v>7</v>
      </c>
      <c r="F2015" s="3">
        <v>7</v>
      </c>
      <c r="G2015" s="4">
        <v>44117</v>
      </c>
      <c r="M2015" s="1"/>
      <c r="N2015" s="1"/>
      <c r="O2015" s="1"/>
      <c r="P2015" s="1"/>
      <c r="Q2015" s="1"/>
      <c r="R2015" s="1"/>
    </row>
    <row r="2016" spans="2:18">
      <c r="G2016" s="4"/>
      <c r="M2016" s="1"/>
      <c r="N2016" s="1"/>
      <c r="O2016" s="1"/>
      <c r="P2016" s="1"/>
      <c r="Q2016" s="1"/>
      <c r="R2016" s="1"/>
    </row>
    <row r="2017" spans="2:18">
      <c r="B2017" s="12" t="s">
        <v>1035</v>
      </c>
      <c r="C2017" s="13" t="s">
        <v>984</v>
      </c>
      <c r="D2017" s="13" t="s">
        <v>983</v>
      </c>
      <c r="E2017" s="15"/>
      <c r="F2017" s="15">
        <f>SUM(F2018:F2020)</f>
        <v>16.600000000000001</v>
      </c>
      <c r="G2017" s="14">
        <f>+G2020</f>
        <v>45020</v>
      </c>
    </row>
    <row r="2018" spans="2:18">
      <c r="C2018" s="2" t="s">
        <v>18</v>
      </c>
      <c r="D2018" s="2" t="s">
        <v>939</v>
      </c>
      <c r="E2018" s="3">
        <v>100</v>
      </c>
      <c r="F2018" s="3">
        <v>9</v>
      </c>
      <c r="G2018" s="4">
        <v>44690</v>
      </c>
    </row>
    <row r="2019" spans="2:18">
      <c r="C2019" s="2" t="s">
        <v>4</v>
      </c>
      <c r="D2019" s="2" t="s">
        <v>783</v>
      </c>
      <c r="E2019" s="3">
        <v>4.5999999999999996</v>
      </c>
      <c r="F2019" s="3">
        <v>0.6</v>
      </c>
      <c r="G2019" s="4">
        <v>44530</v>
      </c>
    </row>
    <row r="2020" spans="2:18">
      <c r="C2020" s="2" t="s">
        <v>18</v>
      </c>
      <c r="D2020" s="2" t="s">
        <v>432</v>
      </c>
      <c r="E2020" s="3">
        <v>75</v>
      </c>
      <c r="F2020" s="3">
        <v>7</v>
      </c>
      <c r="G2020" s="4">
        <v>45020</v>
      </c>
    </row>
    <row r="2021" spans="2:18">
      <c r="G2021" s="4"/>
    </row>
    <row r="2022" spans="2:18" s="12" customFormat="1">
      <c r="B2022" s="12" t="s">
        <v>280</v>
      </c>
      <c r="C2022" s="13" t="s">
        <v>984</v>
      </c>
      <c r="D2022" s="13" t="s">
        <v>983</v>
      </c>
      <c r="E2022" s="15"/>
      <c r="F2022" s="15">
        <f>SUM(F2023:F2026)</f>
        <v>16.220238095238095</v>
      </c>
      <c r="G2022" s="14">
        <f>G2023</f>
        <v>44622</v>
      </c>
      <c r="M2022" s="13"/>
      <c r="N2022" s="13"/>
      <c r="O2022" s="13"/>
      <c r="P2022" s="13"/>
      <c r="Q2022" s="13"/>
      <c r="R2022" s="13"/>
    </row>
    <row r="2023" spans="2:18">
      <c r="C2023" s="2" t="s">
        <v>8</v>
      </c>
      <c r="D2023" s="2" t="s">
        <v>265</v>
      </c>
      <c r="E2023" s="3">
        <v>111</v>
      </c>
      <c r="F2023" s="3">
        <f>97/14</f>
        <v>6.9285714285714288</v>
      </c>
      <c r="G2023" s="4">
        <v>44622</v>
      </c>
    </row>
    <row r="2024" spans="2:18">
      <c r="C2024" s="2" t="s">
        <v>18</v>
      </c>
      <c r="D2024" s="2" t="s">
        <v>265</v>
      </c>
      <c r="E2024" s="3">
        <v>55</v>
      </c>
      <c r="F2024" s="3">
        <v>5.625</v>
      </c>
      <c r="G2024" s="4">
        <v>44314</v>
      </c>
    </row>
    <row r="2025" spans="2:18">
      <c r="C2025" s="2" t="s">
        <v>7</v>
      </c>
      <c r="D2025" s="2" t="s">
        <v>265</v>
      </c>
      <c r="E2025" s="3">
        <v>16</v>
      </c>
      <c r="F2025" s="3">
        <v>2</v>
      </c>
      <c r="G2025" s="4">
        <v>44009</v>
      </c>
    </row>
    <row r="2026" spans="2:18">
      <c r="C2026" s="2" t="s">
        <v>5</v>
      </c>
      <c r="D2026" s="2" t="s">
        <v>265</v>
      </c>
      <c r="E2026" s="3">
        <v>14</v>
      </c>
      <c r="F2026" s="3">
        <v>1.6666666666666667</v>
      </c>
      <c r="G2026" s="4">
        <v>43690</v>
      </c>
    </row>
    <row r="2027" spans="2:18">
      <c r="G2027" s="4"/>
    </row>
    <row r="2028" spans="2:18" s="12" customFormat="1">
      <c r="B2028" s="12" t="s">
        <v>5192</v>
      </c>
      <c r="C2028" s="13" t="s">
        <v>984</v>
      </c>
      <c r="D2028" s="13" t="s">
        <v>983</v>
      </c>
      <c r="E2028" s="15"/>
      <c r="F2028" s="15">
        <f>SUM(F2029:F2030)</f>
        <v>15.714285714285714</v>
      </c>
      <c r="G2028" s="14">
        <f>G2029</f>
        <v>44507</v>
      </c>
      <c r="M2028" s="13"/>
      <c r="N2028" s="13"/>
      <c r="O2028" s="13"/>
      <c r="P2028" s="13"/>
      <c r="Q2028" s="13"/>
      <c r="R2028" s="13"/>
    </row>
    <row r="2029" spans="2:18">
      <c r="B2029" s="95"/>
      <c r="C2029" s="96" t="s">
        <v>9</v>
      </c>
      <c r="D2029" s="96" t="s">
        <v>2150</v>
      </c>
      <c r="E2029" s="3">
        <v>100</v>
      </c>
      <c r="F2029" s="3">
        <v>10.714285714285714</v>
      </c>
      <c r="G2029" s="4">
        <v>44507</v>
      </c>
      <c r="I2029" s="1">
        <v>1600</v>
      </c>
      <c r="J2029" s="1">
        <v>1600</v>
      </c>
    </row>
    <row r="2030" spans="2:18">
      <c r="B2030" s="95"/>
      <c r="C2030" s="96" t="s">
        <v>18</v>
      </c>
      <c r="D2030" s="96" t="s">
        <v>2150</v>
      </c>
      <c r="E2030" s="3">
        <v>40</v>
      </c>
      <c r="F2030" s="3">
        <f>30/6</f>
        <v>5</v>
      </c>
      <c r="G2030" s="4">
        <v>43069</v>
      </c>
      <c r="J2030" s="1">
        <v>1600</v>
      </c>
    </row>
    <row r="2031" spans="2:18">
      <c r="B2031" s="95"/>
      <c r="C2031" s="96"/>
      <c r="D2031" s="96"/>
      <c r="G2031" s="4"/>
    </row>
    <row r="2032" spans="2:18" s="12" customFormat="1">
      <c r="B2032" s="12" t="s">
        <v>442</v>
      </c>
      <c r="C2032" s="13" t="s">
        <v>984</v>
      </c>
      <c r="D2032" s="13" t="s">
        <v>983</v>
      </c>
      <c r="E2032" s="15"/>
      <c r="F2032" s="15">
        <f>SUM(F2033:F2034)</f>
        <v>16</v>
      </c>
      <c r="G2032" s="14">
        <f>G2033</f>
        <v>43018</v>
      </c>
    </row>
    <row r="2033" spans="2:18">
      <c r="C2033" s="2" t="s">
        <v>7</v>
      </c>
      <c r="D2033" s="2" t="s">
        <v>439</v>
      </c>
      <c r="E2033" s="3">
        <v>93</v>
      </c>
      <c r="F2033" s="3">
        <v>10</v>
      </c>
      <c r="G2033" s="4">
        <v>43018</v>
      </c>
      <c r="M2033" s="1"/>
      <c r="N2033" s="1"/>
      <c r="O2033" s="1"/>
      <c r="P2033" s="1"/>
      <c r="Q2033" s="1"/>
      <c r="R2033" s="1"/>
    </row>
    <row r="2034" spans="2:18">
      <c r="C2034" s="2" t="s">
        <v>5</v>
      </c>
      <c r="D2034" s="2" t="s">
        <v>439</v>
      </c>
      <c r="E2034" s="3">
        <v>15</v>
      </c>
      <c r="F2034" s="3">
        <v>6</v>
      </c>
      <c r="G2034" s="4">
        <v>42690</v>
      </c>
      <c r="M2034" s="1"/>
      <c r="N2034" s="1"/>
      <c r="O2034" s="1"/>
      <c r="P2034" s="1"/>
      <c r="Q2034" s="1"/>
      <c r="R2034" s="1"/>
    </row>
    <row r="2035" spans="2:18">
      <c r="G2035" s="4"/>
      <c r="M2035" s="1"/>
      <c r="N2035" s="1"/>
      <c r="O2035" s="1"/>
      <c r="P2035" s="1"/>
      <c r="Q2035" s="1"/>
      <c r="R2035" s="1"/>
    </row>
    <row r="2036" spans="2:18" s="12" customFormat="1">
      <c r="B2036" s="12" t="s">
        <v>334</v>
      </c>
      <c r="C2036" s="13" t="s">
        <v>984</v>
      </c>
      <c r="D2036" s="13" t="s">
        <v>983</v>
      </c>
      <c r="E2036" s="15"/>
      <c r="F2036" s="15">
        <f>SUM(F2037:F2039)</f>
        <v>15.75</v>
      </c>
      <c r="G2036" s="14">
        <f>G2039</f>
        <v>44867</v>
      </c>
    </row>
    <row r="2037" spans="2:18">
      <c r="C2037" s="2" t="s">
        <v>5</v>
      </c>
      <c r="D2037" s="2" t="s">
        <v>325</v>
      </c>
      <c r="E2037" s="3">
        <v>16</v>
      </c>
      <c r="F2037" s="3">
        <v>2</v>
      </c>
      <c r="G2037" s="4">
        <v>43783</v>
      </c>
      <c r="L2037" s="1">
        <f>+F2037*5</f>
        <v>10</v>
      </c>
      <c r="M2037" s="1"/>
      <c r="N2037" s="1"/>
      <c r="O2037" s="1"/>
      <c r="P2037" s="1"/>
      <c r="Q2037" s="1"/>
      <c r="R2037" s="1"/>
    </row>
    <row r="2038" spans="2:18">
      <c r="C2038" s="2" t="s">
        <v>7</v>
      </c>
      <c r="D2038" s="2" t="s">
        <v>325</v>
      </c>
      <c r="E2038" s="3">
        <v>55</v>
      </c>
      <c r="F2038" s="3">
        <v>5</v>
      </c>
      <c r="G2038" s="4">
        <v>44200</v>
      </c>
      <c r="M2038" s="1"/>
      <c r="N2038" s="1"/>
      <c r="O2038" s="1"/>
      <c r="P2038" s="1"/>
      <c r="Q2038" s="1"/>
      <c r="R2038" s="1"/>
    </row>
    <row r="2039" spans="2:18">
      <c r="C2039" s="2" t="s">
        <v>18</v>
      </c>
      <c r="D2039" s="2" t="s">
        <v>325</v>
      </c>
      <c r="E2039" s="3">
        <v>91</v>
      </c>
      <c r="F2039" s="3">
        <f>70/8</f>
        <v>8.75</v>
      </c>
      <c r="G2039" s="4">
        <v>44867</v>
      </c>
      <c r="M2039" s="1"/>
      <c r="N2039" s="1"/>
      <c r="O2039" s="1"/>
      <c r="P2039" s="1"/>
      <c r="Q2039" s="1"/>
      <c r="R2039" s="1"/>
    </row>
    <row r="2040" spans="2:18">
      <c r="G2040" s="4"/>
      <c r="M2040" s="1"/>
      <c r="N2040" s="1"/>
      <c r="O2040" s="1"/>
      <c r="P2040" s="1"/>
      <c r="Q2040" s="1"/>
      <c r="R2040" s="1"/>
    </row>
    <row r="2041" spans="2:18" s="12" customFormat="1">
      <c r="B2041" s="12" t="s">
        <v>488</v>
      </c>
      <c r="C2041" s="13" t="s">
        <v>984</v>
      </c>
      <c r="D2041" s="13" t="s">
        <v>983</v>
      </c>
      <c r="E2041" s="15"/>
      <c r="F2041" s="15">
        <f>SUM(F2042:F2045)</f>
        <v>16.375</v>
      </c>
      <c r="G2041" s="14">
        <f>G2043</f>
        <v>45008</v>
      </c>
    </row>
    <row r="2042" spans="2:18">
      <c r="C2042" s="2" t="s">
        <v>7</v>
      </c>
      <c r="D2042" s="2" t="s">
        <v>484</v>
      </c>
      <c r="E2042" s="3">
        <v>90</v>
      </c>
      <c r="F2042" s="3">
        <v>6</v>
      </c>
      <c r="G2042" s="4">
        <v>44398</v>
      </c>
      <c r="M2042" s="1"/>
      <c r="N2042" s="1"/>
      <c r="O2042" s="1"/>
      <c r="P2042" s="1"/>
      <c r="Q2042" s="1"/>
      <c r="R2042" s="1"/>
    </row>
    <row r="2043" spans="2:18">
      <c r="C2043" s="2" t="s">
        <v>7</v>
      </c>
      <c r="D2043" s="2" t="s">
        <v>133</v>
      </c>
      <c r="E2043" s="3">
        <v>23.5</v>
      </c>
      <c r="F2043" s="3">
        <f>13.5/4</f>
        <v>3.375</v>
      </c>
      <c r="G2043" s="4">
        <v>45008</v>
      </c>
      <c r="M2043" s="1"/>
      <c r="N2043" s="1"/>
      <c r="O2043" s="1"/>
      <c r="P2043" s="1"/>
      <c r="Q2043" s="1"/>
      <c r="R2043" s="1"/>
    </row>
    <row r="2044" spans="2:18">
      <c r="C2044" s="2" t="s">
        <v>5</v>
      </c>
      <c r="D2044" s="2" t="s">
        <v>133</v>
      </c>
      <c r="E2044" s="3">
        <v>16</v>
      </c>
      <c r="F2044" s="3">
        <v>5</v>
      </c>
      <c r="G2044" s="4">
        <v>44434</v>
      </c>
      <c r="M2044" s="1"/>
      <c r="N2044" s="1"/>
      <c r="O2044" s="1"/>
      <c r="P2044" s="1"/>
      <c r="Q2044" s="1"/>
      <c r="R2044" s="1"/>
    </row>
    <row r="2045" spans="2:18">
      <c r="C2045" s="2" t="s">
        <v>4</v>
      </c>
      <c r="D2045" s="2" t="s">
        <v>133</v>
      </c>
      <c r="E2045" s="3">
        <v>5</v>
      </c>
      <c r="F2045" s="3">
        <v>2</v>
      </c>
      <c r="G2045" s="4">
        <v>44176</v>
      </c>
      <c r="M2045" s="1"/>
      <c r="N2045" s="1"/>
      <c r="O2045" s="1"/>
      <c r="P2045" s="1"/>
      <c r="Q2045" s="1"/>
      <c r="R2045" s="1"/>
    </row>
    <row r="2046" spans="2:18">
      <c r="G2046" s="4"/>
      <c r="M2046" s="1"/>
      <c r="N2046" s="1"/>
      <c r="O2046" s="1"/>
      <c r="P2046" s="1"/>
      <c r="Q2046" s="1"/>
      <c r="R2046" s="1"/>
    </row>
    <row r="2047" spans="2:18" s="12" customFormat="1">
      <c r="B2047" s="12" t="s">
        <v>279</v>
      </c>
      <c r="C2047" s="13" t="s">
        <v>984</v>
      </c>
      <c r="D2047" s="13" t="s">
        <v>983</v>
      </c>
      <c r="E2047" s="15"/>
      <c r="F2047" s="15">
        <f>SUM(F2048:F2051)</f>
        <v>16.220238095238095</v>
      </c>
      <c r="G2047" s="14">
        <f>G2048</f>
        <v>44622</v>
      </c>
      <c r="M2047" s="13"/>
      <c r="N2047" s="13"/>
      <c r="O2047" s="13"/>
      <c r="P2047" s="13"/>
      <c r="Q2047" s="13"/>
      <c r="R2047" s="13"/>
    </row>
    <row r="2048" spans="2:18">
      <c r="C2048" s="2" t="s">
        <v>8</v>
      </c>
      <c r="D2048" s="2" t="s">
        <v>265</v>
      </c>
      <c r="E2048" s="3">
        <v>111</v>
      </c>
      <c r="F2048" s="3">
        <f>97/14</f>
        <v>6.9285714285714288</v>
      </c>
      <c r="G2048" s="4">
        <v>44622</v>
      </c>
    </row>
    <row r="2049" spans="2:18">
      <c r="C2049" s="2" t="s">
        <v>18</v>
      </c>
      <c r="D2049" s="2" t="s">
        <v>265</v>
      </c>
      <c r="E2049" s="3">
        <v>55</v>
      </c>
      <c r="F2049" s="3">
        <v>5.625</v>
      </c>
      <c r="G2049" s="4">
        <v>44314</v>
      </c>
    </row>
    <row r="2050" spans="2:18">
      <c r="C2050" s="2" t="s">
        <v>7</v>
      </c>
      <c r="D2050" s="2" t="s">
        <v>265</v>
      </c>
      <c r="E2050" s="3">
        <v>16</v>
      </c>
      <c r="F2050" s="3">
        <v>2</v>
      </c>
      <c r="G2050" s="4">
        <v>44009</v>
      </c>
    </row>
    <row r="2051" spans="2:18">
      <c r="C2051" s="2" t="s">
        <v>5</v>
      </c>
      <c r="D2051" s="2" t="s">
        <v>265</v>
      </c>
      <c r="E2051" s="3">
        <v>14</v>
      </c>
      <c r="F2051" s="3">
        <v>1.6666666666666667</v>
      </c>
      <c r="G2051" s="4">
        <v>43690</v>
      </c>
    </row>
    <row r="2052" spans="2:18">
      <c r="G2052" s="4"/>
    </row>
    <row r="2053" spans="2:18" s="12" customFormat="1">
      <c r="B2053" s="12" t="s">
        <v>404</v>
      </c>
      <c r="C2053" s="13" t="s">
        <v>984</v>
      </c>
      <c r="D2053" s="13" t="s">
        <v>983</v>
      </c>
      <c r="E2053" s="15"/>
      <c r="F2053" s="15">
        <f>SUM(F2054:F2056)</f>
        <v>15.5</v>
      </c>
      <c r="G2053" s="14">
        <f>G2054</f>
        <v>44286</v>
      </c>
    </row>
    <row r="2054" spans="2:18">
      <c r="C2054" s="2" t="s">
        <v>8</v>
      </c>
      <c r="D2054" s="2" t="s">
        <v>393</v>
      </c>
      <c r="E2054" s="3">
        <v>140</v>
      </c>
      <c r="F2054" s="3">
        <v>10</v>
      </c>
      <c r="G2054" s="4">
        <v>44286</v>
      </c>
      <c r="M2054" s="1"/>
      <c r="N2054" s="1"/>
      <c r="O2054" s="1"/>
      <c r="P2054" s="1"/>
      <c r="Q2054" s="1"/>
      <c r="R2054" s="1"/>
    </row>
    <row r="2055" spans="2:18">
      <c r="C2055" s="2" t="s">
        <v>5</v>
      </c>
      <c r="D2055" s="2" t="s">
        <v>159</v>
      </c>
      <c r="E2055" s="3">
        <v>14</v>
      </c>
      <c r="F2055" s="3">
        <v>4</v>
      </c>
      <c r="G2055" s="4">
        <v>42668</v>
      </c>
      <c r="M2055" s="1"/>
      <c r="N2055" s="1"/>
      <c r="O2055" s="1"/>
      <c r="P2055" s="1"/>
      <c r="Q2055" s="1"/>
      <c r="R2055" s="1"/>
    </row>
    <row r="2056" spans="2:18">
      <c r="C2056" s="2" t="s">
        <v>4</v>
      </c>
      <c r="D2056" s="2" t="s">
        <v>159</v>
      </c>
      <c r="E2056" s="3">
        <v>4</v>
      </c>
      <c r="F2056" s="3">
        <v>1.5</v>
      </c>
      <c r="G2056" s="4">
        <v>42023</v>
      </c>
      <c r="M2056" s="1"/>
      <c r="N2056" s="1"/>
      <c r="O2056" s="1"/>
      <c r="P2056" s="1"/>
      <c r="Q2056" s="1"/>
      <c r="R2056" s="1"/>
    </row>
    <row r="2057" spans="2:18">
      <c r="G2057" s="4"/>
      <c r="M2057" s="1"/>
      <c r="N2057" s="1"/>
      <c r="O2057" s="1"/>
      <c r="P2057" s="1"/>
      <c r="Q2057" s="1"/>
      <c r="R2057" s="1"/>
    </row>
    <row r="2058" spans="2:18" s="12" customFormat="1">
      <c r="B2058" s="12" t="s">
        <v>718</v>
      </c>
      <c r="C2058" s="13" t="s">
        <v>984</v>
      </c>
      <c r="D2058" s="13" t="s">
        <v>983</v>
      </c>
      <c r="E2058" s="15"/>
      <c r="F2058" s="15">
        <f>SUM(F2059:F2061)</f>
        <v>15.625</v>
      </c>
      <c r="G2058" s="14">
        <f>G2059</f>
        <v>45090</v>
      </c>
      <c r="M2058" s="13"/>
      <c r="N2058" s="13"/>
      <c r="O2058" s="13"/>
      <c r="P2058" s="13"/>
      <c r="Q2058" s="13"/>
      <c r="R2058" s="13"/>
    </row>
    <row r="2059" spans="2:18">
      <c r="C2059" s="2" t="s">
        <v>4</v>
      </c>
      <c r="D2059" s="2" t="s">
        <v>717</v>
      </c>
      <c r="E2059" s="3">
        <v>113</v>
      </c>
      <c r="F2059" s="3">
        <v>8</v>
      </c>
      <c r="G2059" s="4">
        <v>45090</v>
      </c>
    </row>
    <row r="2060" spans="2:18">
      <c r="C2060" s="2" t="s">
        <v>5</v>
      </c>
      <c r="D2060" s="2" t="s">
        <v>474</v>
      </c>
      <c r="E2060" s="3">
        <v>15.5</v>
      </c>
      <c r="F2060" s="3">
        <v>1.625</v>
      </c>
      <c r="G2060" s="4">
        <v>44727</v>
      </c>
    </row>
    <row r="2061" spans="2:18">
      <c r="C2061" s="2" t="s">
        <v>5</v>
      </c>
      <c r="D2061" s="2" t="s">
        <v>474</v>
      </c>
      <c r="E2061" s="3">
        <v>12</v>
      </c>
      <c r="F2061" s="3">
        <v>6</v>
      </c>
      <c r="G2061" s="4">
        <v>43948</v>
      </c>
    </row>
    <row r="2062" spans="2:18">
      <c r="G2062" s="4"/>
    </row>
    <row r="2063" spans="2:18" s="12" customFormat="1">
      <c r="B2063" s="12" t="s">
        <v>619</v>
      </c>
      <c r="C2063" s="13" t="s">
        <v>984</v>
      </c>
      <c r="D2063" s="13" t="s">
        <v>983</v>
      </c>
      <c r="E2063" s="15"/>
      <c r="F2063" s="15">
        <f>SUM(F2064:F2065)</f>
        <v>16</v>
      </c>
      <c r="G2063" s="14">
        <f>G2064</f>
        <v>43888</v>
      </c>
    </row>
    <row r="2064" spans="2:18">
      <c r="C2064" s="2" t="s">
        <v>18</v>
      </c>
      <c r="D2064" s="2" t="s">
        <v>617</v>
      </c>
      <c r="E2064" s="3">
        <v>48</v>
      </c>
      <c r="F2064" s="3">
        <v>4</v>
      </c>
      <c r="G2064" s="4">
        <v>43888</v>
      </c>
      <c r="M2064" s="1"/>
      <c r="N2064" s="1"/>
      <c r="O2064" s="1"/>
      <c r="P2064" s="1"/>
      <c r="Q2064" s="1"/>
      <c r="R2064" s="1"/>
    </row>
    <row r="2065" spans="2:18">
      <c r="C2065" s="2" t="s">
        <v>18</v>
      </c>
      <c r="D2065" s="2" t="s">
        <v>617</v>
      </c>
      <c r="E2065" s="3">
        <v>12</v>
      </c>
      <c r="F2065" s="3">
        <v>12</v>
      </c>
      <c r="G2065" s="4">
        <v>43648</v>
      </c>
      <c r="M2065" s="1"/>
      <c r="N2065" s="1"/>
      <c r="O2065" s="1"/>
      <c r="P2065" s="1"/>
      <c r="Q2065" s="1"/>
      <c r="R2065" s="1"/>
    </row>
    <row r="2066" spans="2:18">
      <c r="G2066" s="4"/>
      <c r="M2066" s="1"/>
      <c r="N2066" s="1"/>
      <c r="O2066" s="1"/>
      <c r="P2066" s="1"/>
      <c r="Q2066" s="1"/>
      <c r="R2066" s="1"/>
    </row>
    <row r="2067" spans="2:18" s="12" customFormat="1">
      <c r="B2067" s="12" t="s">
        <v>457</v>
      </c>
      <c r="C2067" s="13" t="s">
        <v>984</v>
      </c>
      <c r="D2067" s="13" t="s">
        <v>983</v>
      </c>
      <c r="E2067" s="15"/>
      <c r="F2067" s="15">
        <f>SUM(F2068:F2074)</f>
        <v>24.795454545454547</v>
      </c>
      <c r="G2067" s="14">
        <f>G2068</f>
        <v>44776</v>
      </c>
    </row>
    <row r="2068" spans="2:18">
      <c r="C2068" s="2" t="s">
        <v>8</v>
      </c>
      <c r="D2068" s="2" t="s">
        <v>456</v>
      </c>
      <c r="E2068" s="3">
        <v>90</v>
      </c>
      <c r="F2068" s="3">
        <f>50/11</f>
        <v>4.5454545454545459</v>
      </c>
      <c r="G2068" s="4">
        <v>44776</v>
      </c>
      <c r="M2068" s="1"/>
      <c r="N2068" s="1"/>
      <c r="O2068" s="1"/>
      <c r="P2068" s="1"/>
      <c r="Q2068" s="1"/>
      <c r="R2068" s="1"/>
    </row>
    <row r="2069" spans="2:18">
      <c r="C2069" s="2" t="s">
        <v>18</v>
      </c>
      <c r="D2069" s="2" t="s">
        <v>456</v>
      </c>
      <c r="E2069" s="3">
        <v>40</v>
      </c>
      <c r="F2069" s="3">
        <v>3.75</v>
      </c>
      <c r="G2069" s="4">
        <v>44176</v>
      </c>
      <c r="M2069" s="1"/>
      <c r="N2069" s="1"/>
      <c r="O2069" s="1"/>
      <c r="P2069" s="1"/>
      <c r="Q2069" s="1"/>
      <c r="R2069" s="1"/>
    </row>
    <row r="2070" spans="2:18">
      <c r="C2070" s="2" t="s">
        <v>7</v>
      </c>
      <c r="D2070" s="2" t="s">
        <v>456</v>
      </c>
      <c r="E2070" s="3">
        <v>20</v>
      </c>
      <c r="F2070" s="3">
        <v>3</v>
      </c>
      <c r="G2070" s="4">
        <v>43879</v>
      </c>
      <c r="M2070" s="1"/>
      <c r="N2070" s="1"/>
      <c r="O2070" s="1"/>
      <c r="P2070" s="1"/>
      <c r="Q2070" s="1"/>
      <c r="R2070" s="1"/>
    </row>
    <row r="2071" spans="2:18">
      <c r="C2071" s="96" t="s">
        <v>18</v>
      </c>
      <c r="D2071" s="96" t="s">
        <v>2147</v>
      </c>
      <c r="E2071" s="3">
        <v>40</v>
      </c>
      <c r="F2071" s="3">
        <v>5</v>
      </c>
      <c r="G2071" s="4">
        <v>44238</v>
      </c>
      <c r="J2071" s="1">
        <v>790</v>
      </c>
      <c r="M2071" s="1"/>
      <c r="N2071" s="1"/>
      <c r="O2071" s="1"/>
      <c r="P2071" s="1"/>
      <c r="Q2071" s="1"/>
      <c r="R2071" s="1"/>
    </row>
    <row r="2072" spans="2:18">
      <c r="C2072" s="96" t="s">
        <v>7</v>
      </c>
      <c r="D2072" s="96" t="s">
        <v>2147</v>
      </c>
      <c r="E2072" s="3">
        <v>25</v>
      </c>
      <c r="F2072" s="3">
        <v>5</v>
      </c>
      <c r="G2072" s="4">
        <v>43865</v>
      </c>
      <c r="J2072" s="1">
        <v>790</v>
      </c>
      <c r="M2072" s="1"/>
      <c r="N2072" s="1"/>
      <c r="O2072" s="1"/>
      <c r="P2072" s="1"/>
      <c r="Q2072" s="1"/>
      <c r="R2072" s="1"/>
    </row>
    <row r="2073" spans="2:18">
      <c r="C2073" s="96" t="s">
        <v>5</v>
      </c>
      <c r="D2073" s="96" t="s">
        <v>2147</v>
      </c>
      <c r="E2073" s="3">
        <v>10</v>
      </c>
      <c r="F2073" s="3">
        <v>2.5</v>
      </c>
      <c r="G2073" s="4">
        <v>43564</v>
      </c>
      <c r="J2073" s="1">
        <v>790</v>
      </c>
      <c r="M2073" s="1"/>
      <c r="N2073" s="1"/>
      <c r="O2073" s="1"/>
      <c r="P2073" s="1"/>
      <c r="Q2073" s="1"/>
      <c r="R2073" s="1"/>
    </row>
    <row r="2074" spans="2:18">
      <c r="C2074" s="96" t="s">
        <v>4</v>
      </c>
      <c r="D2074" s="96" t="s">
        <v>2147</v>
      </c>
      <c r="E2074" s="3">
        <v>3.9</v>
      </c>
      <c r="F2074" s="3">
        <v>1</v>
      </c>
      <c r="G2074" s="4">
        <v>43220</v>
      </c>
      <c r="M2074" s="1"/>
      <c r="N2074" s="1"/>
      <c r="O2074" s="1"/>
      <c r="P2074" s="1"/>
      <c r="Q2074" s="1"/>
      <c r="R2074" s="1"/>
    </row>
    <row r="2075" spans="2:18">
      <c r="G2075" s="4"/>
      <c r="M2075" s="1"/>
      <c r="N2075" s="1"/>
      <c r="O2075" s="1"/>
      <c r="P2075" s="1"/>
      <c r="Q2075" s="1"/>
      <c r="R2075" s="1"/>
    </row>
    <row r="2076" spans="2:18" s="12" customFormat="1">
      <c r="B2076" s="12" t="s">
        <v>1034</v>
      </c>
      <c r="C2076" s="13" t="s">
        <v>984</v>
      </c>
      <c r="D2076" s="13" t="s">
        <v>983</v>
      </c>
      <c r="E2076" s="15"/>
      <c r="F2076" s="15">
        <f>SUM(F2077:F2078)</f>
        <v>15.5</v>
      </c>
      <c r="G2076" s="14">
        <f>G2078</f>
        <v>44510</v>
      </c>
      <c r="M2076" s="13"/>
      <c r="N2076" s="13"/>
      <c r="O2076" s="13"/>
      <c r="P2076" s="13"/>
      <c r="Q2076" s="13"/>
      <c r="R2076" s="13"/>
    </row>
    <row r="2077" spans="2:18">
      <c r="C2077" s="2" t="s">
        <v>5</v>
      </c>
      <c r="D2077" s="2" t="s">
        <v>704</v>
      </c>
      <c r="E2077" s="3">
        <v>18.5</v>
      </c>
      <c r="F2077" s="3">
        <v>8.5</v>
      </c>
      <c r="G2077" s="4">
        <v>44242</v>
      </c>
    </row>
    <row r="2078" spans="2:18">
      <c r="C2078" s="2" t="s">
        <v>7</v>
      </c>
      <c r="D2078" s="2" t="s">
        <v>883</v>
      </c>
      <c r="E2078" s="3">
        <v>30</v>
      </c>
      <c r="F2078" s="3">
        <v>7</v>
      </c>
      <c r="G2078" s="4">
        <v>44510</v>
      </c>
    </row>
    <row r="2079" spans="2:18">
      <c r="G2079" s="4"/>
    </row>
    <row r="2080" spans="2:18" s="12" customFormat="1">
      <c r="B2080" s="12" t="s">
        <v>1031</v>
      </c>
      <c r="C2080" s="13" t="s">
        <v>984</v>
      </c>
      <c r="D2080" s="13" t="s">
        <v>983</v>
      </c>
      <c r="E2080" s="15"/>
      <c r="F2080" s="15">
        <f>SUM(F2081:F2083)</f>
        <v>15.85</v>
      </c>
      <c r="G2080" s="14">
        <f>G2083</f>
        <v>44650</v>
      </c>
    </row>
    <row r="2081" spans="2:18">
      <c r="C2081" s="2" t="s">
        <v>4</v>
      </c>
      <c r="D2081" s="2" t="s">
        <v>687</v>
      </c>
      <c r="E2081" s="3">
        <v>4.5</v>
      </c>
      <c r="F2081" s="3">
        <v>0.5</v>
      </c>
      <c r="G2081" s="4">
        <v>44362</v>
      </c>
      <c r="M2081" s="1"/>
      <c r="N2081" s="1"/>
      <c r="O2081" s="1"/>
      <c r="P2081" s="1"/>
      <c r="Q2081" s="1"/>
      <c r="R2081" s="1"/>
    </row>
    <row r="2082" spans="2:18">
      <c r="C2082" s="2" t="s">
        <v>4</v>
      </c>
      <c r="D2082" s="2" t="s">
        <v>354</v>
      </c>
      <c r="E2082" s="3">
        <v>3.5</v>
      </c>
      <c r="F2082" s="3">
        <f>E2082/10</f>
        <v>0.35</v>
      </c>
      <c r="G2082" s="4">
        <v>43046</v>
      </c>
      <c r="L2082" s="1">
        <v>0</v>
      </c>
      <c r="M2082" s="1"/>
      <c r="N2082" s="1"/>
      <c r="O2082" s="1"/>
      <c r="P2082" s="1"/>
      <c r="Q2082" s="1"/>
      <c r="R2082" s="1"/>
    </row>
    <row r="2083" spans="2:18">
      <c r="C2083" s="2" t="s">
        <v>18</v>
      </c>
      <c r="D2083" s="2" t="s">
        <v>59</v>
      </c>
      <c r="E2083" s="3">
        <v>100</v>
      </c>
      <c r="F2083" s="3">
        <v>15</v>
      </c>
      <c r="G2083" s="4">
        <v>44650</v>
      </c>
      <c r="M2083" s="1"/>
      <c r="N2083" s="1"/>
      <c r="O2083" s="1"/>
      <c r="P2083" s="1"/>
      <c r="Q2083" s="1"/>
      <c r="R2083" s="1"/>
    </row>
    <row r="2084" spans="2:18">
      <c r="G2084" s="4"/>
      <c r="M2084" s="1"/>
      <c r="N2084" s="1"/>
      <c r="O2084" s="1"/>
      <c r="P2084" s="1"/>
      <c r="Q2084" s="1"/>
      <c r="R2084" s="1"/>
    </row>
    <row r="2085" spans="2:18" s="12" customFormat="1">
      <c r="B2085" s="12" t="s">
        <v>628</v>
      </c>
      <c r="C2085" s="13" t="s">
        <v>984</v>
      </c>
      <c r="D2085" s="13" t="s">
        <v>983</v>
      </c>
      <c r="E2085" s="15"/>
      <c r="F2085" s="15">
        <f>SUM(F2086:F2090)</f>
        <v>15.149999999999999</v>
      </c>
      <c r="G2085" s="14">
        <f>G2086</f>
        <v>44215</v>
      </c>
    </row>
    <row r="2086" spans="2:18">
      <c r="C2086" s="2" t="s">
        <v>9</v>
      </c>
      <c r="D2086" s="2" t="s">
        <v>617</v>
      </c>
      <c r="E2086" s="3">
        <v>132</v>
      </c>
      <c r="F2086" s="3">
        <f>72/10</f>
        <v>7.2</v>
      </c>
      <c r="G2086" s="4">
        <v>44215</v>
      </c>
      <c r="M2086" s="1"/>
      <c r="N2086" s="1"/>
      <c r="O2086" s="1"/>
      <c r="P2086" s="1"/>
      <c r="Q2086" s="1"/>
      <c r="R2086" s="1"/>
    </row>
    <row r="2087" spans="2:18">
      <c r="C2087" s="2" t="s">
        <v>18</v>
      </c>
      <c r="D2087" s="2" t="s">
        <v>617</v>
      </c>
      <c r="E2087" s="3">
        <v>48</v>
      </c>
      <c r="F2087" s="3">
        <f>28/7</f>
        <v>4</v>
      </c>
      <c r="G2087" s="4">
        <v>43888</v>
      </c>
      <c r="M2087" s="1"/>
      <c r="N2087" s="1"/>
      <c r="O2087" s="1"/>
      <c r="P2087" s="1"/>
      <c r="Q2087" s="1"/>
      <c r="R2087" s="1"/>
    </row>
    <row r="2088" spans="2:18">
      <c r="C2088" s="2" t="s">
        <v>7</v>
      </c>
      <c r="D2088" s="2" t="s">
        <v>617</v>
      </c>
      <c r="E2088" s="3">
        <v>25</v>
      </c>
      <c r="F2088" s="3">
        <f>10/5</f>
        <v>2</v>
      </c>
      <c r="G2088" s="4">
        <v>43440</v>
      </c>
      <c r="M2088" s="1"/>
      <c r="N2088" s="1"/>
      <c r="O2088" s="1"/>
      <c r="P2088" s="1"/>
      <c r="Q2088" s="1"/>
      <c r="R2088" s="1"/>
    </row>
    <row r="2089" spans="2:18">
      <c r="C2089" s="2" t="s">
        <v>5</v>
      </c>
      <c r="D2089" s="2" t="s">
        <v>617</v>
      </c>
      <c r="E2089" s="3">
        <v>5.8</v>
      </c>
      <c r="F2089" s="3">
        <f>E2089/4</f>
        <v>1.45</v>
      </c>
      <c r="G2089" s="4">
        <v>43117</v>
      </c>
      <c r="M2089" s="1"/>
      <c r="N2089" s="1"/>
      <c r="O2089" s="1"/>
      <c r="P2089" s="1"/>
      <c r="Q2089" s="1"/>
      <c r="R2089" s="1"/>
    </row>
    <row r="2090" spans="2:18">
      <c r="C2090" s="2" t="s">
        <v>4</v>
      </c>
      <c r="D2090" s="2" t="s">
        <v>617</v>
      </c>
      <c r="E2090" s="3">
        <v>3.3</v>
      </c>
      <c r="F2090" s="3">
        <v>0.5</v>
      </c>
      <c r="G2090" s="4">
        <v>42678</v>
      </c>
      <c r="M2090" s="1"/>
      <c r="N2090" s="1"/>
      <c r="O2090" s="1"/>
      <c r="P2090" s="1"/>
      <c r="Q2090" s="1"/>
      <c r="R2090" s="1"/>
    </row>
    <row r="2091" spans="2:18">
      <c r="G2091" s="4"/>
      <c r="M2091" s="1"/>
      <c r="N2091" s="1"/>
      <c r="O2091" s="1"/>
      <c r="P2091" s="1"/>
      <c r="Q2091" s="1"/>
      <c r="R2091" s="1"/>
    </row>
    <row r="2092" spans="2:18" s="12" customFormat="1">
      <c r="B2092" s="12" t="s">
        <v>736</v>
      </c>
      <c r="C2092" s="13" t="s">
        <v>984</v>
      </c>
      <c r="D2092" s="13" t="s">
        <v>983</v>
      </c>
      <c r="E2092" s="15"/>
      <c r="F2092" s="15">
        <f>SUM(F2093:F2095)</f>
        <v>15.166666666666666</v>
      </c>
      <c r="G2092" s="14">
        <f>G2093</f>
        <v>44903</v>
      </c>
    </row>
    <row r="2093" spans="2:18">
      <c r="C2093" s="2" t="s">
        <v>5</v>
      </c>
      <c r="D2093" s="2" t="s">
        <v>734</v>
      </c>
      <c r="E2093" s="3">
        <v>20</v>
      </c>
      <c r="F2093" s="3">
        <f>13/6</f>
        <v>2.1666666666666665</v>
      </c>
      <c r="G2093" s="4">
        <v>44903</v>
      </c>
    </row>
    <row r="2094" spans="2:18">
      <c r="C2094" s="2" t="s">
        <v>5</v>
      </c>
      <c r="D2094" s="2" t="s">
        <v>734</v>
      </c>
      <c r="E2094" s="3">
        <v>11</v>
      </c>
      <c r="F2094" s="3">
        <v>3</v>
      </c>
      <c r="G2094" s="4">
        <v>44313</v>
      </c>
    </row>
    <row r="2095" spans="2:18">
      <c r="C2095" s="2" t="s">
        <v>5</v>
      </c>
      <c r="D2095" s="2" t="s">
        <v>670</v>
      </c>
      <c r="E2095" s="3">
        <v>10</v>
      </c>
      <c r="F2095" s="3">
        <v>10</v>
      </c>
      <c r="G2095" s="4">
        <v>44854</v>
      </c>
    </row>
    <row r="2096" spans="2:18">
      <c r="G2096" s="4"/>
    </row>
    <row r="2097" spans="2:18" s="12" customFormat="1">
      <c r="B2097" s="12" t="s">
        <v>752</v>
      </c>
      <c r="C2097" s="13" t="s">
        <v>984</v>
      </c>
      <c r="D2097" s="13" t="s">
        <v>983</v>
      </c>
      <c r="E2097" s="15"/>
      <c r="F2097" s="15">
        <f>SUM(F2098:F2099)</f>
        <v>14.5</v>
      </c>
      <c r="G2097" s="14">
        <f>G2098</f>
        <v>44469</v>
      </c>
    </row>
    <row r="2098" spans="2:18">
      <c r="C2098" s="2" t="s">
        <v>4</v>
      </c>
      <c r="D2098" s="2" t="s">
        <v>710</v>
      </c>
      <c r="E2098" s="3">
        <v>2.5</v>
      </c>
      <c r="F2098" s="3">
        <f>2/6</f>
        <v>0.33333333333333331</v>
      </c>
      <c r="G2098" s="4">
        <v>44469</v>
      </c>
      <c r="M2098" s="1"/>
      <c r="N2098" s="1"/>
      <c r="O2098" s="1"/>
      <c r="P2098" s="1"/>
      <c r="Q2098" s="1"/>
      <c r="R2098" s="1"/>
    </row>
    <row r="2099" spans="2:18">
      <c r="C2099" s="2" t="s">
        <v>8</v>
      </c>
      <c r="D2099" s="2" t="s">
        <v>49</v>
      </c>
      <c r="E2099" s="3">
        <v>145</v>
      </c>
      <c r="F2099" s="3">
        <f>85/6</f>
        <v>14.166666666666666</v>
      </c>
      <c r="G2099" s="4">
        <v>43228</v>
      </c>
      <c r="M2099" s="1"/>
      <c r="N2099" s="1"/>
      <c r="O2099" s="1"/>
      <c r="P2099" s="1"/>
      <c r="Q2099" s="1"/>
      <c r="R2099" s="1"/>
    </row>
    <row r="2100" spans="2:18">
      <c r="G2100" s="4"/>
      <c r="M2100" s="1"/>
      <c r="N2100" s="1"/>
      <c r="O2100" s="1"/>
      <c r="P2100" s="1"/>
      <c r="Q2100" s="1"/>
      <c r="R2100" s="1"/>
    </row>
    <row r="2101" spans="2:18" s="12" customFormat="1">
      <c r="B2101" s="12" t="s">
        <v>13</v>
      </c>
      <c r="C2101" s="13" t="s">
        <v>984</v>
      </c>
      <c r="D2101" s="13" t="s">
        <v>983</v>
      </c>
      <c r="E2101" s="15"/>
      <c r="F2101" s="15">
        <f>SUM(F2102:F2103)</f>
        <v>13.75</v>
      </c>
      <c r="G2101" s="14">
        <f>G2102</f>
        <v>44721</v>
      </c>
      <c r="M2101" s="13"/>
      <c r="N2101" s="13"/>
      <c r="O2101" s="13"/>
      <c r="P2101" s="13"/>
      <c r="Q2101" s="13"/>
      <c r="R2101" s="13"/>
    </row>
    <row r="2102" spans="2:18">
      <c r="C2102" s="2" t="s">
        <v>9</v>
      </c>
      <c r="D2102" s="2" t="s">
        <v>3</v>
      </c>
      <c r="E2102" s="3">
        <v>90</v>
      </c>
      <c r="F2102" s="3">
        <v>10</v>
      </c>
      <c r="G2102" s="4">
        <v>44721</v>
      </c>
      <c r="I2102" s="1">
        <v>2200</v>
      </c>
      <c r="J2102" s="1">
        <v>2200</v>
      </c>
    </row>
    <row r="2103" spans="2:18">
      <c r="C2103" s="2" t="s">
        <v>7</v>
      </c>
      <c r="D2103" s="2" t="s">
        <v>3</v>
      </c>
      <c r="E2103" s="3">
        <v>25</v>
      </c>
      <c r="F2103" s="3">
        <v>3.75</v>
      </c>
      <c r="G2103" s="4">
        <v>43697</v>
      </c>
      <c r="J2103" s="1">
        <v>2200</v>
      </c>
    </row>
    <row r="2104" spans="2:18">
      <c r="G2104" s="4"/>
    </row>
    <row r="2105" spans="2:18">
      <c r="B2105" s="12" t="s">
        <v>5220</v>
      </c>
      <c r="C2105" s="13" t="s">
        <v>984</v>
      </c>
      <c r="D2105" s="13" t="s">
        <v>983</v>
      </c>
      <c r="F2105" s="15">
        <f>SUM(F2106:F2110)</f>
        <v>13.666666666666666</v>
      </c>
      <c r="G2105" s="14">
        <f>G2109</f>
        <v>45062</v>
      </c>
    </row>
    <row r="2106" spans="2:18">
      <c r="C2106" s="2" t="s">
        <v>7</v>
      </c>
      <c r="D2106" s="2" t="s">
        <v>1027</v>
      </c>
      <c r="E2106" s="3">
        <v>43</v>
      </c>
      <c r="F2106" s="3">
        <v>6</v>
      </c>
      <c r="G2106" s="4">
        <v>44978</v>
      </c>
    </row>
    <row r="2107" spans="2:18">
      <c r="C2107" s="2" t="s">
        <v>4</v>
      </c>
      <c r="D2107" s="2" t="s">
        <v>783</v>
      </c>
      <c r="E2107" s="3">
        <v>10</v>
      </c>
      <c r="F2107" s="3">
        <v>1</v>
      </c>
      <c r="G2107" s="4">
        <v>44858</v>
      </c>
    </row>
    <row r="2108" spans="2:18">
      <c r="C2108" s="2" t="s">
        <v>4</v>
      </c>
      <c r="D2108" s="2" t="s">
        <v>783</v>
      </c>
      <c r="E2108" s="3">
        <v>4.5999999999999996</v>
      </c>
      <c r="F2108" s="3">
        <v>2</v>
      </c>
      <c r="G2108" s="4">
        <v>44530</v>
      </c>
    </row>
    <row r="2109" spans="2:18">
      <c r="C2109" s="2" t="s">
        <v>4</v>
      </c>
      <c r="D2109" s="2" t="s">
        <v>819</v>
      </c>
      <c r="E2109" s="3">
        <v>5</v>
      </c>
      <c r="F2109" s="3">
        <f>5/3</f>
        <v>1.6666666666666667</v>
      </c>
      <c r="G2109" s="4">
        <v>45062</v>
      </c>
    </row>
    <row r="2110" spans="2:18">
      <c r="C2110" s="2" t="s">
        <v>5</v>
      </c>
      <c r="D2110" s="2" t="s">
        <v>1033</v>
      </c>
      <c r="E2110" s="3">
        <v>10.6</v>
      </c>
      <c r="F2110" s="3">
        <v>3</v>
      </c>
      <c r="G2110" s="4">
        <v>44819</v>
      </c>
    </row>
    <row r="2111" spans="2:18">
      <c r="G2111" s="4"/>
    </row>
    <row r="2112" spans="2:18" s="12" customFormat="1">
      <c r="B2112" s="12" t="s">
        <v>688</v>
      </c>
      <c r="C2112" s="13" t="s">
        <v>984</v>
      </c>
      <c r="D2112" s="13" t="s">
        <v>983</v>
      </c>
      <c r="E2112" s="15"/>
      <c r="F2112" s="15">
        <f>SUM(F2113:F2115)</f>
        <v>14.214285714285714</v>
      </c>
      <c r="G2112" s="14">
        <f>G2113</f>
        <v>44482</v>
      </c>
      <c r="M2112" s="13"/>
      <c r="N2112" s="13"/>
      <c r="O2112" s="13"/>
      <c r="P2112" s="13"/>
      <c r="Q2112" s="13"/>
      <c r="R2112" s="13"/>
    </row>
    <row r="2113" spans="2:18">
      <c r="C2113" s="2" t="s">
        <v>5</v>
      </c>
      <c r="D2113" s="2" t="s">
        <v>687</v>
      </c>
      <c r="E2113" s="3">
        <v>15</v>
      </c>
      <c r="F2113" s="3">
        <v>3</v>
      </c>
      <c r="G2113" s="4">
        <v>44482</v>
      </c>
    </row>
    <row r="2114" spans="2:18">
      <c r="C2114" s="2" t="s">
        <v>4</v>
      </c>
      <c r="D2114" s="2" t="s">
        <v>687</v>
      </c>
      <c r="E2114" s="3">
        <v>4.5</v>
      </c>
      <c r="F2114" s="3">
        <v>0.5</v>
      </c>
      <c r="G2114" s="4">
        <v>44362</v>
      </c>
      <c r="M2114" s="1"/>
      <c r="N2114" s="1"/>
      <c r="O2114" s="1"/>
      <c r="P2114" s="1"/>
      <c r="Q2114" s="1"/>
      <c r="R2114" s="1"/>
    </row>
    <row r="2115" spans="2:18">
      <c r="C2115" s="96" t="s">
        <v>9</v>
      </c>
      <c r="D2115" s="96" t="s">
        <v>2150</v>
      </c>
      <c r="E2115" s="3">
        <v>100</v>
      </c>
      <c r="F2115" s="3">
        <f>75/7</f>
        <v>10.714285714285714</v>
      </c>
      <c r="G2115" s="4">
        <v>44507</v>
      </c>
      <c r="I2115" s="1">
        <v>1600</v>
      </c>
      <c r="J2115" s="1">
        <v>1600</v>
      </c>
      <c r="M2115" s="1"/>
      <c r="N2115" s="1"/>
      <c r="O2115" s="1"/>
      <c r="P2115" s="1"/>
      <c r="Q2115" s="1"/>
      <c r="R2115" s="1"/>
    </row>
    <row r="2116" spans="2:18">
      <c r="C2116" s="96" t="s">
        <v>18</v>
      </c>
      <c r="D2116" s="96" t="s">
        <v>2150</v>
      </c>
      <c r="E2116" s="3">
        <v>40</v>
      </c>
      <c r="F2116" s="3">
        <v>5</v>
      </c>
      <c r="G2116" s="98">
        <v>43069</v>
      </c>
      <c r="J2116" s="1">
        <v>1600</v>
      </c>
      <c r="M2116" s="1"/>
      <c r="N2116" s="1"/>
      <c r="O2116" s="1"/>
      <c r="P2116" s="1"/>
      <c r="Q2116" s="1"/>
      <c r="R2116" s="1"/>
    </row>
    <row r="2117" spans="2:18">
      <c r="G2117" s="4"/>
      <c r="M2117" s="1"/>
      <c r="N2117" s="1"/>
      <c r="O2117" s="1"/>
      <c r="P2117" s="1"/>
      <c r="Q2117" s="1"/>
      <c r="R2117" s="1"/>
    </row>
    <row r="2118" spans="2:18">
      <c r="B2118" s="12" t="s">
        <v>5219</v>
      </c>
      <c r="C2118" s="13" t="s">
        <v>984</v>
      </c>
      <c r="D2118" s="13" t="s">
        <v>983</v>
      </c>
      <c r="F2118" s="15">
        <f>SUM(F2119:F2124)</f>
        <v>14.583333333333334</v>
      </c>
      <c r="G2118" s="14">
        <f>G2119</f>
        <v>44293</v>
      </c>
    </row>
    <row r="2119" spans="2:18">
      <c r="C2119" s="2" t="s">
        <v>7</v>
      </c>
      <c r="D2119" s="2" t="s">
        <v>889</v>
      </c>
      <c r="E2119" s="3">
        <v>35</v>
      </c>
      <c r="F2119" s="3">
        <f>25/6</f>
        <v>4.166666666666667</v>
      </c>
      <c r="G2119" s="4">
        <v>44293</v>
      </c>
    </row>
    <row r="2120" spans="2:18">
      <c r="C2120" s="2" t="s">
        <v>5</v>
      </c>
      <c r="D2120" s="2" t="s">
        <v>889</v>
      </c>
      <c r="E2120" s="3">
        <v>12</v>
      </c>
      <c r="F2120" s="3">
        <v>3</v>
      </c>
      <c r="G2120" s="4">
        <v>44026</v>
      </c>
    </row>
    <row r="2121" spans="2:18">
      <c r="C2121" s="2" t="s">
        <v>4</v>
      </c>
      <c r="D2121" s="2" t="s">
        <v>889</v>
      </c>
      <c r="E2121" s="3">
        <v>3.3</v>
      </c>
      <c r="F2121" s="3">
        <v>0.5</v>
      </c>
      <c r="G2121" s="4">
        <v>44026</v>
      </c>
    </row>
    <row r="2122" spans="2:18">
      <c r="C2122" s="2" t="s">
        <v>7</v>
      </c>
      <c r="D2122" s="2" t="s">
        <v>317</v>
      </c>
      <c r="E2122" s="3">
        <v>40</v>
      </c>
      <c r="F2122" s="3">
        <v>4</v>
      </c>
      <c r="G2122" s="4">
        <v>43419</v>
      </c>
    </row>
    <row r="2123" spans="2:18">
      <c r="C2123" s="2" t="s">
        <v>5</v>
      </c>
      <c r="D2123" s="2" t="s">
        <v>317</v>
      </c>
      <c r="E2123" s="3">
        <v>14.7</v>
      </c>
      <c r="F2123" s="3">
        <v>2.25</v>
      </c>
      <c r="G2123" s="4">
        <v>43032</v>
      </c>
    </row>
    <row r="2124" spans="2:18">
      <c r="C2124" s="2" t="s">
        <v>5</v>
      </c>
      <c r="D2124" s="96" t="s">
        <v>5209</v>
      </c>
      <c r="E2124" s="3">
        <v>3</v>
      </c>
      <c r="F2124" s="3">
        <f>2/3</f>
        <v>0.66666666666666663</v>
      </c>
      <c r="G2124" s="4">
        <v>42220</v>
      </c>
    </row>
    <row r="2125" spans="2:18">
      <c r="G2125" s="4"/>
    </row>
    <row r="2126" spans="2:18">
      <c r="B2126" s="12" t="s">
        <v>1032</v>
      </c>
      <c r="C2126" s="13" t="s">
        <v>984</v>
      </c>
      <c r="D2126" s="13" t="s">
        <v>983</v>
      </c>
      <c r="F2126" s="15">
        <f>SUM(F2127:F2129)</f>
        <v>13</v>
      </c>
      <c r="G2126" s="14">
        <f>G2127</f>
        <v>44690</v>
      </c>
    </row>
    <row r="2127" spans="2:18">
      <c r="C2127" s="2" t="s">
        <v>18</v>
      </c>
      <c r="D2127" s="2" t="s">
        <v>939</v>
      </c>
      <c r="E2127" s="3">
        <v>100</v>
      </c>
      <c r="F2127" s="3">
        <v>9</v>
      </c>
      <c r="G2127" s="4">
        <v>44690</v>
      </c>
    </row>
    <row r="2128" spans="2:18">
      <c r="C2128" s="2" t="s">
        <v>5</v>
      </c>
      <c r="D2128" s="2" t="s">
        <v>939</v>
      </c>
      <c r="E2128" s="3">
        <v>15</v>
      </c>
      <c r="F2128" s="3">
        <v>3</v>
      </c>
      <c r="G2128" s="4">
        <v>43816</v>
      </c>
    </row>
    <row r="2129" spans="2:18">
      <c r="C2129" s="2" t="s">
        <v>4</v>
      </c>
      <c r="D2129" s="2" t="s">
        <v>939</v>
      </c>
      <c r="E2129" s="3">
        <v>4</v>
      </c>
      <c r="F2129" s="3">
        <v>1</v>
      </c>
      <c r="G2129" s="4">
        <v>43243</v>
      </c>
    </row>
    <row r="2130" spans="2:18">
      <c r="B2130" s="66"/>
      <c r="C2130" s="67"/>
      <c r="D2130" s="67"/>
      <c r="E2130" s="54"/>
      <c r="F2130" s="54"/>
      <c r="G2130" s="68"/>
      <c r="M2130" s="1"/>
      <c r="N2130" s="1"/>
      <c r="O2130" s="1"/>
      <c r="P2130" s="1"/>
      <c r="Q2130" s="1"/>
      <c r="R2130" s="1"/>
    </row>
    <row r="2131" spans="2:18" s="12" customFormat="1">
      <c r="B2131" s="69" t="s">
        <v>1030</v>
      </c>
      <c r="C2131" s="70" t="s">
        <v>984</v>
      </c>
      <c r="D2131" s="70" t="s">
        <v>983</v>
      </c>
      <c r="E2131" s="71"/>
      <c r="F2131" s="71">
        <f>SUM(F2132:F2134)</f>
        <v>13</v>
      </c>
      <c r="G2131" s="72">
        <f>G2132</f>
        <v>45008</v>
      </c>
      <c r="M2131" s="13"/>
      <c r="N2131" s="13"/>
      <c r="O2131" s="13"/>
      <c r="P2131" s="13"/>
      <c r="Q2131" s="13"/>
      <c r="R2131" s="13"/>
    </row>
    <row r="2132" spans="2:18">
      <c r="B2132" s="69"/>
      <c r="C2132" s="67" t="s">
        <v>5</v>
      </c>
      <c r="D2132" s="67" t="s">
        <v>948</v>
      </c>
      <c r="E2132" s="54">
        <v>150</v>
      </c>
      <c r="F2132" s="54">
        <v>5</v>
      </c>
      <c r="G2132" s="68">
        <v>45008</v>
      </c>
    </row>
    <row r="2133" spans="2:18">
      <c r="B2133" s="69"/>
      <c r="C2133" s="67" t="s">
        <v>5</v>
      </c>
      <c r="D2133" s="67" t="s">
        <v>454</v>
      </c>
      <c r="E2133" s="54">
        <v>28</v>
      </c>
      <c r="F2133" s="54">
        <v>5</v>
      </c>
      <c r="G2133" s="68">
        <v>44624</v>
      </c>
    </row>
    <row r="2134" spans="2:18">
      <c r="B2134" s="69"/>
      <c r="C2134" s="67" t="s">
        <v>4</v>
      </c>
      <c r="D2134" s="67" t="s">
        <v>454</v>
      </c>
      <c r="E2134" s="54">
        <v>5</v>
      </c>
      <c r="F2134" s="54">
        <v>3</v>
      </c>
      <c r="G2134" s="68">
        <v>44136</v>
      </c>
    </row>
    <row r="2135" spans="2:18">
      <c r="B2135" s="69"/>
      <c r="C2135" s="67"/>
      <c r="D2135" s="67"/>
      <c r="E2135" s="54"/>
      <c r="F2135" s="54"/>
      <c r="G2135" s="68"/>
    </row>
    <row r="2136" spans="2:18" s="12" customFormat="1">
      <c r="B2136" s="12" t="s">
        <v>1029</v>
      </c>
      <c r="C2136" s="13" t="s">
        <v>984</v>
      </c>
      <c r="D2136" s="13" t="s">
        <v>983</v>
      </c>
      <c r="E2136" s="15"/>
      <c r="F2136" s="15">
        <f>SUM(F2137:F2141)</f>
        <v>12.5</v>
      </c>
      <c r="G2136" s="14">
        <f>G2137</f>
        <v>44784</v>
      </c>
      <c r="M2136" s="13"/>
      <c r="N2136" s="13"/>
      <c r="O2136" s="13"/>
      <c r="P2136" s="13"/>
      <c r="Q2136" s="13"/>
      <c r="R2136" s="13"/>
    </row>
    <row r="2137" spans="2:18">
      <c r="C2137" s="2" t="s">
        <v>5</v>
      </c>
      <c r="D2137" s="2" t="s">
        <v>728</v>
      </c>
      <c r="E2137" s="3">
        <v>12.5</v>
      </c>
      <c r="F2137" s="3">
        <v>2</v>
      </c>
      <c r="G2137" s="4">
        <v>44784</v>
      </c>
    </row>
    <row r="2138" spans="2:18">
      <c r="C2138" s="2" t="s">
        <v>5</v>
      </c>
      <c r="D2138" s="2" t="s">
        <v>728</v>
      </c>
      <c r="E2138" s="3">
        <v>10</v>
      </c>
      <c r="F2138" s="3">
        <v>2</v>
      </c>
      <c r="G2138" s="4">
        <v>44110</v>
      </c>
    </row>
    <row r="2139" spans="2:18">
      <c r="C2139" s="2" t="s">
        <v>4</v>
      </c>
      <c r="D2139" s="2" t="s">
        <v>728</v>
      </c>
      <c r="E2139" s="3">
        <v>5</v>
      </c>
      <c r="F2139" s="3">
        <v>2</v>
      </c>
      <c r="G2139" s="4">
        <v>43392</v>
      </c>
    </row>
    <row r="2140" spans="2:18">
      <c r="C2140" s="2" t="s">
        <v>5</v>
      </c>
      <c r="D2140" s="2" t="s">
        <v>296</v>
      </c>
      <c r="E2140" s="3">
        <v>30</v>
      </c>
      <c r="F2140" s="3">
        <f>20/5</f>
        <v>4</v>
      </c>
      <c r="G2140" s="4">
        <v>44474</v>
      </c>
    </row>
    <row r="2141" spans="2:18">
      <c r="C2141" s="2" t="s">
        <v>4</v>
      </c>
      <c r="D2141" s="2" t="s">
        <v>296</v>
      </c>
      <c r="E2141" s="3">
        <v>15</v>
      </c>
      <c r="F2141" s="3">
        <f>10/4</f>
        <v>2.5</v>
      </c>
      <c r="G2141" s="4">
        <v>43775</v>
      </c>
    </row>
    <row r="2142" spans="2:18">
      <c r="G2142" s="4"/>
    </row>
    <row r="2143" spans="2:18" s="12" customFormat="1">
      <c r="B2143" s="12" t="s">
        <v>1028</v>
      </c>
      <c r="C2143" s="13" t="s">
        <v>984</v>
      </c>
      <c r="D2143" s="13" t="s">
        <v>983</v>
      </c>
      <c r="E2143" s="15"/>
      <c r="F2143" s="15">
        <f>SUM(F2144:F2145)</f>
        <v>12.5</v>
      </c>
      <c r="G2143" s="14">
        <f>G2144</f>
        <v>44978</v>
      </c>
      <c r="M2143" s="13"/>
      <c r="N2143" s="13"/>
      <c r="O2143" s="13"/>
      <c r="P2143" s="13"/>
      <c r="Q2143" s="13"/>
      <c r="R2143" s="13"/>
    </row>
    <row r="2144" spans="2:18">
      <c r="C2144" s="2" t="s">
        <v>7</v>
      </c>
      <c r="D2144" s="2" t="s">
        <v>1027</v>
      </c>
      <c r="E2144" s="3">
        <v>43</v>
      </c>
      <c r="F2144" s="3">
        <v>6</v>
      </c>
      <c r="G2144" s="4">
        <v>44978</v>
      </c>
    </row>
    <row r="2145" spans="2:18">
      <c r="C2145" s="2" t="s">
        <v>5</v>
      </c>
      <c r="D2145" s="2" t="s">
        <v>1027</v>
      </c>
      <c r="E2145" s="3">
        <v>26</v>
      </c>
      <c r="F2145" s="3">
        <f>13/2</f>
        <v>6.5</v>
      </c>
      <c r="G2145" s="4">
        <v>44453</v>
      </c>
    </row>
    <row r="2146" spans="2:18">
      <c r="G2146" s="4"/>
    </row>
    <row r="2147" spans="2:18" s="12" customFormat="1">
      <c r="B2147" s="12" t="s">
        <v>421</v>
      </c>
      <c r="C2147" s="13" t="s">
        <v>984</v>
      </c>
      <c r="D2147" s="13" t="s">
        <v>983</v>
      </c>
      <c r="E2147" s="15"/>
      <c r="F2147" s="15">
        <f>SUM(F2148:F2149)</f>
        <v>13</v>
      </c>
      <c r="G2147" s="14">
        <f>G2148</f>
        <v>44740</v>
      </c>
    </row>
    <row r="2148" spans="2:18">
      <c r="C2148" s="2" t="s">
        <v>5</v>
      </c>
      <c r="D2148" s="2" t="s">
        <v>416</v>
      </c>
      <c r="E2148" s="3">
        <v>10</v>
      </c>
      <c r="F2148" s="3">
        <v>3</v>
      </c>
      <c r="G2148" s="4">
        <v>44740</v>
      </c>
      <c r="M2148" s="1"/>
      <c r="N2148" s="1"/>
      <c r="O2148" s="1"/>
      <c r="P2148" s="1"/>
      <c r="Q2148" s="1"/>
      <c r="R2148" s="1"/>
    </row>
    <row r="2149" spans="2:18">
      <c r="C2149" s="2" t="s">
        <v>8</v>
      </c>
      <c r="D2149" s="2" t="s">
        <v>4031</v>
      </c>
      <c r="E2149" s="3">
        <v>90</v>
      </c>
      <c r="F2149" s="3">
        <v>10</v>
      </c>
      <c r="G2149" s="4">
        <v>40354</v>
      </c>
      <c r="M2149" s="1"/>
      <c r="N2149" s="1"/>
      <c r="O2149" s="1"/>
      <c r="P2149" s="1"/>
      <c r="Q2149" s="1"/>
      <c r="R2149" s="1"/>
    </row>
    <row r="2150" spans="2:18">
      <c r="G2150" s="4"/>
      <c r="M2150" s="1"/>
      <c r="N2150" s="1"/>
      <c r="O2150" s="1"/>
      <c r="P2150" s="1"/>
      <c r="Q2150" s="1"/>
      <c r="R2150" s="1"/>
    </row>
    <row r="2151" spans="2:18" s="12" customFormat="1">
      <c r="B2151" s="12" t="s">
        <v>277</v>
      </c>
      <c r="C2151" s="13" t="s">
        <v>984</v>
      </c>
      <c r="D2151" s="13" t="s">
        <v>983</v>
      </c>
      <c r="E2151" s="15"/>
      <c r="F2151" s="15">
        <f>SUM(F2152:F2153)</f>
        <v>12.553571428571429</v>
      </c>
      <c r="G2151" s="14">
        <f>G2152</f>
        <v>44622</v>
      </c>
      <c r="M2151" s="13"/>
      <c r="N2151" s="13"/>
      <c r="O2151" s="13"/>
      <c r="P2151" s="13"/>
      <c r="Q2151" s="13"/>
      <c r="R2151" s="13"/>
    </row>
    <row r="2152" spans="2:18">
      <c r="C2152" s="2" t="s">
        <v>8</v>
      </c>
      <c r="D2152" s="2" t="s">
        <v>265</v>
      </c>
      <c r="E2152" s="3">
        <v>111</v>
      </c>
      <c r="F2152" s="3">
        <f>97/14</f>
        <v>6.9285714285714288</v>
      </c>
      <c r="G2152" s="4">
        <v>44622</v>
      </c>
    </row>
    <row r="2153" spans="2:18">
      <c r="C2153" s="2" t="s">
        <v>18</v>
      </c>
      <c r="D2153" s="2" t="s">
        <v>265</v>
      </c>
      <c r="E2153" s="3">
        <v>55</v>
      </c>
      <c r="F2153" s="3">
        <v>5.625</v>
      </c>
      <c r="G2153" s="4">
        <v>44314</v>
      </c>
    </row>
    <row r="2154" spans="2:18">
      <c r="G2154" s="4"/>
    </row>
    <row r="2155" spans="2:18" s="12" customFormat="1">
      <c r="B2155" s="12" t="s">
        <v>616</v>
      </c>
      <c r="C2155" s="13" t="s">
        <v>984</v>
      </c>
      <c r="D2155" s="13" t="s">
        <v>983</v>
      </c>
      <c r="E2155" s="15"/>
      <c r="F2155" s="15">
        <f>SUM(F2156:F2157)</f>
        <v>13.375</v>
      </c>
      <c r="G2155" s="14">
        <f>G2156</f>
        <v>44663</v>
      </c>
    </row>
    <row r="2156" spans="2:18">
      <c r="C2156" s="2" t="s">
        <v>18</v>
      </c>
      <c r="D2156" s="2" t="s">
        <v>610</v>
      </c>
      <c r="E2156" s="3">
        <v>125</v>
      </c>
      <c r="F2156" s="3">
        <f>75/8</f>
        <v>9.375</v>
      </c>
      <c r="G2156" s="4">
        <v>44663</v>
      </c>
      <c r="M2156" s="1"/>
      <c r="N2156" s="1"/>
      <c r="O2156" s="1"/>
      <c r="P2156" s="1"/>
      <c r="Q2156" s="1"/>
      <c r="R2156" s="1"/>
    </row>
    <row r="2157" spans="2:18">
      <c r="C2157" s="2" t="s">
        <v>5</v>
      </c>
      <c r="D2157" s="2" t="s">
        <v>610</v>
      </c>
      <c r="E2157" s="3">
        <v>26</v>
      </c>
      <c r="F2157" s="3">
        <f>16/4</f>
        <v>4</v>
      </c>
      <c r="G2157" s="4">
        <v>43809</v>
      </c>
      <c r="M2157" s="1"/>
      <c r="N2157" s="1"/>
      <c r="O2157" s="1"/>
      <c r="P2157" s="1"/>
      <c r="Q2157" s="1"/>
      <c r="R2157" s="1"/>
    </row>
    <row r="2158" spans="2:18">
      <c r="G2158" s="4"/>
      <c r="M2158" s="1"/>
      <c r="N2158" s="1"/>
      <c r="O2158" s="1"/>
      <c r="P2158" s="1"/>
      <c r="Q2158" s="1"/>
      <c r="R2158" s="1"/>
    </row>
    <row r="2159" spans="2:18" s="12" customFormat="1">
      <c r="B2159" s="12" t="s">
        <v>1025</v>
      </c>
      <c r="C2159" s="13" t="s">
        <v>984</v>
      </c>
      <c r="D2159" s="13" t="s">
        <v>983</v>
      </c>
      <c r="E2159" s="15"/>
      <c r="F2159" s="15">
        <f>SUM(F2160:F2164)</f>
        <v>13</v>
      </c>
      <c r="G2159" s="14">
        <f>G2163</f>
        <v>44964</v>
      </c>
      <c r="M2159" s="13"/>
      <c r="N2159" s="13"/>
      <c r="O2159" s="13"/>
      <c r="P2159" s="13"/>
      <c r="Q2159" s="13"/>
      <c r="R2159" s="13"/>
    </row>
    <row r="2160" spans="2:18">
      <c r="C2160" s="2" t="s">
        <v>7</v>
      </c>
      <c r="D2160" s="2" t="s">
        <v>1024</v>
      </c>
      <c r="E2160" s="3">
        <v>30</v>
      </c>
      <c r="F2160" s="3">
        <v>6</v>
      </c>
      <c r="G2160" s="4">
        <v>44539</v>
      </c>
    </row>
    <row r="2161" spans="2:18">
      <c r="C2161" s="2" t="s">
        <v>5</v>
      </c>
      <c r="D2161" s="2" t="s">
        <v>1024</v>
      </c>
      <c r="E2161" s="3">
        <v>11</v>
      </c>
      <c r="F2161" s="3">
        <v>3</v>
      </c>
      <c r="G2161" s="4">
        <v>43862</v>
      </c>
    </row>
    <row r="2162" spans="2:18">
      <c r="C2162" s="2" t="s">
        <v>4</v>
      </c>
      <c r="D2162" s="2" t="s">
        <v>1024</v>
      </c>
      <c r="E2162" s="3">
        <v>3</v>
      </c>
      <c r="F2162" s="3">
        <v>1.5</v>
      </c>
      <c r="G2162" s="4">
        <v>43525</v>
      </c>
    </row>
    <row r="2163" spans="2:18">
      <c r="C2163" s="2" t="s">
        <v>4</v>
      </c>
      <c r="D2163" s="2" t="s">
        <v>604</v>
      </c>
      <c r="E2163" s="3">
        <v>6.8</v>
      </c>
      <c r="F2163" s="3">
        <v>1.5</v>
      </c>
      <c r="G2163" s="4">
        <v>44964</v>
      </c>
    </row>
    <row r="2164" spans="2:18">
      <c r="C2164" s="2" t="s">
        <v>4</v>
      </c>
      <c r="D2164" s="2" t="s">
        <v>604</v>
      </c>
      <c r="E2164" s="3">
        <v>1.6</v>
      </c>
      <c r="F2164" s="3">
        <v>1</v>
      </c>
      <c r="G2164" s="4">
        <v>44197</v>
      </c>
    </row>
    <row r="2165" spans="2:18">
      <c r="G2165" s="4"/>
    </row>
    <row r="2166" spans="2:18">
      <c r="B2166" s="12" t="s">
        <v>1023</v>
      </c>
      <c r="C2166" s="13" t="s">
        <v>984</v>
      </c>
      <c r="D2166" s="13" t="s">
        <v>983</v>
      </c>
      <c r="F2166" s="15">
        <f>SUM(F2167:F2170)</f>
        <v>12.5</v>
      </c>
      <c r="G2166" s="14">
        <f>G2167</f>
        <v>45036</v>
      </c>
    </row>
    <row r="2167" spans="2:18">
      <c r="C2167" s="2" t="s">
        <v>7</v>
      </c>
      <c r="D2167" s="2" t="s">
        <v>808</v>
      </c>
      <c r="E2167" s="3">
        <v>50</v>
      </c>
      <c r="F2167" s="3">
        <v>6</v>
      </c>
      <c r="G2167" s="4">
        <v>45036</v>
      </c>
    </row>
    <row r="2168" spans="2:18">
      <c r="C2168" s="2" t="s">
        <v>5</v>
      </c>
      <c r="D2168" s="2" t="s">
        <v>808</v>
      </c>
      <c r="E2168" s="3">
        <v>16.5</v>
      </c>
      <c r="F2168" s="3">
        <v>1</v>
      </c>
      <c r="G2168" s="4">
        <v>44614</v>
      </c>
    </row>
    <row r="2169" spans="2:18">
      <c r="C2169" s="2" t="s">
        <v>4</v>
      </c>
      <c r="D2169" s="2" t="s">
        <v>808</v>
      </c>
      <c r="E2169" s="3">
        <v>1.2</v>
      </c>
      <c r="F2169" s="3">
        <v>0.5</v>
      </c>
      <c r="G2169" s="4">
        <v>44044</v>
      </c>
    </row>
    <row r="2170" spans="2:18">
      <c r="C2170" s="2" t="s">
        <v>7</v>
      </c>
      <c r="D2170" s="2" t="s">
        <v>113</v>
      </c>
      <c r="E2170" s="3">
        <v>5</v>
      </c>
      <c r="F2170" s="3">
        <v>5</v>
      </c>
      <c r="G2170" s="4">
        <v>43903</v>
      </c>
    </row>
    <row r="2171" spans="2:18">
      <c r="G2171" s="4"/>
    </row>
    <row r="2172" spans="2:18" s="12" customFormat="1">
      <c r="B2172" s="12" t="s">
        <v>733</v>
      </c>
      <c r="C2172" s="13" t="s">
        <v>984</v>
      </c>
      <c r="D2172" s="13" t="s">
        <v>983</v>
      </c>
      <c r="E2172" s="15"/>
      <c r="F2172" s="15">
        <f>SUM(F2173:F2177)</f>
        <v>12.733333333333334</v>
      </c>
      <c r="G2172" s="14">
        <f>G2175</f>
        <v>44483</v>
      </c>
      <c r="M2172" s="13"/>
      <c r="N2172" s="13"/>
      <c r="O2172" s="13"/>
      <c r="P2172" s="13"/>
      <c r="Q2172" s="13"/>
      <c r="R2172" s="13"/>
    </row>
    <row r="2173" spans="2:18">
      <c r="C2173" s="2" t="s">
        <v>5</v>
      </c>
      <c r="D2173" s="2" t="s">
        <v>732</v>
      </c>
      <c r="E2173" s="3">
        <v>20</v>
      </c>
      <c r="F2173" s="3">
        <v>7</v>
      </c>
      <c r="G2173" s="4">
        <v>44455</v>
      </c>
    </row>
    <row r="2174" spans="2:18">
      <c r="C2174" s="2" t="s">
        <v>4</v>
      </c>
      <c r="D2174" s="2" t="s">
        <v>732</v>
      </c>
      <c r="E2174" s="3">
        <v>2.1</v>
      </c>
      <c r="F2174" s="3">
        <v>1</v>
      </c>
      <c r="G2174" s="4">
        <v>44455</v>
      </c>
    </row>
    <row r="2175" spans="2:18">
      <c r="C2175" s="2" t="s">
        <v>5</v>
      </c>
      <c r="D2175" s="2" t="s">
        <v>731</v>
      </c>
      <c r="E2175" s="3">
        <v>11</v>
      </c>
      <c r="F2175" s="3">
        <f>7/3</f>
        <v>2.3333333333333335</v>
      </c>
      <c r="G2175" s="4">
        <v>44483</v>
      </c>
    </row>
    <row r="2176" spans="2:18">
      <c r="C2176" s="2" t="s">
        <v>4</v>
      </c>
      <c r="D2176" s="2" t="s">
        <v>731</v>
      </c>
      <c r="E2176" s="3">
        <v>2.9</v>
      </c>
      <c r="F2176" s="3">
        <v>1.9</v>
      </c>
      <c r="G2176" s="4">
        <v>44272</v>
      </c>
    </row>
    <row r="2177" spans="2:18">
      <c r="C2177" s="2" t="s">
        <v>4</v>
      </c>
      <c r="D2177" s="2" t="s">
        <v>490</v>
      </c>
      <c r="E2177" s="3">
        <v>2</v>
      </c>
      <c r="F2177" s="3">
        <v>0.5</v>
      </c>
      <c r="G2177" s="4">
        <v>43876</v>
      </c>
    </row>
    <row r="2178" spans="2:18">
      <c r="G2178" s="4"/>
    </row>
    <row r="2179" spans="2:18" s="12" customFormat="1">
      <c r="B2179" s="12" t="s">
        <v>626</v>
      </c>
      <c r="C2179" s="13" t="s">
        <v>984</v>
      </c>
      <c r="D2179" s="13" t="s">
        <v>983</v>
      </c>
      <c r="E2179" s="15"/>
      <c r="F2179" s="15">
        <f>SUM(F2180:F2181)</f>
        <v>13.2</v>
      </c>
      <c r="G2179" s="14">
        <f>G2180</f>
        <v>44215</v>
      </c>
    </row>
    <row r="2180" spans="2:18">
      <c r="C2180" s="2" t="s">
        <v>9</v>
      </c>
      <c r="D2180" s="2" t="s">
        <v>617</v>
      </c>
      <c r="E2180" s="3">
        <v>132</v>
      </c>
      <c r="F2180" s="3">
        <f>72/10</f>
        <v>7.2</v>
      </c>
      <c r="G2180" s="4">
        <v>44215</v>
      </c>
      <c r="M2180" s="1"/>
      <c r="N2180" s="1"/>
      <c r="O2180" s="1"/>
      <c r="P2180" s="1"/>
      <c r="Q2180" s="1"/>
      <c r="R2180" s="1"/>
    </row>
    <row r="2181" spans="2:18">
      <c r="C2181" s="2" t="s">
        <v>8</v>
      </c>
      <c r="D2181" s="2" t="s">
        <v>617</v>
      </c>
      <c r="E2181" s="3">
        <v>42</v>
      </c>
      <c r="F2181" s="3">
        <f>30/5</f>
        <v>6</v>
      </c>
      <c r="G2181" s="4">
        <v>44153</v>
      </c>
      <c r="M2181" s="1"/>
      <c r="N2181" s="1"/>
      <c r="O2181" s="1"/>
      <c r="P2181" s="1"/>
      <c r="Q2181" s="1"/>
      <c r="R2181" s="1"/>
    </row>
    <row r="2182" spans="2:18">
      <c r="G2182" s="4"/>
      <c r="M2182" s="1"/>
      <c r="N2182" s="1"/>
      <c r="O2182" s="1"/>
      <c r="P2182" s="1"/>
      <c r="Q2182" s="1"/>
      <c r="R2182" s="1"/>
    </row>
    <row r="2183" spans="2:18">
      <c r="B2183" s="12" t="s">
        <v>1017</v>
      </c>
      <c r="C2183" s="13" t="s">
        <v>984</v>
      </c>
      <c r="D2183" s="13" t="s">
        <v>983</v>
      </c>
      <c r="F2183" s="15">
        <f>SUM(F2184:F2188)</f>
        <v>12.6</v>
      </c>
      <c r="G2183" s="14">
        <f>G2184</f>
        <v>44796</v>
      </c>
    </row>
    <row r="2184" spans="2:18">
      <c r="C2184" s="2" t="s">
        <v>5</v>
      </c>
      <c r="D2184" s="2" t="s">
        <v>712</v>
      </c>
      <c r="E2184" s="3">
        <v>50</v>
      </c>
      <c r="F2184" s="3">
        <f>30/12</f>
        <v>2.5</v>
      </c>
      <c r="G2184" s="4">
        <v>44796</v>
      </c>
    </row>
    <row r="2185" spans="2:18">
      <c r="C2185" s="2" t="s">
        <v>4</v>
      </c>
      <c r="D2185" s="2" t="s">
        <v>712</v>
      </c>
      <c r="E2185" s="3">
        <v>12.5</v>
      </c>
      <c r="F2185" s="3">
        <f>8/5</f>
        <v>1.6</v>
      </c>
      <c r="G2185" s="4">
        <v>44623</v>
      </c>
    </row>
    <row r="2186" spans="2:18">
      <c r="C2186" s="2" t="s">
        <v>4</v>
      </c>
      <c r="D2186" s="2" t="s">
        <v>712</v>
      </c>
      <c r="E2186" s="3">
        <v>7.2</v>
      </c>
      <c r="F2186" s="3">
        <v>2</v>
      </c>
      <c r="G2186" s="4">
        <v>44508</v>
      </c>
    </row>
    <row r="2187" spans="2:18">
      <c r="C2187" s="2" t="s">
        <v>5</v>
      </c>
      <c r="D2187" s="2" t="s">
        <v>687</v>
      </c>
      <c r="E2187" s="3">
        <v>15</v>
      </c>
      <c r="F2187" s="3">
        <v>5</v>
      </c>
      <c r="G2187" s="4">
        <v>44482</v>
      </c>
    </row>
    <row r="2188" spans="2:18">
      <c r="C2188" s="2" t="s">
        <v>4</v>
      </c>
      <c r="D2188" s="2" t="s">
        <v>687</v>
      </c>
      <c r="E2188" s="3">
        <v>4.5</v>
      </c>
      <c r="F2188" s="3">
        <v>1.5</v>
      </c>
      <c r="G2188" s="4">
        <v>44362</v>
      </c>
    </row>
    <row r="2189" spans="2:18">
      <c r="G2189" s="4"/>
    </row>
    <row r="2190" spans="2:18" s="12" customFormat="1">
      <c r="B2190" s="12" t="s">
        <v>671</v>
      </c>
      <c r="C2190" s="13" t="s">
        <v>984</v>
      </c>
      <c r="D2190" s="13" t="s">
        <v>983</v>
      </c>
      <c r="E2190" s="15"/>
      <c r="F2190" s="15">
        <f>SUM(F2191:F2192)</f>
        <v>11.5</v>
      </c>
      <c r="G2190" s="14">
        <f>G2192</f>
        <v>44984</v>
      </c>
      <c r="M2190" s="13"/>
      <c r="N2190" s="13"/>
      <c r="O2190" s="13"/>
      <c r="P2190" s="13"/>
      <c r="Q2190" s="13"/>
      <c r="R2190" s="13"/>
    </row>
    <row r="2191" spans="2:18">
      <c r="C2191" s="2" t="s">
        <v>4</v>
      </c>
      <c r="D2191" s="2" t="s">
        <v>670</v>
      </c>
      <c r="E2191" s="3">
        <v>5</v>
      </c>
      <c r="F2191" s="3">
        <v>5</v>
      </c>
      <c r="G2191" s="4">
        <v>44873</v>
      </c>
      <c r="M2191" s="1"/>
      <c r="N2191" s="1"/>
      <c r="O2191" s="1"/>
      <c r="P2191" s="1"/>
      <c r="Q2191" s="1"/>
      <c r="R2191" s="1"/>
    </row>
    <row r="2192" spans="2:18">
      <c r="C2192" s="2" t="s">
        <v>5</v>
      </c>
      <c r="D2192" s="2" t="s">
        <v>643</v>
      </c>
      <c r="E2192" s="3">
        <v>10.5</v>
      </c>
      <c r="F2192" s="3">
        <v>6.5</v>
      </c>
      <c r="G2192" s="4">
        <v>44984</v>
      </c>
      <c r="M2192" s="1"/>
      <c r="N2192" s="1"/>
      <c r="O2192" s="1"/>
      <c r="P2192" s="1"/>
      <c r="Q2192" s="1"/>
      <c r="R2192" s="1"/>
    </row>
    <row r="2193" spans="2:18">
      <c r="G2193" s="4"/>
      <c r="M2193" s="1"/>
      <c r="N2193" s="1"/>
      <c r="O2193" s="1"/>
      <c r="P2193" s="1"/>
      <c r="Q2193" s="1"/>
      <c r="R2193" s="1"/>
    </row>
    <row r="2194" spans="2:18" s="12" customFormat="1">
      <c r="B2194" s="12" t="s">
        <v>413</v>
      </c>
      <c r="C2194" s="13" t="s">
        <v>984</v>
      </c>
      <c r="D2194" s="13" t="s">
        <v>983</v>
      </c>
      <c r="E2194" s="15"/>
      <c r="F2194" s="15">
        <f>SUM(F2195:F2197)</f>
        <v>12.25</v>
      </c>
      <c r="G2194" s="14">
        <f>G2195</f>
        <v>44538</v>
      </c>
    </row>
    <row r="2195" spans="2:18">
      <c r="C2195" s="2" t="s">
        <v>7</v>
      </c>
      <c r="D2195" s="2" t="s">
        <v>411</v>
      </c>
      <c r="E2195" s="3">
        <v>50</v>
      </c>
      <c r="F2195" s="3">
        <f>30/6</f>
        <v>5</v>
      </c>
      <c r="G2195" s="4">
        <v>44538</v>
      </c>
      <c r="M2195" s="1"/>
      <c r="N2195" s="1"/>
      <c r="O2195" s="1"/>
      <c r="P2195" s="1"/>
      <c r="Q2195" s="1"/>
      <c r="R2195" s="1"/>
    </row>
    <row r="2196" spans="2:18">
      <c r="C2196" s="2" t="s">
        <v>5</v>
      </c>
      <c r="D2196" s="2" t="s">
        <v>411</v>
      </c>
      <c r="E2196" s="3">
        <v>12.5</v>
      </c>
      <c r="F2196" s="3">
        <f>+E2196/2</f>
        <v>6.25</v>
      </c>
      <c r="G2196" s="4">
        <v>44306</v>
      </c>
      <c r="M2196" s="1"/>
      <c r="N2196" s="1"/>
      <c r="O2196" s="1"/>
      <c r="P2196" s="1"/>
      <c r="Q2196" s="1"/>
      <c r="R2196" s="1"/>
    </row>
    <row r="2197" spans="2:18">
      <c r="C2197" s="2" t="s">
        <v>4</v>
      </c>
      <c r="D2197" s="2" t="s">
        <v>411</v>
      </c>
      <c r="E2197" s="3">
        <v>3.1</v>
      </c>
      <c r="F2197" s="3">
        <v>1</v>
      </c>
      <c r="G2197" s="4">
        <v>43580</v>
      </c>
      <c r="M2197" s="1"/>
      <c r="N2197" s="1"/>
      <c r="O2197" s="1"/>
      <c r="P2197" s="1"/>
      <c r="Q2197" s="1"/>
      <c r="R2197" s="1"/>
    </row>
    <row r="2198" spans="2:18">
      <c r="G2198" s="4"/>
      <c r="M2198" s="1"/>
      <c r="N2198" s="1"/>
      <c r="O2198" s="1"/>
      <c r="P2198" s="1"/>
      <c r="Q2198" s="1"/>
      <c r="R2198" s="1"/>
    </row>
    <row r="2199" spans="2:18" s="12" customFormat="1">
      <c r="B2199" s="12" t="s">
        <v>1016</v>
      </c>
      <c r="C2199" s="13" t="s">
        <v>984</v>
      </c>
      <c r="D2199" s="13" t="s">
        <v>983</v>
      </c>
      <c r="E2199" s="15"/>
      <c r="F2199" s="15">
        <f>SUM(F2200:F2201)</f>
        <v>11</v>
      </c>
      <c r="G2199" s="14">
        <f>G2200</f>
        <v>44699</v>
      </c>
      <c r="M2199" s="13"/>
      <c r="N2199" s="13"/>
      <c r="O2199" s="13"/>
      <c r="P2199" s="13"/>
      <c r="Q2199" s="13"/>
      <c r="R2199" s="13"/>
    </row>
    <row r="2200" spans="2:18">
      <c r="C2200" s="2" t="s">
        <v>5</v>
      </c>
      <c r="D2200" s="2" t="s">
        <v>1015</v>
      </c>
      <c r="E2200" s="3">
        <v>25</v>
      </c>
      <c r="F2200" s="3">
        <v>10</v>
      </c>
      <c r="G2200" s="4">
        <v>44699</v>
      </c>
    </row>
    <row r="2201" spans="2:18">
      <c r="C2201" s="2" t="s">
        <v>5</v>
      </c>
      <c r="D2201" s="2" t="s">
        <v>708</v>
      </c>
      <c r="E2201" s="3">
        <v>5.6</v>
      </c>
      <c r="F2201" s="3">
        <v>1</v>
      </c>
      <c r="G2201" s="4">
        <v>44292</v>
      </c>
    </row>
    <row r="2202" spans="2:18">
      <c r="G2202" s="4"/>
    </row>
    <row r="2203" spans="2:18" s="12" customFormat="1">
      <c r="B2203" s="12" t="s">
        <v>459</v>
      </c>
      <c r="C2203" s="13" t="s">
        <v>984</v>
      </c>
      <c r="D2203" s="13" t="s">
        <v>983</v>
      </c>
      <c r="E2203" s="15"/>
      <c r="F2203" s="15">
        <f>SUM(F2204:F2206)</f>
        <v>11.295454545454547</v>
      </c>
      <c r="G2203" s="14">
        <f>G2204</f>
        <v>44776</v>
      </c>
    </row>
    <row r="2204" spans="2:18">
      <c r="C2204" s="2" t="s">
        <v>8</v>
      </c>
      <c r="D2204" s="2" t="s">
        <v>456</v>
      </c>
      <c r="E2204" s="3">
        <v>90</v>
      </c>
      <c r="F2204" s="3">
        <f>50/11</f>
        <v>4.5454545454545459</v>
      </c>
      <c r="G2204" s="4">
        <v>44776</v>
      </c>
      <c r="M2204" s="1"/>
      <c r="N2204" s="1"/>
      <c r="O2204" s="1"/>
      <c r="P2204" s="1"/>
      <c r="Q2204" s="1"/>
      <c r="R2204" s="1"/>
    </row>
    <row r="2205" spans="2:18">
      <c r="C2205" s="2" t="s">
        <v>18</v>
      </c>
      <c r="D2205" s="2" t="s">
        <v>456</v>
      </c>
      <c r="E2205" s="3">
        <v>40</v>
      </c>
      <c r="F2205" s="3">
        <v>3.75</v>
      </c>
      <c r="G2205" s="4">
        <v>44176</v>
      </c>
      <c r="M2205" s="1"/>
      <c r="N2205" s="1"/>
      <c r="O2205" s="1"/>
      <c r="P2205" s="1"/>
      <c r="Q2205" s="1"/>
      <c r="R2205" s="1"/>
    </row>
    <row r="2206" spans="2:18">
      <c r="C2206" s="2" t="s">
        <v>7</v>
      </c>
      <c r="D2206" s="2" t="s">
        <v>456</v>
      </c>
      <c r="E2206" s="3">
        <v>20</v>
      </c>
      <c r="F2206" s="3">
        <v>3</v>
      </c>
      <c r="G2206" s="4">
        <v>43879</v>
      </c>
      <c r="M2206" s="1"/>
      <c r="N2206" s="1"/>
      <c r="O2206" s="1"/>
      <c r="P2206" s="1"/>
      <c r="Q2206" s="1"/>
      <c r="R2206" s="1"/>
    </row>
    <row r="2207" spans="2:18">
      <c r="G2207" s="4"/>
      <c r="M2207" s="1"/>
      <c r="N2207" s="1"/>
      <c r="O2207" s="1"/>
      <c r="P2207" s="1"/>
      <c r="Q2207" s="1"/>
      <c r="R2207" s="1"/>
    </row>
    <row r="2208" spans="2:18" s="12" customFormat="1">
      <c r="B2208" s="12" t="s">
        <v>1014</v>
      </c>
      <c r="C2208" s="13" t="s">
        <v>984</v>
      </c>
      <c r="D2208" s="13" t="s">
        <v>983</v>
      </c>
      <c r="E2208" s="15"/>
      <c r="F2208" s="15">
        <f>SUM(F2209:F2210)</f>
        <v>10.5</v>
      </c>
      <c r="G2208" s="14">
        <f>G2210</f>
        <v>44602</v>
      </c>
      <c r="M2208" s="13"/>
      <c r="N2208" s="13"/>
      <c r="O2208" s="13"/>
      <c r="P2208" s="13"/>
      <c r="Q2208" s="13"/>
      <c r="R2208" s="13"/>
    </row>
    <row r="2209" spans="2:18">
      <c r="C2209" s="2" t="s">
        <v>5</v>
      </c>
      <c r="D2209" s="2" t="s">
        <v>704</v>
      </c>
      <c r="E2209" s="3">
        <v>18.5</v>
      </c>
      <c r="F2209" s="3">
        <v>8.5</v>
      </c>
      <c r="G2209" s="4">
        <v>44242</v>
      </c>
    </row>
    <row r="2210" spans="2:18">
      <c r="C2210" s="2" t="s">
        <v>5</v>
      </c>
      <c r="D2210" s="2" t="s">
        <v>837</v>
      </c>
      <c r="E2210" s="3">
        <v>25</v>
      </c>
      <c r="F2210" s="3">
        <v>2</v>
      </c>
      <c r="G2210" s="4">
        <v>44602</v>
      </c>
    </row>
    <row r="2211" spans="2:18">
      <c r="G2211" s="4"/>
    </row>
    <row r="2212" spans="2:18">
      <c r="B2212" s="12" t="s">
        <v>1000</v>
      </c>
      <c r="C2212" s="13" t="s">
        <v>984</v>
      </c>
      <c r="D2212" s="13" t="s">
        <v>983</v>
      </c>
      <c r="F2212" s="15">
        <f>SUM(F2213:F2216)</f>
        <v>11.333333333333332</v>
      </c>
      <c r="G2212" s="14">
        <f>G2214</f>
        <v>44467</v>
      </c>
    </row>
    <row r="2213" spans="2:18">
      <c r="C2213" s="2" t="s">
        <v>5</v>
      </c>
      <c r="D2213" s="2" t="s">
        <v>844</v>
      </c>
      <c r="E2213" s="3">
        <v>20</v>
      </c>
      <c r="F2213" s="3">
        <f>12/6</f>
        <v>2</v>
      </c>
      <c r="G2213" s="4">
        <v>43816</v>
      </c>
    </row>
    <row r="2214" spans="2:18">
      <c r="C2214" s="2" t="s">
        <v>5</v>
      </c>
      <c r="D2214" s="2" t="s">
        <v>999</v>
      </c>
      <c r="E2214" s="3">
        <v>19</v>
      </c>
      <c r="F2214" s="3">
        <v>4</v>
      </c>
      <c r="G2214" s="4">
        <v>44467</v>
      </c>
    </row>
    <row r="2215" spans="2:18">
      <c r="C2215" s="2" t="s">
        <v>5</v>
      </c>
      <c r="D2215" s="2" t="s">
        <v>288</v>
      </c>
      <c r="E2215" s="3">
        <v>26</v>
      </c>
      <c r="F2215" s="3">
        <v>4.333333333333333</v>
      </c>
      <c r="G2215" s="4">
        <v>44453</v>
      </c>
    </row>
    <row r="2216" spans="2:18">
      <c r="C2216" s="2" t="s">
        <v>4</v>
      </c>
      <c r="D2216" s="2" t="s">
        <v>288</v>
      </c>
      <c r="E2216" s="3">
        <v>6.2</v>
      </c>
      <c r="F2216" s="3">
        <v>1</v>
      </c>
      <c r="G2216" s="4">
        <v>44201</v>
      </c>
    </row>
    <row r="2217" spans="2:18">
      <c r="G2217" s="4"/>
    </row>
    <row r="2218" spans="2:18" s="12" customFormat="1">
      <c r="B2218" s="12" t="s">
        <v>5198</v>
      </c>
      <c r="C2218" s="13" t="s">
        <v>984</v>
      </c>
      <c r="D2218" s="13" t="s">
        <v>983</v>
      </c>
      <c r="E2218" s="15"/>
      <c r="F2218" s="15">
        <f>SUM(F2219:F2221)</f>
        <v>10.816666666666666</v>
      </c>
      <c r="G2218" s="14">
        <f>G2219</f>
        <v>43069</v>
      </c>
      <c r="M2218" s="13"/>
      <c r="N2218" s="13"/>
      <c r="O2218" s="13"/>
      <c r="P2218" s="13"/>
      <c r="Q2218" s="13"/>
      <c r="R2218" s="13"/>
    </row>
    <row r="2219" spans="2:18">
      <c r="B2219" s="95"/>
      <c r="C2219" s="96" t="s">
        <v>18</v>
      </c>
      <c r="D2219" s="96" t="s">
        <v>2150</v>
      </c>
      <c r="E2219" s="3">
        <v>40</v>
      </c>
      <c r="F2219" s="3">
        <f>30/6</f>
        <v>5</v>
      </c>
      <c r="G2219" s="4">
        <v>43069</v>
      </c>
      <c r="J2219" s="1">
        <v>1600</v>
      </c>
    </row>
    <row r="2220" spans="2:18">
      <c r="B2220" s="95"/>
      <c r="C2220" s="96" t="s">
        <v>7</v>
      </c>
      <c r="D2220" s="96" t="s">
        <v>2150</v>
      </c>
      <c r="E2220" s="3">
        <v>20</v>
      </c>
      <c r="F2220" s="3">
        <f>13/3</f>
        <v>4.333333333333333</v>
      </c>
      <c r="G2220" s="4">
        <v>42317</v>
      </c>
      <c r="J2220" s="1">
        <v>1600</v>
      </c>
    </row>
    <row r="2221" spans="2:18">
      <c r="B2221" s="95"/>
      <c r="C2221" s="96" t="s">
        <v>5</v>
      </c>
      <c r="D2221" s="96" t="s">
        <v>2150</v>
      </c>
      <c r="E2221" s="3">
        <v>8.9</v>
      </c>
      <c r="F2221" s="3">
        <f>E2221/6</f>
        <v>1.4833333333333334</v>
      </c>
      <c r="G2221" s="4">
        <v>41839</v>
      </c>
      <c r="J2221" s="1">
        <v>1600</v>
      </c>
    </row>
    <row r="2222" spans="2:18">
      <c r="B2222" s="95"/>
      <c r="C2222" s="96"/>
      <c r="D2222" s="96"/>
      <c r="G2222" s="4"/>
    </row>
    <row r="2223" spans="2:18" s="12" customFormat="1">
      <c r="B2223" s="12" t="s">
        <v>702</v>
      </c>
      <c r="C2223" s="13" t="s">
        <v>984</v>
      </c>
      <c r="D2223" s="13" t="s">
        <v>983</v>
      </c>
      <c r="E2223" s="15"/>
      <c r="F2223" s="15">
        <f>SUM(F2224:F2226)</f>
        <v>11</v>
      </c>
      <c r="G2223" s="14">
        <f>G2226</f>
        <v>45005</v>
      </c>
      <c r="M2223" s="13"/>
      <c r="N2223" s="13"/>
      <c r="O2223" s="13"/>
      <c r="P2223" s="13"/>
      <c r="Q2223" s="13"/>
      <c r="R2223" s="13"/>
    </row>
    <row r="2224" spans="2:18">
      <c r="C2224" s="2" t="s">
        <v>4</v>
      </c>
      <c r="D2224" s="2" t="s">
        <v>701</v>
      </c>
      <c r="E2224" s="3">
        <v>30</v>
      </c>
      <c r="F2224" s="3">
        <v>5</v>
      </c>
      <c r="G2224" s="4">
        <v>44742</v>
      </c>
    </row>
    <row r="2225" spans="2:18">
      <c r="C2225" s="2" t="s">
        <v>5</v>
      </c>
      <c r="D2225" s="2" t="s">
        <v>700</v>
      </c>
      <c r="E2225" s="3">
        <v>29</v>
      </c>
      <c r="F2225" s="3">
        <v>3</v>
      </c>
      <c r="G2225" s="4">
        <v>44691</v>
      </c>
    </row>
    <row r="2226" spans="2:18">
      <c r="C2226" s="2" t="s">
        <v>5</v>
      </c>
      <c r="D2226" s="2" t="s">
        <v>699</v>
      </c>
      <c r="E2226" s="3">
        <v>13</v>
      </c>
      <c r="F2226" s="3">
        <v>3</v>
      </c>
      <c r="G2226" s="4">
        <v>45005</v>
      </c>
    </row>
    <row r="2227" spans="2:18">
      <c r="G2227" s="4"/>
    </row>
    <row r="2228" spans="2:18" s="12" customFormat="1">
      <c r="B2228" s="12" t="s">
        <v>391</v>
      </c>
      <c r="C2228" s="13" t="s">
        <v>984</v>
      </c>
      <c r="D2228" s="13" t="s">
        <v>983</v>
      </c>
      <c r="E2228" s="15"/>
      <c r="F2228" s="15">
        <f>SUM(F2229:F2231)</f>
        <v>11.375</v>
      </c>
      <c r="G2228" s="14">
        <f>G2229</f>
        <v>44488</v>
      </c>
    </row>
    <row r="2229" spans="2:18">
      <c r="C2229" s="2" t="s">
        <v>5</v>
      </c>
      <c r="D2229" s="2" t="s">
        <v>388</v>
      </c>
      <c r="E2229" s="3">
        <v>86</v>
      </c>
      <c r="F2229" s="3">
        <v>10</v>
      </c>
      <c r="G2229" s="4">
        <v>44488</v>
      </c>
      <c r="M2229" s="1"/>
      <c r="N2229" s="1"/>
      <c r="O2229" s="1"/>
      <c r="P2229" s="1"/>
      <c r="Q2229" s="1"/>
      <c r="R2229" s="1"/>
    </row>
    <row r="2230" spans="2:18">
      <c r="C2230" s="2" t="s">
        <v>4</v>
      </c>
      <c r="D2230" s="2" t="s">
        <v>388</v>
      </c>
      <c r="E2230" s="3">
        <v>8.5</v>
      </c>
      <c r="F2230" s="3">
        <v>1</v>
      </c>
      <c r="G2230" s="4">
        <v>43796</v>
      </c>
      <c r="M2230" s="1"/>
      <c r="N2230" s="1"/>
      <c r="O2230" s="1"/>
      <c r="P2230" s="1"/>
      <c r="Q2230" s="1"/>
      <c r="R2230" s="1"/>
    </row>
    <row r="2231" spans="2:18">
      <c r="C2231" s="2" t="s">
        <v>4</v>
      </c>
      <c r="D2231" s="2" t="s">
        <v>388</v>
      </c>
      <c r="E2231" s="3">
        <v>0.75</v>
      </c>
      <c r="F2231" s="3">
        <f>+E2231/2</f>
        <v>0.375</v>
      </c>
      <c r="G2231" s="4">
        <v>43166</v>
      </c>
      <c r="M2231" s="1"/>
      <c r="N2231" s="1"/>
      <c r="O2231" s="1"/>
      <c r="P2231" s="1"/>
      <c r="Q2231" s="1"/>
      <c r="R2231" s="1"/>
    </row>
    <row r="2232" spans="2:18">
      <c r="G2232" s="4"/>
      <c r="M2232" s="1"/>
      <c r="N2232" s="1"/>
      <c r="O2232" s="1"/>
      <c r="P2232" s="1"/>
      <c r="Q2232" s="1"/>
      <c r="R2232" s="1"/>
    </row>
    <row r="2233" spans="2:18" s="12" customFormat="1">
      <c r="B2233" s="12" t="s">
        <v>661</v>
      </c>
      <c r="C2233" s="13" t="s">
        <v>984</v>
      </c>
      <c r="D2233" s="13" t="s">
        <v>983</v>
      </c>
      <c r="E2233" s="15"/>
      <c r="F2233" s="15">
        <f>SUM(F2234:F2237)</f>
        <v>10.75</v>
      </c>
      <c r="G2233" s="14">
        <f>G2234</f>
        <v>44677</v>
      </c>
    </row>
    <row r="2234" spans="2:18">
      <c r="C2234" s="2" t="s">
        <v>4</v>
      </c>
      <c r="D2234" s="2" t="s">
        <v>660</v>
      </c>
      <c r="E2234" s="3">
        <v>8</v>
      </c>
      <c r="F2234" s="3">
        <v>3</v>
      </c>
      <c r="G2234" s="4">
        <v>44677</v>
      </c>
      <c r="M2234" s="1"/>
      <c r="N2234" s="1"/>
      <c r="O2234" s="1"/>
      <c r="P2234" s="1"/>
      <c r="Q2234" s="1"/>
      <c r="R2234" s="1"/>
    </row>
    <row r="2235" spans="2:18">
      <c r="C2235" s="2" t="s">
        <v>5</v>
      </c>
      <c r="D2235" s="2" t="s">
        <v>492</v>
      </c>
      <c r="E2235" s="3">
        <v>13</v>
      </c>
      <c r="F2235" s="3">
        <v>1.4</v>
      </c>
      <c r="G2235" s="4">
        <v>44516</v>
      </c>
      <c r="M2235" s="1"/>
      <c r="N2235" s="1"/>
      <c r="O2235" s="1"/>
      <c r="P2235" s="1"/>
      <c r="Q2235" s="1"/>
      <c r="R2235" s="1"/>
    </row>
    <row r="2236" spans="2:18">
      <c r="C2236" s="2" t="s">
        <v>4</v>
      </c>
      <c r="D2236" s="2" t="s">
        <v>354</v>
      </c>
      <c r="E2236" s="3">
        <v>3.5</v>
      </c>
      <c r="F2236" s="3">
        <f>E2236/10</f>
        <v>0.35</v>
      </c>
      <c r="G2236" s="4">
        <v>43046</v>
      </c>
      <c r="L2236" s="1">
        <v>0</v>
      </c>
      <c r="M2236" s="1"/>
      <c r="N2236" s="1"/>
      <c r="O2236" s="1"/>
      <c r="P2236" s="1"/>
      <c r="Q2236" s="1"/>
      <c r="R2236" s="1"/>
    </row>
    <row r="2237" spans="2:18">
      <c r="C2237" s="2" t="s">
        <v>7</v>
      </c>
      <c r="D2237" s="2" t="s">
        <v>54</v>
      </c>
      <c r="E2237" s="3">
        <v>18</v>
      </c>
      <c r="F2237" s="3">
        <v>6</v>
      </c>
      <c r="G2237" s="4">
        <v>43207</v>
      </c>
      <c r="M2237" s="1"/>
      <c r="N2237" s="1"/>
      <c r="O2237" s="1"/>
      <c r="P2237" s="1"/>
      <c r="Q2237" s="1"/>
      <c r="R2237" s="1"/>
    </row>
    <row r="2238" spans="2:18">
      <c r="G2238" s="4"/>
      <c r="M2238" s="1"/>
      <c r="N2238" s="1"/>
      <c r="O2238" s="1"/>
      <c r="P2238" s="1"/>
      <c r="Q2238" s="1"/>
      <c r="R2238" s="1"/>
    </row>
    <row r="2239" spans="2:18" s="12" customFormat="1">
      <c r="B2239" s="12" t="s">
        <v>460</v>
      </c>
      <c r="C2239" s="13" t="s">
        <v>984</v>
      </c>
      <c r="D2239" s="13" t="s">
        <v>983</v>
      </c>
      <c r="E2239" s="15"/>
      <c r="F2239" s="15">
        <f>SUM(F2240:F2242)</f>
        <v>11.295454545454547</v>
      </c>
      <c r="G2239" s="14">
        <f>G2240</f>
        <v>44776</v>
      </c>
    </row>
    <row r="2240" spans="2:18">
      <c r="C2240" s="2" t="s">
        <v>8</v>
      </c>
      <c r="D2240" s="2" t="s">
        <v>456</v>
      </c>
      <c r="E2240" s="3">
        <v>90</v>
      </c>
      <c r="F2240" s="3">
        <f>50/11</f>
        <v>4.5454545454545459</v>
      </c>
      <c r="G2240" s="4">
        <v>44776</v>
      </c>
      <c r="M2240" s="1"/>
      <c r="N2240" s="1"/>
      <c r="O2240" s="1"/>
      <c r="P2240" s="1"/>
      <c r="Q2240" s="1"/>
      <c r="R2240" s="1"/>
    </row>
    <row r="2241" spans="2:18">
      <c r="C2241" s="2" t="s">
        <v>18</v>
      </c>
      <c r="D2241" s="2" t="s">
        <v>456</v>
      </c>
      <c r="E2241" s="3">
        <v>40</v>
      </c>
      <c r="F2241" s="3">
        <v>3.75</v>
      </c>
      <c r="G2241" s="4">
        <v>44176</v>
      </c>
      <c r="M2241" s="1"/>
      <c r="N2241" s="1"/>
      <c r="O2241" s="1"/>
      <c r="P2241" s="1"/>
      <c r="Q2241" s="1"/>
      <c r="R2241" s="1"/>
    </row>
    <row r="2242" spans="2:18">
      <c r="C2242" s="2" t="s">
        <v>7</v>
      </c>
      <c r="D2242" s="2" t="s">
        <v>456</v>
      </c>
      <c r="E2242" s="3">
        <v>20</v>
      </c>
      <c r="F2242" s="3">
        <v>3</v>
      </c>
      <c r="G2242" s="4">
        <v>43879</v>
      </c>
      <c r="M2242" s="1"/>
      <c r="N2242" s="1"/>
      <c r="O2242" s="1"/>
      <c r="P2242" s="1"/>
      <c r="Q2242" s="1"/>
      <c r="R2242" s="1"/>
    </row>
    <row r="2243" spans="2:18">
      <c r="G2243" s="4"/>
      <c r="M2243" s="1"/>
      <c r="N2243" s="1"/>
      <c r="O2243" s="1"/>
      <c r="P2243" s="1"/>
      <c r="Q2243" s="1"/>
      <c r="R2243" s="1"/>
    </row>
    <row r="2244" spans="2:18" s="12" customFormat="1">
      <c r="B2244" s="12" t="s">
        <v>455</v>
      </c>
      <c r="C2244" s="13" t="s">
        <v>984</v>
      </c>
      <c r="D2244" s="13" t="s">
        <v>983</v>
      </c>
      <c r="E2244" s="15"/>
      <c r="F2244" s="15">
        <f>SUM(F2245:F2247)</f>
        <v>11</v>
      </c>
      <c r="G2244" s="14">
        <f>G2245</f>
        <v>44756</v>
      </c>
    </row>
    <row r="2245" spans="2:18">
      <c r="C2245" s="2" t="s">
        <v>7</v>
      </c>
      <c r="D2245" s="2" t="s">
        <v>454</v>
      </c>
      <c r="E2245" s="3">
        <v>30</v>
      </c>
      <c r="F2245" s="3">
        <v>5</v>
      </c>
      <c r="G2245" s="4">
        <v>44756</v>
      </c>
      <c r="M2245" s="1"/>
      <c r="N2245" s="1"/>
      <c r="O2245" s="1"/>
      <c r="P2245" s="1"/>
      <c r="Q2245" s="1"/>
      <c r="R2245" s="1"/>
    </row>
    <row r="2246" spans="2:18">
      <c r="C2246" s="2" t="s">
        <v>5</v>
      </c>
      <c r="D2246" s="2" t="s">
        <v>454</v>
      </c>
      <c r="E2246" s="3">
        <v>28</v>
      </c>
      <c r="F2246" s="3">
        <v>5</v>
      </c>
      <c r="G2246" s="4">
        <v>44624</v>
      </c>
      <c r="M2246" s="1"/>
      <c r="N2246" s="1"/>
      <c r="O2246" s="1"/>
      <c r="P2246" s="1"/>
      <c r="Q2246" s="1"/>
      <c r="R2246" s="1"/>
    </row>
    <row r="2247" spans="2:18">
      <c r="C2247" s="2" t="s">
        <v>4</v>
      </c>
      <c r="D2247" s="2" t="s">
        <v>454</v>
      </c>
      <c r="E2247" s="3">
        <v>5</v>
      </c>
      <c r="F2247" s="3">
        <v>1</v>
      </c>
      <c r="G2247" s="4">
        <v>44136</v>
      </c>
      <c r="M2247" s="1"/>
      <c r="N2247" s="1"/>
      <c r="O2247" s="1"/>
      <c r="P2247" s="1"/>
      <c r="Q2247" s="1"/>
      <c r="R2247" s="1"/>
    </row>
    <row r="2248" spans="2:18">
      <c r="G2248" s="4"/>
      <c r="M2248" s="1"/>
      <c r="N2248" s="1"/>
      <c r="O2248" s="1"/>
      <c r="P2248" s="1"/>
      <c r="Q2248" s="1"/>
      <c r="R2248" s="1"/>
    </row>
    <row r="2249" spans="2:18" s="12" customFormat="1">
      <c r="B2249" s="12" t="s">
        <v>730</v>
      </c>
      <c r="C2249" s="13" t="s">
        <v>984</v>
      </c>
      <c r="D2249" s="13" t="s">
        <v>983</v>
      </c>
      <c r="E2249" s="15"/>
      <c r="F2249" s="15">
        <f>SUM(F2250:F2252)</f>
        <v>10.7</v>
      </c>
      <c r="G2249" s="14">
        <f>G2252</f>
        <v>44952</v>
      </c>
      <c r="M2249" s="13"/>
      <c r="N2249" s="13"/>
      <c r="O2249" s="13"/>
      <c r="P2249" s="13"/>
      <c r="Q2249" s="13"/>
      <c r="R2249" s="13"/>
    </row>
    <row r="2250" spans="2:18">
      <c r="C2250" s="2" t="s">
        <v>5</v>
      </c>
      <c r="D2250" s="2" t="s">
        <v>728</v>
      </c>
      <c r="E2250" s="3">
        <v>12.5</v>
      </c>
      <c r="F2250" s="3">
        <v>2</v>
      </c>
      <c r="G2250" s="4">
        <v>44784</v>
      </c>
    </row>
    <row r="2251" spans="2:18">
      <c r="C2251" s="2" t="s">
        <v>5</v>
      </c>
      <c r="D2251" s="2" t="s">
        <v>728</v>
      </c>
      <c r="E2251" s="3">
        <v>10</v>
      </c>
      <c r="F2251" s="3">
        <v>4</v>
      </c>
      <c r="G2251" s="4">
        <v>44110</v>
      </c>
    </row>
    <row r="2252" spans="2:18">
      <c r="C2252" s="2" t="s">
        <v>5</v>
      </c>
      <c r="D2252" s="2" t="s">
        <v>677</v>
      </c>
      <c r="E2252" s="3">
        <v>12.7</v>
      </c>
      <c r="F2252" s="3">
        <v>4.7</v>
      </c>
      <c r="G2252" s="4">
        <v>44952</v>
      </c>
    </row>
    <row r="2253" spans="2:18">
      <c r="G2253" s="4"/>
    </row>
    <row r="2254" spans="2:18" s="12" customFormat="1">
      <c r="B2254" s="12" t="s">
        <v>771</v>
      </c>
      <c r="C2254" s="13" t="s">
        <v>984</v>
      </c>
      <c r="D2254" s="13" t="s">
        <v>983</v>
      </c>
      <c r="E2254" s="15"/>
      <c r="F2254" s="15">
        <f>SUM(F2255:F2257)</f>
        <v>10.833333333333332</v>
      </c>
      <c r="G2254" s="14">
        <f>G2255</f>
        <v>43979</v>
      </c>
    </row>
    <row r="2255" spans="2:18">
      <c r="C2255" s="2" t="s">
        <v>4</v>
      </c>
      <c r="D2255" s="2" t="s">
        <v>742</v>
      </c>
      <c r="E2255" s="3">
        <v>1.5</v>
      </c>
      <c r="F2255" s="3">
        <v>0.5</v>
      </c>
      <c r="G2255" s="4">
        <v>43979</v>
      </c>
      <c r="M2255" s="1"/>
      <c r="N2255" s="1"/>
      <c r="O2255" s="1"/>
      <c r="P2255" s="1"/>
      <c r="Q2255" s="1"/>
      <c r="R2255" s="1"/>
    </row>
    <row r="2256" spans="2:18">
      <c r="C2256" s="86" t="s">
        <v>5</v>
      </c>
      <c r="D2256" s="86" t="s">
        <v>2157</v>
      </c>
      <c r="E2256" s="3">
        <f>52.3</f>
        <v>52.3</v>
      </c>
      <c r="F2256" s="3">
        <f>22/3</f>
        <v>7.333333333333333</v>
      </c>
      <c r="G2256" s="4">
        <v>43348</v>
      </c>
      <c r="J2256" s="1">
        <v>700</v>
      </c>
      <c r="M2256" s="1"/>
      <c r="N2256" s="1"/>
      <c r="O2256" s="1"/>
      <c r="P2256" s="1"/>
      <c r="Q2256" s="1"/>
      <c r="R2256" s="1"/>
    </row>
    <row r="2257" spans="2:18">
      <c r="C2257" s="86" t="s">
        <v>7</v>
      </c>
      <c r="D2257" s="86" t="s">
        <v>2155</v>
      </c>
      <c r="E2257" s="3">
        <v>40</v>
      </c>
      <c r="F2257" s="3">
        <v>3</v>
      </c>
      <c r="G2257" s="4">
        <v>43720</v>
      </c>
      <c r="J2257" s="1">
        <v>3400</v>
      </c>
      <c r="M2257" s="1"/>
      <c r="N2257" s="1"/>
      <c r="O2257" s="1"/>
      <c r="P2257" s="1"/>
      <c r="Q2257" s="1"/>
      <c r="R2257" s="1"/>
    </row>
    <row r="2258" spans="2:18">
      <c r="G2258" s="4"/>
      <c r="M2258" s="1"/>
      <c r="N2258" s="1"/>
      <c r="O2258" s="1"/>
      <c r="P2258" s="1"/>
      <c r="Q2258" s="1"/>
      <c r="R2258" s="1"/>
    </row>
    <row r="2259" spans="2:18" s="12" customFormat="1">
      <c r="B2259" s="12" t="s">
        <v>771</v>
      </c>
      <c r="C2259" s="13" t="s">
        <v>984</v>
      </c>
      <c r="D2259" s="13" t="s">
        <v>983</v>
      </c>
      <c r="E2259" s="15"/>
      <c r="F2259" s="15">
        <f>SUM(F2260:F2262)</f>
        <v>10.833333333333332</v>
      </c>
      <c r="G2259" s="14">
        <f>G2260</f>
        <v>43979</v>
      </c>
    </row>
    <row r="2260" spans="2:18">
      <c r="C2260" s="2" t="s">
        <v>4</v>
      </c>
      <c r="D2260" s="2" t="s">
        <v>742</v>
      </c>
      <c r="E2260" s="3">
        <v>1.5</v>
      </c>
      <c r="F2260" s="3">
        <v>0.5</v>
      </c>
      <c r="G2260" s="4">
        <v>43979</v>
      </c>
      <c r="M2260" s="1"/>
      <c r="N2260" s="1"/>
      <c r="O2260" s="1"/>
      <c r="P2260" s="1"/>
      <c r="Q2260" s="1"/>
      <c r="R2260" s="1"/>
    </row>
    <row r="2261" spans="2:18">
      <c r="C2261" s="86" t="s">
        <v>5</v>
      </c>
      <c r="D2261" s="86" t="s">
        <v>2157</v>
      </c>
      <c r="E2261" s="3">
        <f>52.3</f>
        <v>52.3</v>
      </c>
      <c r="F2261" s="3">
        <f>22/3</f>
        <v>7.333333333333333</v>
      </c>
      <c r="G2261" s="4">
        <v>43348</v>
      </c>
      <c r="J2261" s="1">
        <v>700</v>
      </c>
      <c r="M2261" s="1"/>
      <c r="N2261" s="1"/>
      <c r="O2261" s="1"/>
      <c r="P2261" s="1"/>
      <c r="Q2261" s="1"/>
      <c r="R2261" s="1"/>
    </row>
    <row r="2262" spans="2:18">
      <c r="C2262" s="86" t="s">
        <v>7</v>
      </c>
      <c r="D2262" s="86" t="s">
        <v>2155</v>
      </c>
      <c r="E2262" s="3">
        <v>40</v>
      </c>
      <c r="F2262" s="3">
        <v>3</v>
      </c>
      <c r="G2262" s="4">
        <v>43720</v>
      </c>
      <c r="J2262" s="1">
        <v>3400</v>
      </c>
      <c r="M2262" s="1"/>
      <c r="N2262" s="1"/>
      <c r="O2262" s="1"/>
      <c r="P2262" s="1"/>
      <c r="Q2262" s="1"/>
      <c r="R2262" s="1"/>
    </row>
    <row r="2263" spans="2:18">
      <c r="G2263" s="4"/>
      <c r="M2263" s="1"/>
      <c r="N2263" s="1"/>
      <c r="O2263" s="1"/>
      <c r="P2263" s="1"/>
      <c r="Q2263" s="1"/>
      <c r="R2263" s="1"/>
    </row>
    <row r="2264" spans="2:18" s="12" customFormat="1">
      <c r="B2264" s="12" t="s">
        <v>934</v>
      </c>
      <c r="C2264" s="13" t="s">
        <v>984</v>
      </c>
      <c r="D2264" s="13" t="s">
        <v>983</v>
      </c>
      <c r="E2264" s="15"/>
      <c r="F2264" s="15">
        <f>SUM(F2265:F2266)</f>
        <v>11</v>
      </c>
      <c r="G2264" s="14">
        <f>G2265</f>
        <v>45090</v>
      </c>
      <c r="M2264" s="13"/>
      <c r="N2264" s="13"/>
      <c r="O2264" s="13"/>
      <c r="P2264" s="13"/>
      <c r="Q2264" s="13"/>
      <c r="R2264" s="13"/>
    </row>
    <row r="2265" spans="2:18">
      <c r="C2265" s="2" t="s">
        <v>4</v>
      </c>
      <c r="D2265" s="2" t="s">
        <v>717</v>
      </c>
      <c r="E2265" s="3">
        <v>113</v>
      </c>
      <c r="F2265" s="3">
        <v>8</v>
      </c>
      <c r="G2265" s="4">
        <v>45090</v>
      </c>
    </row>
    <row r="2266" spans="2:18">
      <c r="C2266" s="2" t="s">
        <v>5</v>
      </c>
      <c r="D2266" s="2" t="s">
        <v>2170</v>
      </c>
      <c r="E2266" s="3">
        <v>20</v>
      </c>
      <c r="F2266" s="3">
        <v>3</v>
      </c>
      <c r="G2266" s="4">
        <v>44044</v>
      </c>
    </row>
    <row r="2267" spans="2:18">
      <c r="G2267" s="4"/>
    </row>
    <row r="2268" spans="2:18">
      <c r="B2268" s="12" t="s">
        <v>1013</v>
      </c>
      <c r="C2268" s="13" t="s">
        <v>984</v>
      </c>
      <c r="D2268" s="13" t="s">
        <v>983</v>
      </c>
      <c r="E2268" s="15"/>
      <c r="F2268" s="15">
        <f>+F2269+F2270</f>
        <v>10.166666666666668</v>
      </c>
      <c r="G2268" s="14">
        <f>+G2269</f>
        <v>44417</v>
      </c>
    </row>
    <row r="2269" spans="2:18">
      <c r="C2269" s="2" t="s">
        <v>18</v>
      </c>
      <c r="D2269" s="2" t="s">
        <v>889</v>
      </c>
      <c r="E2269" s="3">
        <v>85</v>
      </c>
      <c r="F2269" s="3">
        <v>6</v>
      </c>
      <c r="G2269" s="4">
        <v>44417</v>
      </c>
    </row>
    <row r="2270" spans="2:18">
      <c r="C2270" s="2" t="s">
        <v>7</v>
      </c>
      <c r="D2270" s="2" t="s">
        <v>889</v>
      </c>
      <c r="E2270" s="3">
        <v>35</v>
      </c>
      <c r="F2270" s="3">
        <f>25/6</f>
        <v>4.166666666666667</v>
      </c>
      <c r="G2270" s="4">
        <v>44293</v>
      </c>
    </row>
    <row r="2271" spans="2:18">
      <c r="G2271" s="4"/>
    </row>
    <row r="2272" spans="2:18" s="12" customFormat="1">
      <c r="B2272" s="12" t="s">
        <v>750</v>
      </c>
      <c r="C2272" s="13" t="s">
        <v>984</v>
      </c>
      <c r="D2272" s="13" t="s">
        <v>983</v>
      </c>
      <c r="E2272" s="15"/>
      <c r="F2272" s="15">
        <f>SUM(F2273:F2275)</f>
        <v>9.8000000000000007</v>
      </c>
      <c r="G2272" s="14">
        <f>G2273</f>
        <v>44755</v>
      </c>
    </row>
    <row r="2273" spans="2:18">
      <c r="C2273" s="2" t="s">
        <v>7</v>
      </c>
      <c r="D2273" s="2" t="s">
        <v>747</v>
      </c>
      <c r="E2273" s="3">
        <v>25</v>
      </c>
      <c r="F2273" s="3">
        <f>15/5</f>
        <v>3</v>
      </c>
      <c r="G2273" s="4">
        <v>44755</v>
      </c>
    </row>
    <row r="2274" spans="2:18">
      <c r="C2274" s="2" t="s">
        <v>5</v>
      </c>
      <c r="D2274" s="2" t="s">
        <v>747</v>
      </c>
      <c r="E2274" s="3">
        <v>21</v>
      </c>
      <c r="F2274" s="3">
        <f>14/5</f>
        <v>2.8</v>
      </c>
      <c r="G2274" s="4">
        <v>44489</v>
      </c>
    </row>
    <row r="2275" spans="2:18">
      <c r="C2275" s="2" t="s">
        <v>4</v>
      </c>
      <c r="D2275" s="2" t="s">
        <v>747</v>
      </c>
      <c r="E2275" s="3">
        <v>9.1</v>
      </c>
      <c r="F2275" s="3">
        <v>4</v>
      </c>
      <c r="G2275" s="4">
        <v>44131</v>
      </c>
    </row>
    <row r="2276" spans="2:18">
      <c r="G2276" s="4"/>
    </row>
    <row r="2277" spans="2:18" s="12" customFormat="1">
      <c r="B2277" s="12" t="s">
        <v>669</v>
      </c>
      <c r="C2277" s="13" t="s">
        <v>984</v>
      </c>
      <c r="D2277" s="13" t="s">
        <v>983</v>
      </c>
      <c r="E2277" s="15"/>
      <c r="F2277" s="15">
        <f>SUM(F2278:F2282)</f>
        <v>10.45</v>
      </c>
      <c r="G2277" s="14">
        <f>G2278</f>
        <v>44579</v>
      </c>
      <c r="M2277" s="13"/>
      <c r="N2277" s="13"/>
      <c r="O2277" s="13"/>
      <c r="P2277" s="13"/>
      <c r="Q2277" s="13"/>
      <c r="R2277" s="13"/>
    </row>
    <row r="2278" spans="2:18">
      <c r="C2278" s="2" t="s">
        <v>5</v>
      </c>
      <c r="D2278" s="2" t="s">
        <v>667</v>
      </c>
      <c r="E2278" s="3">
        <v>12.6</v>
      </c>
      <c r="F2278" s="3">
        <v>3</v>
      </c>
      <c r="G2278" s="4">
        <v>44579</v>
      </c>
      <c r="M2278" s="1"/>
      <c r="N2278" s="1"/>
      <c r="O2278" s="1"/>
      <c r="P2278" s="1"/>
      <c r="Q2278" s="1"/>
      <c r="R2278" s="1"/>
    </row>
    <row r="2279" spans="2:18">
      <c r="C2279" s="2" t="s">
        <v>4</v>
      </c>
      <c r="D2279" s="2" t="s">
        <v>667</v>
      </c>
      <c r="E2279" s="3">
        <v>3</v>
      </c>
      <c r="F2279" s="3">
        <v>1</v>
      </c>
      <c r="G2279" s="4">
        <v>43999</v>
      </c>
      <c r="M2279" s="1"/>
      <c r="N2279" s="1"/>
      <c r="O2279" s="1"/>
      <c r="P2279" s="1"/>
      <c r="Q2279" s="1"/>
      <c r="R2279" s="1"/>
    </row>
    <row r="2280" spans="2:18">
      <c r="C2280" s="2" t="s">
        <v>7</v>
      </c>
      <c r="D2280" s="2" t="s">
        <v>317</v>
      </c>
      <c r="E2280" s="3">
        <v>40</v>
      </c>
      <c r="F2280" s="3">
        <v>4</v>
      </c>
      <c r="G2280" s="4">
        <v>43419</v>
      </c>
      <c r="M2280" s="1"/>
      <c r="N2280" s="1"/>
      <c r="O2280" s="1"/>
      <c r="P2280" s="1"/>
      <c r="Q2280" s="1"/>
      <c r="R2280" s="1"/>
    </row>
    <row r="2281" spans="2:18">
      <c r="C2281" s="2" t="s">
        <v>5</v>
      </c>
      <c r="D2281" s="2" t="s">
        <v>317</v>
      </c>
      <c r="E2281" s="3">
        <v>14.7</v>
      </c>
      <c r="F2281" s="3">
        <v>2.25</v>
      </c>
      <c r="G2281" s="4">
        <v>43032</v>
      </c>
      <c r="M2281" s="1"/>
      <c r="N2281" s="1"/>
      <c r="O2281" s="1"/>
      <c r="P2281" s="1"/>
      <c r="Q2281" s="1"/>
      <c r="R2281" s="1"/>
    </row>
    <row r="2282" spans="2:18">
      <c r="C2282" s="2" t="s">
        <v>4</v>
      </c>
      <c r="D2282" s="2" t="s">
        <v>309</v>
      </c>
      <c r="E2282" s="3">
        <v>1.8</v>
      </c>
      <c r="F2282" s="3">
        <v>0.2</v>
      </c>
      <c r="G2282" s="4">
        <v>42690</v>
      </c>
      <c r="M2282" s="1"/>
      <c r="N2282" s="1"/>
      <c r="O2282" s="1"/>
      <c r="P2282" s="1"/>
      <c r="Q2282" s="1"/>
      <c r="R2282" s="1"/>
    </row>
    <row r="2283" spans="2:18">
      <c r="G2283" s="4"/>
      <c r="M2283" s="1"/>
      <c r="N2283" s="1"/>
      <c r="O2283" s="1"/>
      <c r="P2283" s="1"/>
      <c r="Q2283" s="1"/>
      <c r="R2283" s="1"/>
    </row>
    <row r="2284" spans="2:18" s="12" customFormat="1">
      <c r="B2284" s="12" t="s">
        <v>1012</v>
      </c>
      <c r="C2284" s="13" t="s">
        <v>984</v>
      </c>
      <c r="D2284" s="13" t="s">
        <v>983</v>
      </c>
      <c r="E2284" s="15"/>
      <c r="F2284" s="15">
        <f>SUM(F2285:F2286)</f>
        <v>10.142857142857142</v>
      </c>
      <c r="G2284" s="14">
        <f>G2285</f>
        <v>44628</v>
      </c>
      <c r="M2284" s="13"/>
      <c r="N2284" s="13"/>
      <c r="O2284" s="13"/>
      <c r="P2284" s="13"/>
      <c r="Q2284" s="13"/>
      <c r="R2284" s="13"/>
    </row>
    <row r="2285" spans="2:18">
      <c r="C2285" s="2" t="s">
        <v>7</v>
      </c>
      <c r="D2285" s="2" t="s">
        <v>876</v>
      </c>
      <c r="E2285" s="3">
        <v>50</v>
      </c>
      <c r="F2285" s="3">
        <f>E2285/7</f>
        <v>7.1428571428571432</v>
      </c>
      <c r="G2285" s="4">
        <v>44628</v>
      </c>
    </row>
    <row r="2286" spans="2:18">
      <c r="C2286" s="2" t="s">
        <v>5</v>
      </c>
      <c r="D2286" s="2" t="s">
        <v>876</v>
      </c>
      <c r="E2286" s="3">
        <v>10</v>
      </c>
      <c r="F2286" s="3">
        <v>3</v>
      </c>
      <c r="G2286" s="4">
        <v>44378</v>
      </c>
    </row>
    <row r="2287" spans="2:18">
      <c r="G2287" s="4"/>
    </row>
    <row r="2288" spans="2:18" s="12" customFormat="1">
      <c r="B2288" s="12" t="s">
        <v>1011</v>
      </c>
      <c r="C2288" s="18" t="s">
        <v>984</v>
      </c>
      <c r="D2288" s="18" t="s">
        <v>983</v>
      </c>
      <c r="E2288" s="17"/>
      <c r="F2288" s="17">
        <f>SUM(F2289:F2291)</f>
        <v>10</v>
      </c>
      <c r="G2288" s="16">
        <f>G2289</f>
        <v>44963</v>
      </c>
      <c r="M2288" s="13"/>
      <c r="N2288" s="13"/>
      <c r="O2288" s="13"/>
      <c r="P2288" s="13"/>
      <c r="Q2288" s="13"/>
      <c r="R2288" s="13"/>
    </row>
    <row r="2289" spans="2:18">
      <c r="C2289" s="2" t="s">
        <v>5</v>
      </c>
      <c r="D2289" s="2" t="s">
        <v>1010</v>
      </c>
      <c r="E2289" s="3">
        <v>23</v>
      </c>
      <c r="F2289" s="3">
        <v>5</v>
      </c>
      <c r="G2289" s="4">
        <v>44963</v>
      </c>
    </row>
    <row r="2290" spans="2:18">
      <c r="C2290" s="2" t="s">
        <v>5</v>
      </c>
      <c r="D2290" s="2" t="s">
        <v>680</v>
      </c>
      <c r="E2290" s="3">
        <v>14</v>
      </c>
      <c r="F2290" s="3">
        <v>3</v>
      </c>
      <c r="G2290" s="4">
        <v>44705</v>
      </c>
    </row>
    <row r="2291" spans="2:18">
      <c r="C2291" s="2" t="s">
        <v>4</v>
      </c>
      <c r="D2291" s="2" t="s">
        <v>680</v>
      </c>
      <c r="E2291" s="3">
        <v>5</v>
      </c>
      <c r="F2291" s="3">
        <v>2</v>
      </c>
      <c r="G2291" s="4">
        <v>44578</v>
      </c>
    </row>
    <row r="2292" spans="2:18">
      <c r="G2292" s="4"/>
    </row>
    <row r="2293" spans="2:18" s="12" customFormat="1">
      <c r="B2293" s="12" t="s">
        <v>751</v>
      </c>
      <c r="C2293" s="13" t="s">
        <v>984</v>
      </c>
      <c r="D2293" s="13" t="s">
        <v>983</v>
      </c>
      <c r="E2293" s="15"/>
      <c r="F2293" s="15">
        <f>SUM(F2294:F2296)</f>
        <v>9.8000000000000007</v>
      </c>
      <c r="G2293" s="14">
        <f>G2294</f>
        <v>44755</v>
      </c>
    </row>
    <row r="2294" spans="2:18">
      <c r="C2294" s="2" t="s">
        <v>7</v>
      </c>
      <c r="D2294" s="2" t="s">
        <v>747</v>
      </c>
      <c r="E2294" s="3">
        <v>25</v>
      </c>
      <c r="F2294" s="3">
        <f>15/5</f>
        <v>3</v>
      </c>
      <c r="G2294" s="4">
        <v>44755</v>
      </c>
    </row>
    <row r="2295" spans="2:18">
      <c r="C2295" s="2" t="s">
        <v>5</v>
      </c>
      <c r="D2295" s="2" t="s">
        <v>747</v>
      </c>
      <c r="E2295" s="3">
        <v>21</v>
      </c>
      <c r="F2295" s="3">
        <f>14/5</f>
        <v>2.8</v>
      </c>
      <c r="G2295" s="4">
        <v>44489</v>
      </c>
    </row>
    <row r="2296" spans="2:18">
      <c r="C2296" s="2" t="s">
        <v>4</v>
      </c>
      <c r="D2296" s="2" t="s">
        <v>747</v>
      </c>
      <c r="E2296" s="3">
        <v>9.1</v>
      </c>
      <c r="F2296" s="3">
        <v>4</v>
      </c>
      <c r="G2296" s="4">
        <v>44131</v>
      </c>
    </row>
    <row r="2297" spans="2:18">
      <c r="G2297" s="4"/>
    </row>
    <row r="2298" spans="2:18" s="12" customFormat="1">
      <c r="B2298" s="12" t="s">
        <v>1009</v>
      </c>
      <c r="C2298" s="13" t="s">
        <v>984</v>
      </c>
      <c r="D2298" s="13" t="s">
        <v>983</v>
      </c>
      <c r="E2298" s="15"/>
      <c r="F2298" s="15">
        <f>SUM(F2299:F2300)</f>
        <v>10.142857142857142</v>
      </c>
      <c r="G2298" s="14">
        <f>G2299</f>
        <v>44628</v>
      </c>
      <c r="M2298" s="13"/>
      <c r="N2298" s="13"/>
      <c r="O2298" s="13"/>
      <c r="P2298" s="13"/>
      <c r="Q2298" s="13"/>
      <c r="R2298" s="13"/>
    </row>
    <row r="2299" spans="2:18">
      <c r="C2299" s="2" t="s">
        <v>7</v>
      </c>
      <c r="D2299" s="2" t="s">
        <v>876</v>
      </c>
      <c r="E2299" s="3">
        <v>50</v>
      </c>
      <c r="F2299" s="3">
        <f>E2299/7</f>
        <v>7.1428571428571432</v>
      </c>
      <c r="G2299" s="4">
        <v>44628</v>
      </c>
    </row>
    <row r="2300" spans="2:18">
      <c r="C2300" s="2" t="s">
        <v>5</v>
      </c>
      <c r="D2300" s="2" t="s">
        <v>876</v>
      </c>
      <c r="E2300" s="3">
        <v>10</v>
      </c>
      <c r="F2300" s="3">
        <v>3</v>
      </c>
      <c r="G2300" s="4">
        <v>44378</v>
      </c>
    </row>
    <row r="2301" spans="2:18">
      <c r="G2301" s="4"/>
    </row>
    <row r="2302" spans="2:18" s="12" customFormat="1">
      <c r="B2302" s="12" t="s">
        <v>1008</v>
      </c>
      <c r="C2302" s="13" t="s">
        <v>984</v>
      </c>
      <c r="D2302" s="13" t="s">
        <v>983</v>
      </c>
      <c r="E2302" s="15"/>
      <c r="F2302" s="15">
        <f>SUM(F2303:F2306)</f>
        <v>10</v>
      </c>
      <c r="G2302" s="14">
        <f>G2306</f>
        <v>44578</v>
      </c>
      <c r="M2302" s="13"/>
      <c r="N2302" s="13"/>
      <c r="O2302" s="13"/>
      <c r="P2302" s="13"/>
      <c r="Q2302" s="13"/>
      <c r="R2302" s="13"/>
    </row>
    <row r="2303" spans="2:18">
      <c r="C2303" s="2" t="s">
        <v>5</v>
      </c>
      <c r="D2303" s="2" t="s">
        <v>885</v>
      </c>
      <c r="E2303" s="3">
        <v>30</v>
      </c>
      <c r="F2303" s="3">
        <v>4</v>
      </c>
      <c r="G2303" s="4">
        <v>44522</v>
      </c>
    </row>
    <row r="2304" spans="2:18">
      <c r="C2304" s="2" t="s">
        <v>4</v>
      </c>
      <c r="D2304" s="2" t="s">
        <v>885</v>
      </c>
      <c r="E2304" s="3">
        <v>5.5</v>
      </c>
      <c r="F2304" s="3">
        <v>1</v>
      </c>
      <c r="G2304" s="4">
        <v>44096</v>
      </c>
    </row>
    <row r="2305" spans="2:18">
      <c r="C2305" s="2" t="s">
        <v>4</v>
      </c>
      <c r="D2305" s="2" t="s">
        <v>885</v>
      </c>
      <c r="E2305" s="3">
        <v>2</v>
      </c>
      <c r="F2305" s="3">
        <v>2</v>
      </c>
      <c r="G2305" s="4">
        <v>43862</v>
      </c>
    </row>
    <row r="2306" spans="2:18">
      <c r="C2306" s="2" t="s">
        <v>5</v>
      </c>
      <c r="D2306" s="2" t="s">
        <v>831</v>
      </c>
      <c r="E2306" s="3">
        <v>20</v>
      </c>
      <c r="F2306" s="3">
        <v>3</v>
      </c>
      <c r="G2306" s="4">
        <v>44578</v>
      </c>
    </row>
    <row r="2308" spans="2:18" s="12" customFormat="1">
      <c r="B2308" s="12" t="s">
        <v>1007</v>
      </c>
      <c r="C2308" s="13" t="s">
        <v>984</v>
      </c>
      <c r="D2308" s="13" t="s">
        <v>983</v>
      </c>
      <c r="E2308" s="15"/>
      <c r="F2308" s="15">
        <f>SUM(F2309:F2314)</f>
        <v>9.5499999999999989</v>
      </c>
      <c r="G2308" s="14">
        <f>G2313</f>
        <v>44637</v>
      </c>
    </row>
    <row r="2309" spans="2:18">
      <c r="C2309" s="2" t="s">
        <v>18</v>
      </c>
      <c r="D2309" s="2" t="s">
        <v>617</v>
      </c>
      <c r="E2309" s="3">
        <v>48</v>
      </c>
      <c r="F2309" s="3">
        <v>4</v>
      </c>
      <c r="G2309" s="4">
        <v>43888</v>
      </c>
      <c r="M2309" s="1"/>
      <c r="N2309" s="1"/>
      <c r="O2309" s="1"/>
      <c r="P2309" s="1"/>
      <c r="Q2309" s="1"/>
      <c r="R2309" s="1"/>
    </row>
    <row r="2310" spans="2:18">
      <c r="C2310" s="2" t="s">
        <v>7</v>
      </c>
      <c r="D2310" s="2" t="s">
        <v>617</v>
      </c>
      <c r="E2310" s="3">
        <v>25</v>
      </c>
      <c r="F2310" s="3">
        <v>2</v>
      </c>
      <c r="G2310" s="4">
        <v>43440</v>
      </c>
      <c r="M2310" s="1"/>
      <c r="N2310" s="1"/>
      <c r="O2310" s="1"/>
      <c r="P2310" s="1"/>
      <c r="Q2310" s="1"/>
      <c r="R2310" s="1"/>
    </row>
    <row r="2311" spans="2:18">
      <c r="C2311" s="2" t="s">
        <v>5</v>
      </c>
      <c r="D2311" s="2" t="s">
        <v>617</v>
      </c>
      <c r="E2311" s="3">
        <v>5.8</v>
      </c>
      <c r="F2311" s="3">
        <f>E2311/4</f>
        <v>1.45</v>
      </c>
      <c r="G2311" s="4">
        <v>43117</v>
      </c>
      <c r="M2311" s="1"/>
      <c r="N2311" s="1"/>
      <c r="O2311" s="1"/>
      <c r="P2311" s="1"/>
      <c r="Q2311" s="1"/>
      <c r="R2311" s="1"/>
    </row>
    <row r="2312" spans="2:18">
      <c r="C2312" s="2" t="s">
        <v>4</v>
      </c>
      <c r="D2312" s="2" t="s">
        <v>617</v>
      </c>
      <c r="E2312" s="3">
        <v>3.3</v>
      </c>
      <c r="F2312" s="3">
        <v>0.5</v>
      </c>
      <c r="G2312" s="4">
        <v>42678</v>
      </c>
      <c r="M2312" s="1"/>
      <c r="N2312" s="1"/>
      <c r="O2312" s="1"/>
      <c r="P2312" s="1"/>
      <c r="Q2312" s="1"/>
      <c r="R2312" s="1"/>
    </row>
    <row r="2313" spans="2:18">
      <c r="C2313" s="2" t="s">
        <v>5</v>
      </c>
      <c r="D2313" s="2" t="s">
        <v>309</v>
      </c>
      <c r="E2313" s="3">
        <v>10</v>
      </c>
      <c r="F2313" s="3">
        <v>1.4</v>
      </c>
      <c r="G2313" s="4">
        <v>44637</v>
      </c>
      <c r="M2313" s="1"/>
      <c r="N2313" s="1"/>
      <c r="O2313" s="1"/>
      <c r="P2313" s="1"/>
      <c r="Q2313" s="1"/>
      <c r="R2313" s="1"/>
    </row>
    <row r="2314" spans="2:18">
      <c r="C2314" s="2" t="s">
        <v>4</v>
      </c>
      <c r="D2314" s="2" t="s">
        <v>309</v>
      </c>
      <c r="E2314" s="3">
        <v>1.8</v>
      </c>
      <c r="F2314" s="3">
        <v>0.2</v>
      </c>
      <c r="G2314" s="4">
        <v>42690</v>
      </c>
      <c r="M2314" s="1"/>
      <c r="N2314" s="1"/>
      <c r="O2314" s="1"/>
      <c r="P2314" s="1"/>
      <c r="Q2314" s="1"/>
      <c r="R2314" s="1"/>
    </row>
    <row r="2315" spans="2:18">
      <c r="G2315" s="4"/>
      <c r="M2315" s="1"/>
      <c r="N2315" s="1"/>
      <c r="O2315" s="1"/>
      <c r="P2315" s="1"/>
      <c r="Q2315" s="1"/>
      <c r="R2315" s="1"/>
    </row>
    <row r="2316" spans="2:18" s="12" customFormat="1">
      <c r="B2316" s="12" t="s">
        <v>281</v>
      </c>
      <c r="C2316" s="13" t="s">
        <v>984</v>
      </c>
      <c r="D2316" s="13" t="s">
        <v>983</v>
      </c>
      <c r="E2316" s="15"/>
      <c r="F2316" s="15">
        <f>SUM(F2317:F2318)</f>
        <v>8.9285714285714288</v>
      </c>
      <c r="G2316" s="14">
        <f>G2317</f>
        <v>44622</v>
      </c>
      <c r="M2316" s="13"/>
      <c r="N2316" s="13"/>
      <c r="O2316" s="13"/>
      <c r="P2316" s="13"/>
      <c r="Q2316" s="13"/>
      <c r="R2316" s="13"/>
    </row>
    <row r="2317" spans="2:18">
      <c r="C2317" s="2" t="s">
        <v>8</v>
      </c>
      <c r="D2317" s="2" t="s">
        <v>265</v>
      </c>
      <c r="E2317" s="3">
        <v>111</v>
      </c>
      <c r="F2317" s="3">
        <f>97/14</f>
        <v>6.9285714285714288</v>
      </c>
      <c r="G2317" s="4">
        <v>44622</v>
      </c>
    </row>
    <row r="2318" spans="2:18">
      <c r="C2318" s="2" t="s">
        <v>7</v>
      </c>
      <c r="D2318" s="2" t="s">
        <v>265</v>
      </c>
      <c r="E2318" s="3">
        <v>16</v>
      </c>
      <c r="F2318" s="3">
        <v>2</v>
      </c>
      <c r="G2318" s="4">
        <v>44009</v>
      </c>
    </row>
    <row r="2319" spans="2:18">
      <c r="G2319" s="4"/>
    </row>
    <row r="2320" spans="2:18" s="12" customFormat="1">
      <c r="B2320" s="12" t="s">
        <v>636</v>
      </c>
      <c r="C2320" s="13" t="s">
        <v>984</v>
      </c>
      <c r="D2320" s="13" t="s">
        <v>983</v>
      </c>
      <c r="E2320" s="15"/>
      <c r="F2320" s="15">
        <f>SUM(F2321:F2322)</f>
        <v>9.3333333333333321</v>
      </c>
      <c r="G2320" s="14">
        <f>G2321</f>
        <v>44930</v>
      </c>
    </row>
    <row r="2321" spans="2:18">
      <c r="C2321" s="2" t="s">
        <v>5</v>
      </c>
      <c r="D2321" s="2" t="s">
        <v>635</v>
      </c>
      <c r="E2321" s="3">
        <v>10</v>
      </c>
      <c r="F2321" s="3">
        <v>2</v>
      </c>
      <c r="G2321" s="4">
        <v>44930</v>
      </c>
      <c r="M2321" s="1"/>
      <c r="N2321" s="1"/>
      <c r="O2321" s="1"/>
      <c r="P2321" s="1"/>
      <c r="Q2321" s="1"/>
      <c r="R2321" s="1"/>
    </row>
    <row r="2322" spans="2:18">
      <c r="C2322" s="86" t="s">
        <v>5</v>
      </c>
      <c r="D2322" s="86" t="s">
        <v>2157</v>
      </c>
      <c r="E2322" s="3">
        <v>52.3</v>
      </c>
      <c r="F2322" s="3">
        <f>22/3</f>
        <v>7.333333333333333</v>
      </c>
      <c r="G2322" s="4">
        <v>43348</v>
      </c>
      <c r="J2322" s="1">
        <v>700</v>
      </c>
      <c r="M2322" s="1"/>
      <c r="N2322" s="1"/>
      <c r="O2322" s="1"/>
      <c r="P2322" s="1"/>
      <c r="Q2322" s="1"/>
      <c r="R2322" s="1"/>
    </row>
    <row r="2323" spans="2:18">
      <c r="G2323" s="4"/>
      <c r="M2323" s="1"/>
      <c r="N2323" s="1"/>
      <c r="O2323" s="1"/>
      <c r="P2323" s="1"/>
      <c r="Q2323" s="1"/>
      <c r="R2323" s="1"/>
    </row>
    <row r="2324" spans="2:18" s="12" customFormat="1">
      <c r="B2324" s="12" t="s">
        <v>274</v>
      </c>
      <c r="C2324" s="13" t="s">
        <v>984</v>
      </c>
      <c r="D2324" s="13" t="s">
        <v>983</v>
      </c>
      <c r="E2324" s="15"/>
      <c r="F2324" s="15">
        <f>SUM(F2325:F2327)</f>
        <v>9.2916666666666661</v>
      </c>
      <c r="G2324" s="14">
        <f>G2325</f>
        <v>44314</v>
      </c>
      <c r="M2324" s="13"/>
      <c r="N2324" s="13"/>
      <c r="O2324" s="13"/>
      <c r="P2324" s="13"/>
      <c r="Q2324" s="13"/>
      <c r="R2324" s="13"/>
    </row>
    <row r="2325" spans="2:18">
      <c r="C2325" s="2" t="s">
        <v>18</v>
      </c>
      <c r="D2325" s="2" t="s">
        <v>265</v>
      </c>
      <c r="E2325" s="3">
        <v>55</v>
      </c>
      <c r="F2325" s="3">
        <v>5.625</v>
      </c>
      <c r="G2325" s="4">
        <v>44314</v>
      </c>
    </row>
    <row r="2326" spans="2:18">
      <c r="C2326" s="2" t="s">
        <v>7</v>
      </c>
      <c r="D2326" s="2" t="s">
        <v>265</v>
      </c>
      <c r="E2326" s="3">
        <v>16</v>
      </c>
      <c r="F2326" s="3">
        <v>2</v>
      </c>
      <c r="G2326" s="4">
        <v>44009</v>
      </c>
    </row>
    <row r="2327" spans="2:18">
      <c r="C2327" s="2" t="s">
        <v>5</v>
      </c>
      <c r="D2327" s="2" t="s">
        <v>265</v>
      </c>
      <c r="E2327" s="3">
        <v>14</v>
      </c>
      <c r="F2327" s="3">
        <v>1.6666666666666667</v>
      </c>
      <c r="G2327" s="4">
        <v>43690</v>
      </c>
    </row>
    <row r="2328" spans="2:18">
      <c r="G2328" s="4"/>
    </row>
    <row r="2329" spans="2:18" s="12" customFormat="1">
      <c r="B2329" s="12" t="s">
        <v>283</v>
      </c>
      <c r="C2329" s="13" t="s">
        <v>984</v>
      </c>
      <c r="D2329" s="13" t="s">
        <v>983</v>
      </c>
      <c r="E2329" s="15"/>
      <c r="F2329" s="15">
        <f>SUM(F2330:F2331)</f>
        <v>8.9285714285714288</v>
      </c>
      <c r="G2329" s="14">
        <f>G2330</f>
        <v>44622</v>
      </c>
      <c r="M2329" s="13"/>
      <c r="N2329" s="13"/>
      <c r="O2329" s="13"/>
      <c r="P2329" s="13"/>
      <c r="Q2329" s="13"/>
      <c r="R2329" s="13"/>
    </row>
    <row r="2330" spans="2:18">
      <c r="C2330" s="2" t="s">
        <v>8</v>
      </c>
      <c r="D2330" s="2" t="s">
        <v>265</v>
      </c>
      <c r="E2330" s="3">
        <v>111</v>
      </c>
      <c r="F2330" s="3">
        <f>97/14</f>
        <v>6.9285714285714288</v>
      </c>
      <c r="G2330" s="4">
        <v>44622</v>
      </c>
    </row>
    <row r="2331" spans="2:18">
      <c r="C2331" s="2" t="s">
        <v>7</v>
      </c>
      <c r="D2331" s="2" t="s">
        <v>265</v>
      </c>
      <c r="E2331" s="3">
        <v>16</v>
      </c>
      <c r="F2331" s="3">
        <v>2</v>
      </c>
      <c r="G2331" s="4">
        <v>44009</v>
      </c>
    </row>
    <row r="2332" spans="2:18">
      <c r="G2332" s="4"/>
    </row>
    <row r="2333" spans="2:18" s="12" customFormat="1">
      <c r="B2333" s="12" t="s">
        <v>884</v>
      </c>
      <c r="C2333" s="13" t="s">
        <v>984</v>
      </c>
      <c r="D2333" s="13" t="s">
        <v>983</v>
      </c>
      <c r="E2333" s="15"/>
      <c r="F2333" s="15">
        <f>SUM(F2334:F2335)</f>
        <v>8.8000000000000007</v>
      </c>
      <c r="G2333" s="14">
        <f>G2335</f>
        <v>44238</v>
      </c>
      <c r="M2333" s="13"/>
      <c r="N2333" s="13"/>
      <c r="O2333" s="13"/>
      <c r="P2333" s="13"/>
      <c r="Q2333" s="13"/>
      <c r="R2333" s="13"/>
    </row>
    <row r="2334" spans="2:18">
      <c r="C2334" s="2" t="s">
        <v>5</v>
      </c>
      <c r="D2334" s="2" t="s">
        <v>883</v>
      </c>
      <c r="E2334" s="3">
        <v>21.4</v>
      </c>
      <c r="F2334" s="3">
        <f>11.4/3</f>
        <v>3.8000000000000003</v>
      </c>
      <c r="G2334" s="4">
        <v>44232</v>
      </c>
    </row>
    <row r="2335" spans="2:18">
      <c r="C2335" s="96" t="s">
        <v>18</v>
      </c>
      <c r="D2335" s="96" t="s">
        <v>2147</v>
      </c>
      <c r="E2335" s="3">
        <v>40</v>
      </c>
      <c r="F2335" s="3">
        <v>5</v>
      </c>
      <c r="G2335" s="4">
        <v>44238</v>
      </c>
      <c r="J2335" s="1">
        <v>790</v>
      </c>
    </row>
    <row r="2336" spans="2:18">
      <c r="G2336" s="4"/>
    </row>
    <row r="2337" spans="2:18" s="12" customFormat="1">
      <c r="B2337" s="12" t="s">
        <v>675</v>
      </c>
      <c r="C2337" s="13" t="s">
        <v>984</v>
      </c>
      <c r="D2337" s="13" t="s">
        <v>983</v>
      </c>
      <c r="E2337" s="15"/>
      <c r="F2337" s="15">
        <f>SUM(F2338:F2339)</f>
        <v>9</v>
      </c>
      <c r="G2337" s="14">
        <f>G2339</f>
        <v>44887</v>
      </c>
      <c r="M2337" s="13"/>
      <c r="N2337" s="13"/>
      <c r="O2337" s="13"/>
      <c r="P2337" s="13"/>
      <c r="Q2337" s="13"/>
      <c r="R2337" s="13"/>
    </row>
    <row r="2338" spans="2:18">
      <c r="C2338" s="2" t="s">
        <v>5</v>
      </c>
      <c r="D2338" s="2" t="s">
        <v>674</v>
      </c>
      <c r="E2338" s="3">
        <v>17</v>
      </c>
      <c r="F2338" s="3">
        <v>6</v>
      </c>
      <c r="G2338" s="4">
        <v>44679</v>
      </c>
      <c r="M2338" s="1"/>
      <c r="N2338" s="1"/>
      <c r="O2338" s="1"/>
      <c r="P2338" s="1"/>
      <c r="Q2338" s="1"/>
      <c r="R2338" s="1"/>
    </row>
    <row r="2339" spans="2:18">
      <c r="C2339" s="2" t="s">
        <v>4</v>
      </c>
      <c r="D2339" s="2" t="s">
        <v>584</v>
      </c>
      <c r="E2339" s="3">
        <v>10</v>
      </c>
      <c r="F2339" s="3">
        <v>3</v>
      </c>
      <c r="G2339" s="4">
        <v>44887</v>
      </c>
      <c r="M2339" s="1"/>
      <c r="N2339" s="1"/>
      <c r="O2339" s="1"/>
      <c r="P2339" s="1"/>
      <c r="Q2339" s="1"/>
      <c r="R2339" s="1"/>
    </row>
    <row r="2340" spans="2:18">
      <c r="G2340" s="4"/>
      <c r="M2340" s="1"/>
      <c r="N2340" s="1"/>
      <c r="O2340" s="1"/>
      <c r="P2340" s="1"/>
      <c r="Q2340" s="1"/>
      <c r="R2340" s="1"/>
    </row>
    <row r="2341" spans="2:18" s="12" customFormat="1">
      <c r="B2341" s="12" t="s">
        <v>1006</v>
      </c>
      <c r="C2341" s="13" t="s">
        <v>984</v>
      </c>
      <c r="D2341" s="13" t="s">
        <v>983</v>
      </c>
      <c r="E2341" s="15"/>
      <c r="F2341" s="15">
        <f>SUM(F2342:F2343)</f>
        <v>8.8000000000000007</v>
      </c>
      <c r="G2341" s="14">
        <f>G2343</f>
        <v>44455</v>
      </c>
      <c r="M2341" s="13"/>
      <c r="N2341" s="13"/>
      <c r="O2341" s="13"/>
      <c r="P2341" s="13"/>
      <c r="Q2341" s="13"/>
      <c r="R2341" s="13"/>
    </row>
    <row r="2342" spans="2:18">
      <c r="C2342" s="2" t="s">
        <v>5</v>
      </c>
      <c r="D2342" s="2" t="s">
        <v>883</v>
      </c>
      <c r="E2342" s="3">
        <v>21.4</v>
      </c>
      <c r="F2342" s="3">
        <f>11.4/3</f>
        <v>3.8000000000000003</v>
      </c>
      <c r="G2342" s="4">
        <v>44232</v>
      </c>
    </row>
    <row r="2343" spans="2:18">
      <c r="C2343" s="2" t="s">
        <v>5</v>
      </c>
      <c r="D2343" s="2" t="s">
        <v>732</v>
      </c>
      <c r="E2343" s="3">
        <v>20</v>
      </c>
      <c r="F2343" s="3">
        <v>5</v>
      </c>
      <c r="G2343" s="4">
        <v>44455</v>
      </c>
    </row>
    <row r="2344" spans="2:18">
      <c r="G2344" s="4"/>
    </row>
    <row r="2345" spans="2:18" s="12" customFormat="1">
      <c r="B2345" s="12" t="s">
        <v>467</v>
      </c>
      <c r="C2345" s="13" t="s">
        <v>984</v>
      </c>
      <c r="D2345" s="13" t="s">
        <v>983</v>
      </c>
      <c r="E2345" s="15"/>
      <c r="F2345" s="15">
        <f>SUM(F2346:F2347)</f>
        <v>8.3000000000000007</v>
      </c>
      <c r="G2345" s="14">
        <f>G2346</f>
        <v>44600</v>
      </c>
    </row>
    <row r="2346" spans="2:18">
      <c r="C2346" s="2" t="s">
        <v>7</v>
      </c>
      <c r="D2346" s="2" t="s">
        <v>464</v>
      </c>
      <c r="E2346" s="3">
        <v>26.8</v>
      </c>
      <c r="F2346" s="3">
        <v>4</v>
      </c>
      <c r="G2346" s="4">
        <v>44600</v>
      </c>
      <c r="M2346" s="1"/>
      <c r="N2346" s="1"/>
      <c r="O2346" s="1"/>
      <c r="P2346" s="1"/>
      <c r="Q2346" s="1"/>
      <c r="R2346" s="1"/>
    </row>
    <row r="2347" spans="2:18">
      <c r="C2347" s="2" t="s">
        <v>5</v>
      </c>
      <c r="D2347" s="2" t="s">
        <v>464</v>
      </c>
      <c r="E2347" s="3">
        <v>8.3000000000000007</v>
      </c>
      <c r="F2347" s="3">
        <v>4.3</v>
      </c>
      <c r="G2347" s="4">
        <v>44053</v>
      </c>
      <c r="M2347" s="1"/>
      <c r="N2347" s="1"/>
      <c r="O2347" s="1"/>
      <c r="P2347" s="1"/>
      <c r="Q2347" s="1"/>
      <c r="R2347" s="1"/>
    </row>
    <row r="2348" spans="2:18">
      <c r="G2348" s="4"/>
      <c r="M2348" s="1"/>
      <c r="N2348" s="1"/>
      <c r="O2348" s="1"/>
      <c r="P2348" s="1"/>
      <c r="Q2348" s="1"/>
      <c r="R2348" s="1"/>
    </row>
    <row r="2349" spans="2:18" s="12" customFormat="1">
      <c r="B2349" s="12" t="s">
        <v>568</v>
      </c>
      <c r="C2349" s="13" t="s">
        <v>984</v>
      </c>
      <c r="D2349" s="13" t="s">
        <v>983</v>
      </c>
      <c r="E2349" s="15"/>
      <c r="F2349" s="15">
        <f>SUM(F2350:F2351)</f>
        <v>7.5</v>
      </c>
      <c r="G2349" s="14">
        <f>G2350</f>
        <v>45077</v>
      </c>
    </row>
    <row r="2350" spans="2:18">
      <c r="C2350" s="2" t="s">
        <v>7</v>
      </c>
      <c r="D2350" s="2" t="s">
        <v>558</v>
      </c>
      <c r="E2350" s="3">
        <v>20</v>
      </c>
      <c r="F2350" s="3">
        <f>12/6</f>
        <v>2</v>
      </c>
      <c r="G2350" s="4">
        <v>45077</v>
      </c>
      <c r="M2350" s="1"/>
      <c r="N2350" s="1"/>
      <c r="O2350" s="1"/>
      <c r="P2350" s="1"/>
      <c r="Q2350" s="1"/>
      <c r="R2350" s="1"/>
    </row>
    <row r="2351" spans="2:18">
      <c r="C2351" s="2" t="s">
        <v>5</v>
      </c>
      <c r="D2351" s="2" t="s">
        <v>558</v>
      </c>
      <c r="E2351" s="3">
        <v>10.5</v>
      </c>
      <c r="F2351" s="3">
        <v>5.5</v>
      </c>
      <c r="G2351" s="4">
        <v>44341</v>
      </c>
      <c r="M2351" s="1"/>
      <c r="N2351" s="1"/>
      <c r="O2351" s="1"/>
      <c r="P2351" s="1"/>
      <c r="Q2351" s="1"/>
      <c r="R2351" s="1"/>
    </row>
    <row r="2352" spans="2:18">
      <c r="G2352" s="4"/>
      <c r="M2352" s="1"/>
      <c r="N2352" s="1"/>
      <c r="O2352" s="1"/>
      <c r="P2352" s="1"/>
      <c r="Q2352" s="1"/>
      <c r="R2352" s="1"/>
    </row>
    <row r="2353" spans="2:18" s="12" customFormat="1">
      <c r="B2353" s="12" t="s">
        <v>458</v>
      </c>
      <c r="C2353" s="13" t="s">
        <v>984</v>
      </c>
      <c r="D2353" s="13" t="s">
        <v>983</v>
      </c>
      <c r="E2353" s="15"/>
      <c r="F2353" s="15">
        <f>SUM(F2354:F2355)</f>
        <v>8.2954545454545467</v>
      </c>
      <c r="G2353" s="14">
        <f>G2354</f>
        <v>44776</v>
      </c>
    </row>
    <row r="2354" spans="2:18">
      <c r="C2354" s="2" t="s">
        <v>8</v>
      </c>
      <c r="D2354" s="2" t="s">
        <v>456</v>
      </c>
      <c r="E2354" s="3">
        <v>90</v>
      </c>
      <c r="F2354" s="3">
        <f>50/11</f>
        <v>4.5454545454545459</v>
      </c>
      <c r="G2354" s="4">
        <v>44776</v>
      </c>
      <c r="M2354" s="1"/>
      <c r="N2354" s="1"/>
      <c r="O2354" s="1"/>
      <c r="P2354" s="1"/>
      <c r="Q2354" s="1"/>
      <c r="R2354" s="1"/>
    </row>
    <row r="2355" spans="2:18">
      <c r="C2355" s="2" t="s">
        <v>18</v>
      </c>
      <c r="D2355" s="2" t="s">
        <v>456</v>
      </c>
      <c r="E2355" s="3">
        <v>40</v>
      </c>
      <c r="F2355" s="3">
        <v>3.75</v>
      </c>
      <c r="G2355" s="4">
        <v>44176</v>
      </c>
      <c r="M2355" s="1"/>
      <c r="N2355" s="1"/>
      <c r="O2355" s="1"/>
      <c r="P2355" s="1"/>
      <c r="Q2355" s="1"/>
      <c r="R2355" s="1"/>
    </row>
    <row r="2356" spans="2:18">
      <c r="G2356" s="4"/>
      <c r="M2356" s="1"/>
      <c r="N2356" s="1"/>
      <c r="O2356" s="1"/>
      <c r="P2356" s="1"/>
      <c r="Q2356" s="1"/>
      <c r="R2356" s="1"/>
    </row>
    <row r="2357" spans="2:18" s="12" customFormat="1">
      <c r="B2357" s="12" t="s">
        <v>440</v>
      </c>
      <c r="C2357" s="13" t="s">
        <v>984</v>
      </c>
      <c r="D2357" s="13" t="s">
        <v>983</v>
      </c>
      <c r="E2357" s="15"/>
      <c r="F2357" s="15">
        <f>SUM(F2358:F2359)</f>
        <v>8</v>
      </c>
      <c r="G2357" s="14">
        <f>G2359</f>
        <v>43355</v>
      </c>
    </row>
    <row r="2358" spans="2:18">
      <c r="C2358" s="2" t="s">
        <v>5</v>
      </c>
      <c r="D2358" s="2" t="s">
        <v>439</v>
      </c>
      <c r="E2358" s="3">
        <v>15</v>
      </c>
      <c r="F2358" s="3">
        <v>3</v>
      </c>
      <c r="G2358" s="4">
        <v>42690</v>
      </c>
      <c r="M2358" s="1"/>
      <c r="N2358" s="1"/>
      <c r="O2358" s="1"/>
      <c r="P2358" s="1"/>
      <c r="Q2358" s="1"/>
      <c r="R2358" s="1"/>
    </row>
    <row r="2359" spans="2:18">
      <c r="C2359" s="2" t="s">
        <v>5</v>
      </c>
      <c r="D2359" s="2" t="s">
        <v>438</v>
      </c>
      <c r="E2359" s="3">
        <v>5</v>
      </c>
      <c r="F2359" s="3">
        <v>5</v>
      </c>
      <c r="G2359" s="4">
        <v>43355</v>
      </c>
      <c r="M2359" s="1"/>
      <c r="N2359" s="1"/>
      <c r="O2359" s="1"/>
      <c r="P2359" s="1"/>
      <c r="Q2359" s="1"/>
      <c r="R2359" s="1"/>
    </row>
    <row r="2360" spans="2:18">
      <c r="G2360" s="4"/>
      <c r="M2360" s="1"/>
      <c r="N2360" s="1"/>
      <c r="O2360" s="1"/>
      <c r="P2360" s="1"/>
      <c r="Q2360" s="1"/>
      <c r="R2360" s="1"/>
    </row>
    <row r="2361" spans="2:18" s="12" customFormat="1">
      <c r="B2361" s="12" t="s">
        <v>746</v>
      </c>
      <c r="C2361" s="13" t="s">
        <v>984</v>
      </c>
      <c r="D2361" s="13" t="s">
        <v>983</v>
      </c>
      <c r="E2361" s="15"/>
      <c r="F2361" s="15">
        <f>SUM(F2362:F2363)</f>
        <v>7.5</v>
      </c>
      <c r="G2361" s="14">
        <f>G2362</f>
        <v>44757</v>
      </c>
    </row>
    <row r="2362" spans="2:18">
      <c r="C2362" s="2" t="s">
        <v>5</v>
      </c>
      <c r="D2362" s="2" t="s">
        <v>742</v>
      </c>
      <c r="E2362" s="3">
        <v>25</v>
      </c>
      <c r="F2362" s="3">
        <v>7</v>
      </c>
      <c r="G2362" s="4">
        <v>44757</v>
      </c>
    </row>
    <row r="2363" spans="2:18">
      <c r="C2363" s="2" t="s">
        <v>4</v>
      </c>
      <c r="D2363" s="2" t="s">
        <v>742</v>
      </c>
      <c r="E2363" s="3">
        <v>4</v>
      </c>
      <c r="F2363" s="3">
        <v>0.5</v>
      </c>
      <c r="G2363" s="4">
        <v>44340</v>
      </c>
    </row>
    <row r="2364" spans="2:18">
      <c r="G2364" s="4"/>
    </row>
    <row r="2365" spans="2:18" s="12" customFormat="1">
      <c r="B2365" s="12" t="s">
        <v>1005</v>
      </c>
      <c r="C2365" s="13" t="s">
        <v>984</v>
      </c>
      <c r="D2365" s="13" t="s">
        <v>983</v>
      </c>
      <c r="E2365" s="15"/>
      <c r="F2365" s="15">
        <f>SUM(F2366:F2367)</f>
        <v>7.5</v>
      </c>
      <c r="G2365" s="14">
        <f>G2366</f>
        <v>44796</v>
      </c>
      <c r="M2365" s="13"/>
      <c r="N2365" s="13"/>
      <c r="O2365" s="13"/>
      <c r="P2365" s="13"/>
      <c r="Q2365" s="13"/>
      <c r="R2365" s="13"/>
    </row>
    <row r="2366" spans="2:18">
      <c r="C2366" s="2" t="s">
        <v>5</v>
      </c>
      <c r="D2366" s="2" t="s">
        <v>712</v>
      </c>
      <c r="E2366" s="3">
        <v>50</v>
      </c>
      <c r="F2366" s="3">
        <f>30/12</f>
        <v>2.5</v>
      </c>
      <c r="G2366" s="4">
        <v>44796</v>
      </c>
    </row>
    <row r="2367" spans="2:18">
      <c r="C2367" s="2" t="s">
        <v>4</v>
      </c>
      <c r="D2367" s="2" t="s">
        <v>712</v>
      </c>
      <c r="E2367" s="3">
        <v>12.5</v>
      </c>
      <c r="F2367" s="3">
        <v>5</v>
      </c>
      <c r="G2367" s="4">
        <v>44623</v>
      </c>
    </row>
    <row r="2369" spans="2:18" s="12" customFormat="1">
      <c r="B2369" s="12" t="s">
        <v>383</v>
      </c>
      <c r="C2369" s="13" t="s">
        <v>984</v>
      </c>
      <c r="D2369" s="13" t="s">
        <v>983</v>
      </c>
      <c r="E2369" s="15"/>
      <c r="F2369" s="15">
        <f>SUM(F2370:F2371)</f>
        <v>8</v>
      </c>
      <c r="G2369" s="14">
        <f>G2370</f>
        <v>43909</v>
      </c>
    </row>
    <row r="2370" spans="2:18">
      <c r="C2370" s="2" t="s">
        <v>7</v>
      </c>
      <c r="D2370" s="2" t="s">
        <v>381</v>
      </c>
      <c r="E2370" s="3">
        <v>44</v>
      </c>
      <c r="F2370" s="3">
        <f>30/6</f>
        <v>5</v>
      </c>
      <c r="G2370" s="4">
        <v>43909</v>
      </c>
      <c r="M2370" s="1"/>
      <c r="N2370" s="1"/>
      <c r="O2370" s="1"/>
      <c r="P2370" s="1"/>
      <c r="Q2370" s="1"/>
      <c r="R2370" s="1"/>
    </row>
    <row r="2371" spans="2:18">
      <c r="C2371" s="2" t="s">
        <v>5</v>
      </c>
      <c r="D2371" s="2" t="s">
        <v>381</v>
      </c>
      <c r="E2371" s="3">
        <v>15</v>
      </c>
      <c r="F2371" s="3">
        <v>3</v>
      </c>
      <c r="G2371" s="4">
        <v>43452</v>
      </c>
      <c r="M2371" s="1"/>
      <c r="N2371" s="1"/>
      <c r="O2371" s="1"/>
      <c r="P2371" s="1"/>
      <c r="Q2371" s="1"/>
      <c r="R2371" s="1"/>
    </row>
    <row r="2372" spans="2:18">
      <c r="G2372" s="4"/>
      <c r="M2372" s="1"/>
      <c r="N2372" s="1"/>
      <c r="O2372" s="1"/>
      <c r="P2372" s="1"/>
      <c r="Q2372" s="1"/>
      <c r="R2372" s="1"/>
    </row>
    <row r="2373" spans="2:18" s="12" customFormat="1">
      <c r="B2373" s="12" t="s">
        <v>186</v>
      </c>
      <c r="C2373" s="13" t="s">
        <v>984</v>
      </c>
      <c r="D2373" s="13" t="s">
        <v>983</v>
      </c>
      <c r="E2373" s="15"/>
      <c r="F2373" s="15">
        <f>SUM(F2374:F2375)</f>
        <v>7.9666666666666668</v>
      </c>
      <c r="G2373" s="14">
        <f>G2374</f>
        <v>41437</v>
      </c>
      <c r="M2373" s="13"/>
      <c r="N2373" s="13"/>
      <c r="O2373" s="13"/>
      <c r="P2373" s="13"/>
      <c r="Q2373" s="13"/>
      <c r="R2373" s="13"/>
    </row>
    <row r="2374" spans="2:18">
      <c r="C2374" s="2" t="s">
        <v>18</v>
      </c>
      <c r="D2374" s="2" t="s">
        <v>181</v>
      </c>
      <c r="E2374" s="3">
        <v>34</v>
      </c>
      <c r="F2374" s="3">
        <f>14/3</f>
        <v>4.666666666666667</v>
      </c>
      <c r="G2374" s="4">
        <v>41437</v>
      </c>
    </row>
    <row r="2375" spans="2:18">
      <c r="C2375" s="2" t="s">
        <v>7</v>
      </c>
      <c r="D2375" s="2" t="s">
        <v>181</v>
      </c>
      <c r="E2375" s="3">
        <v>16.5</v>
      </c>
      <c r="F2375" s="3">
        <f>E2375/5</f>
        <v>3.3</v>
      </c>
      <c r="G2375" s="4">
        <v>41176</v>
      </c>
    </row>
    <row r="2376" spans="2:18">
      <c r="G2376" s="4"/>
    </row>
    <row r="2377" spans="2:18" s="12" customFormat="1">
      <c r="B2377" s="12" t="s">
        <v>536</v>
      </c>
      <c r="C2377" s="13" t="s">
        <v>984</v>
      </c>
      <c r="D2377" s="13" t="s">
        <v>983</v>
      </c>
      <c r="E2377" s="15"/>
      <c r="F2377" s="15">
        <f>SUM(F2378:F2382)</f>
        <v>8.375</v>
      </c>
      <c r="G2377" s="14">
        <f>G2379</f>
        <v>44364</v>
      </c>
    </row>
    <row r="2378" spans="2:18">
      <c r="C2378" s="2" t="s">
        <v>4</v>
      </c>
      <c r="D2378" s="2" t="s">
        <v>530</v>
      </c>
      <c r="E2378" s="3">
        <v>3</v>
      </c>
      <c r="F2378" s="3">
        <v>0.5</v>
      </c>
      <c r="G2378" s="4">
        <v>42606</v>
      </c>
      <c r="M2378" s="1"/>
      <c r="N2378" s="1"/>
      <c r="O2378" s="1"/>
      <c r="P2378" s="1"/>
      <c r="Q2378" s="1"/>
      <c r="R2378" s="1"/>
    </row>
    <row r="2379" spans="2:18">
      <c r="C2379" s="2" t="s">
        <v>7</v>
      </c>
      <c r="D2379" s="2" t="s">
        <v>535</v>
      </c>
      <c r="E2379" s="3">
        <v>32</v>
      </c>
      <c r="F2379" s="3">
        <v>3</v>
      </c>
      <c r="G2379" s="4">
        <v>44364</v>
      </c>
      <c r="M2379" s="1"/>
      <c r="N2379" s="1"/>
      <c r="O2379" s="1"/>
      <c r="P2379" s="1"/>
      <c r="Q2379" s="1"/>
      <c r="R2379" s="1"/>
    </row>
    <row r="2380" spans="2:18">
      <c r="C2380" s="2" t="s">
        <v>5</v>
      </c>
      <c r="D2380" s="2" t="s">
        <v>535</v>
      </c>
      <c r="E2380" s="3">
        <v>10.199999999999999</v>
      </c>
      <c r="F2380" s="3">
        <v>2</v>
      </c>
      <c r="G2380" s="4">
        <v>43732</v>
      </c>
      <c r="M2380" s="1"/>
      <c r="N2380" s="1"/>
      <c r="O2380" s="1"/>
      <c r="P2380" s="1"/>
      <c r="Q2380" s="1"/>
      <c r="R2380" s="1"/>
    </row>
    <row r="2381" spans="2:18">
      <c r="C2381" s="2" t="s">
        <v>4</v>
      </c>
      <c r="D2381" s="2" t="s">
        <v>535</v>
      </c>
      <c r="E2381" s="3">
        <v>3</v>
      </c>
      <c r="F2381" s="3">
        <v>1.5</v>
      </c>
      <c r="G2381" s="4">
        <v>43374</v>
      </c>
      <c r="M2381" s="1"/>
      <c r="N2381" s="1"/>
      <c r="O2381" s="1"/>
      <c r="P2381" s="1"/>
      <c r="Q2381" s="1"/>
      <c r="R2381" s="1"/>
    </row>
    <row r="2382" spans="2:18">
      <c r="C2382" s="86" t="s">
        <v>5</v>
      </c>
      <c r="D2382" s="86" t="s">
        <v>2155</v>
      </c>
      <c r="E2382" s="3">
        <v>11.5</v>
      </c>
      <c r="F2382" s="3">
        <f>5.5/4</f>
        <v>1.375</v>
      </c>
      <c r="G2382" s="4">
        <v>43355</v>
      </c>
      <c r="M2382" s="1"/>
      <c r="N2382" s="1"/>
      <c r="O2382" s="1"/>
      <c r="P2382" s="1"/>
      <c r="Q2382" s="1"/>
      <c r="R2382" s="1"/>
    </row>
    <row r="2383" spans="2:18">
      <c r="G2383" s="4"/>
      <c r="M2383" s="1"/>
      <c r="N2383" s="1"/>
      <c r="O2383" s="1"/>
      <c r="P2383" s="1"/>
      <c r="Q2383" s="1"/>
      <c r="R2383" s="1"/>
    </row>
    <row r="2384" spans="2:18" s="12" customFormat="1">
      <c r="B2384" s="12" t="s">
        <v>696</v>
      </c>
      <c r="C2384" s="13" t="s">
        <v>984</v>
      </c>
      <c r="D2384" s="13" t="s">
        <v>983</v>
      </c>
      <c r="E2384" s="15"/>
      <c r="F2384" s="15">
        <f>SUM(F2385:F2386)</f>
        <v>6.6666666666666661</v>
      </c>
      <c r="G2384" s="14">
        <f>G2385</f>
        <v>45027</v>
      </c>
      <c r="M2384" s="13"/>
      <c r="N2384" s="13"/>
      <c r="O2384" s="13"/>
      <c r="P2384" s="13"/>
      <c r="Q2384" s="13"/>
      <c r="R2384" s="13"/>
    </row>
    <row r="2385" spans="2:18">
      <c r="C2385" s="2" t="s">
        <v>5</v>
      </c>
      <c r="D2385" s="2" t="s">
        <v>695</v>
      </c>
      <c r="E2385" s="3">
        <v>21</v>
      </c>
      <c r="F2385" s="3">
        <f>11/3</f>
        <v>3.6666666666666665</v>
      </c>
      <c r="G2385" s="4">
        <v>45027</v>
      </c>
    </row>
    <row r="2386" spans="2:18">
      <c r="C2386" s="2" t="s">
        <v>4</v>
      </c>
      <c r="D2386" s="2" t="s">
        <v>362</v>
      </c>
      <c r="E2386" s="3">
        <v>12</v>
      </c>
      <c r="F2386" s="3">
        <v>3</v>
      </c>
      <c r="G2386" s="4">
        <v>44271</v>
      </c>
    </row>
    <row r="2387" spans="2:18">
      <c r="G2387" s="4"/>
    </row>
    <row r="2388" spans="2:18" s="12" customFormat="1">
      <c r="B2388" s="12" t="s">
        <v>332</v>
      </c>
      <c r="C2388" s="13" t="s">
        <v>984</v>
      </c>
      <c r="D2388" s="13" t="s">
        <v>983</v>
      </c>
      <c r="E2388" s="15"/>
      <c r="F2388" s="15">
        <f>SUM(F2389:F2390)</f>
        <v>7</v>
      </c>
      <c r="G2388" s="14">
        <f>G2390</f>
        <v>44200</v>
      </c>
    </row>
    <row r="2389" spans="2:18">
      <c r="C2389" s="2" t="s">
        <v>5</v>
      </c>
      <c r="D2389" s="2" t="s">
        <v>325</v>
      </c>
      <c r="E2389" s="3">
        <v>16</v>
      </c>
      <c r="F2389" s="3">
        <v>2</v>
      </c>
      <c r="G2389" s="4">
        <v>43783</v>
      </c>
      <c r="L2389" s="1">
        <f>+F2389*5</f>
        <v>10</v>
      </c>
      <c r="M2389" s="1"/>
      <c r="N2389" s="1"/>
      <c r="O2389" s="1"/>
      <c r="P2389" s="1"/>
      <c r="Q2389" s="1"/>
      <c r="R2389" s="1"/>
    </row>
    <row r="2390" spans="2:18">
      <c r="C2390" s="2" t="s">
        <v>7</v>
      </c>
      <c r="D2390" s="2" t="s">
        <v>325</v>
      </c>
      <c r="E2390" s="3">
        <v>55</v>
      </c>
      <c r="F2390" s="3">
        <v>5</v>
      </c>
      <c r="G2390" s="4">
        <v>44200</v>
      </c>
      <c r="M2390" s="1"/>
      <c r="N2390" s="1"/>
      <c r="O2390" s="1"/>
      <c r="P2390" s="1"/>
      <c r="Q2390" s="1"/>
      <c r="R2390" s="1"/>
    </row>
    <row r="2391" spans="2:18">
      <c r="G2391" s="4"/>
      <c r="M2391" s="1"/>
      <c r="N2391" s="1"/>
      <c r="O2391" s="1"/>
      <c r="P2391" s="1"/>
      <c r="Q2391" s="1"/>
      <c r="R2391" s="1"/>
    </row>
    <row r="2392" spans="2:18" s="12" customFormat="1">
      <c r="B2392" s="12" t="s">
        <v>331</v>
      </c>
      <c r="C2392" s="13" t="s">
        <v>984</v>
      </c>
      <c r="D2392" s="13" t="s">
        <v>983</v>
      </c>
      <c r="E2392" s="15"/>
      <c r="F2392" s="15">
        <f>SUM(F2393:F2394)</f>
        <v>7</v>
      </c>
      <c r="G2392" s="14">
        <f>G2394</f>
        <v>44200</v>
      </c>
    </row>
    <row r="2393" spans="2:18">
      <c r="C2393" s="2" t="s">
        <v>5</v>
      </c>
      <c r="D2393" s="2" t="s">
        <v>325</v>
      </c>
      <c r="E2393" s="3">
        <v>16</v>
      </c>
      <c r="F2393" s="3">
        <v>2</v>
      </c>
      <c r="G2393" s="4">
        <v>43783</v>
      </c>
      <c r="L2393" s="1">
        <f>+F2393*5</f>
        <v>10</v>
      </c>
      <c r="M2393" s="1"/>
      <c r="N2393" s="1"/>
      <c r="O2393" s="1"/>
      <c r="P2393" s="1"/>
      <c r="Q2393" s="1"/>
      <c r="R2393" s="1"/>
    </row>
    <row r="2394" spans="2:18">
      <c r="C2394" s="2" t="s">
        <v>7</v>
      </c>
      <c r="D2394" s="2" t="s">
        <v>325</v>
      </c>
      <c r="E2394" s="3">
        <v>55</v>
      </c>
      <c r="F2394" s="3">
        <v>5</v>
      </c>
      <c r="G2394" s="4">
        <v>44200</v>
      </c>
      <c r="M2394" s="1"/>
      <c r="N2394" s="1"/>
      <c r="O2394" s="1"/>
      <c r="P2394" s="1"/>
      <c r="Q2394" s="1"/>
      <c r="R2394" s="1"/>
    </row>
    <row r="2395" spans="2:18">
      <c r="G2395" s="4"/>
      <c r="M2395" s="1"/>
      <c r="N2395" s="1"/>
      <c r="O2395" s="1"/>
      <c r="P2395" s="1"/>
      <c r="Q2395" s="1"/>
      <c r="R2395" s="1"/>
    </row>
    <row r="2396" spans="2:18" s="12" customFormat="1">
      <c r="B2396" s="12" t="s">
        <v>803</v>
      </c>
      <c r="C2396" s="13" t="s">
        <v>984</v>
      </c>
      <c r="D2396" s="13" t="s">
        <v>983</v>
      </c>
      <c r="E2396" s="15"/>
      <c r="F2396" s="15">
        <f>SUM(F2397:F2399)</f>
        <v>7</v>
      </c>
      <c r="G2396" s="14">
        <f>G2397</f>
        <v>44292</v>
      </c>
    </row>
    <row r="2397" spans="2:18">
      <c r="C2397" s="2" t="s">
        <v>4</v>
      </c>
      <c r="D2397" s="2" t="s">
        <v>708</v>
      </c>
      <c r="E2397" s="3">
        <v>5.6</v>
      </c>
      <c r="F2397" s="3">
        <v>1</v>
      </c>
      <c r="G2397" s="4">
        <v>44292</v>
      </c>
      <c r="M2397" s="1"/>
      <c r="N2397" s="1"/>
      <c r="O2397" s="1"/>
      <c r="P2397" s="1"/>
      <c r="Q2397" s="1"/>
      <c r="R2397" s="1"/>
    </row>
    <row r="2398" spans="2:18">
      <c r="C2398" s="86" t="s">
        <v>7</v>
      </c>
      <c r="D2398" s="86" t="s">
        <v>2155</v>
      </c>
      <c r="E2398" s="3">
        <v>40</v>
      </c>
      <c r="F2398" s="3">
        <v>3</v>
      </c>
      <c r="G2398" s="4">
        <v>43720</v>
      </c>
      <c r="M2398" s="1"/>
      <c r="N2398" s="1"/>
      <c r="O2398" s="1"/>
      <c r="P2398" s="1"/>
      <c r="Q2398" s="1"/>
      <c r="R2398" s="1"/>
    </row>
    <row r="2399" spans="2:18">
      <c r="C2399" s="86" t="s">
        <v>5</v>
      </c>
      <c r="D2399" s="86" t="s">
        <v>2155</v>
      </c>
      <c r="E2399" s="3">
        <v>11.5</v>
      </c>
      <c r="F2399" s="3">
        <v>3</v>
      </c>
      <c r="G2399" s="4">
        <v>43355</v>
      </c>
      <c r="M2399" s="1"/>
      <c r="N2399" s="1"/>
      <c r="O2399" s="1"/>
      <c r="P2399" s="1"/>
      <c r="Q2399" s="1"/>
      <c r="R2399" s="1"/>
    </row>
    <row r="2400" spans="2:18">
      <c r="G2400" s="4"/>
      <c r="M2400" s="1"/>
      <c r="N2400" s="1"/>
      <c r="O2400" s="1"/>
      <c r="P2400" s="1"/>
      <c r="Q2400" s="1"/>
      <c r="R2400" s="1"/>
    </row>
    <row r="2401" spans="2:18" s="12" customFormat="1">
      <c r="B2401" s="12" t="s">
        <v>722</v>
      </c>
      <c r="C2401" s="13" t="s">
        <v>984</v>
      </c>
      <c r="D2401" s="13" t="s">
        <v>983</v>
      </c>
      <c r="E2401" s="15"/>
      <c r="F2401" s="15">
        <f>SUM(F2402:F2406)</f>
        <v>6.625</v>
      </c>
      <c r="G2401" s="14">
        <f>G2402</f>
        <v>45092</v>
      </c>
      <c r="M2401" s="13"/>
      <c r="N2401" s="13"/>
      <c r="O2401" s="13"/>
      <c r="P2401" s="13"/>
      <c r="Q2401" s="13"/>
      <c r="R2401" s="13"/>
    </row>
    <row r="2402" spans="2:18">
      <c r="C2402" s="2" t="s">
        <v>4</v>
      </c>
      <c r="D2402" s="2" t="s">
        <v>721</v>
      </c>
      <c r="E2402" s="3">
        <v>5.5</v>
      </c>
      <c r="F2402" s="3">
        <v>3</v>
      </c>
      <c r="G2402" s="4">
        <v>45092</v>
      </c>
    </row>
    <row r="2403" spans="2:18">
      <c r="C2403" s="2" t="s">
        <v>4</v>
      </c>
      <c r="D2403" s="2" t="s">
        <v>348</v>
      </c>
      <c r="E2403" s="3">
        <v>3.5</v>
      </c>
      <c r="F2403" s="3">
        <v>1.25</v>
      </c>
      <c r="G2403" s="4">
        <v>44636</v>
      </c>
    </row>
    <row r="2404" spans="2:18">
      <c r="C2404" s="2" t="s">
        <v>4</v>
      </c>
      <c r="D2404" s="2" t="s">
        <v>343</v>
      </c>
      <c r="E2404" s="3">
        <v>3</v>
      </c>
      <c r="F2404" s="3">
        <f>1.5/4</f>
        <v>0.375</v>
      </c>
      <c r="G2404" s="4">
        <v>44327</v>
      </c>
    </row>
    <row r="2405" spans="2:18">
      <c r="C2405" s="2" t="s">
        <v>4</v>
      </c>
      <c r="D2405" s="2" t="s">
        <v>339</v>
      </c>
      <c r="E2405" s="3">
        <v>5.0999999999999996</v>
      </c>
      <c r="F2405" s="3">
        <v>1</v>
      </c>
      <c r="G2405" s="4">
        <v>43990</v>
      </c>
    </row>
    <row r="2406" spans="2:18">
      <c r="C2406" s="2" t="s">
        <v>4</v>
      </c>
      <c r="D2406" s="2" t="s">
        <v>336</v>
      </c>
      <c r="E2406" s="3">
        <v>5</v>
      </c>
      <c r="F2406" s="3">
        <v>1</v>
      </c>
      <c r="G2406" s="4">
        <v>43224</v>
      </c>
      <c r="L2406" s="1">
        <v>0</v>
      </c>
    </row>
    <row r="2407" spans="2:18">
      <c r="G2407" s="4"/>
    </row>
    <row r="2408" spans="2:18" s="12" customFormat="1">
      <c r="B2408" s="12" t="s">
        <v>4576</v>
      </c>
      <c r="C2408" s="13" t="s">
        <v>984</v>
      </c>
      <c r="D2408" s="13" t="s">
        <v>983</v>
      </c>
      <c r="E2408" s="15"/>
      <c r="F2408" s="15">
        <f>SUM(F2409:F2411)</f>
        <v>6.5</v>
      </c>
      <c r="G2408" s="14">
        <f>G2409</f>
        <v>44044</v>
      </c>
      <c r="M2408" s="13"/>
      <c r="N2408" s="13"/>
      <c r="O2408" s="13"/>
      <c r="P2408" s="13"/>
      <c r="Q2408" s="13"/>
      <c r="R2408" s="13"/>
    </row>
    <row r="2409" spans="2:18">
      <c r="C2409" s="2" t="s">
        <v>5</v>
      </c>
      <c r="D2409" s="2" t="s">
        <v>2170</v>
      </c>
      <c r="E2409" s="3">
        <v>20</v>
      </c>
      <c r="F2409" s="3">
        <f>15/6</f>
        <v>2.5</v>
      </c>
      <c r="G2409" s="4">
        <v>44044</v>
      </c>
    </row>
    <row r="2410" spans="2:18">
      <c r="C2410" s="2" t="s">
        <v>5</v>
      </c>
      <c r="D2410" s="2" t="s">
        <v>2170</v>
      </c>
      <c r="E2410" s="3">
        <v>20</v>
      </c>
      <c r="F2410" s="3">
        <f>12/4</f>
        <v>3</v>
      </c>
      <c r="G2410" s="4">
        <v>43647</v>
      </c>
    </row>
    <row r="2411" spans="2:18">
      <c r="C2411" s="2" t="s">
        <v>4</v>
      </c>
      <c r="D2411" s="2" t="s">
        <v>2170</v>
      </c>
      <c r="E2411" s="3">
        <v>3</v>
      </c>
      <c r="F2411" s="3">
        <v>1</v>
      </c>
      <c r="G2411" s="4">
        <v>42979</v>
      </c>
    </row>
    <row r="2412" spans="2:18">
      <c r="G2412" s="4"/>
    </row>
    <row r="2413" spans="2:18" s="12" customFormat="1">
      <c r="B2413" s="12" t="s">
        <v>645</v>
      </c>
      <c r="C2413" s="13" t="s">
        <v>984</v>
      </c>
      <c r="D2413" s="13" t="s">
        <v>983</v>
      </c>
      <c r="E2413" s="15"/>
      <c r="F2413" s="15">
        <f>SUM(F2414:F2417)</f>
        <v>7</v>
      </c>
      <c r="G2413" s="14">
        <f>G2414</f>
        <v>44984</v>
      </c>
      <c r="M2413" s="13"/>
      <c r="N2413" s="13"/>
      <c r="O2413" s="13"/>
      <c r="P2413" s="13"/>
      <c r="Q2413" s="13"/>
      <c r="R2413" s="13"/>
    </row>
    <row r="2414" spans="2:18">
      <c r="C2414" s="2" t="s">
        <v>5</v>
      </c>
      <c r="D2414" s="2" t="s">
        <v>643</v>
      </c>
      <c r="E2414" s="3">
        <v>10.5</v>
      </c>
      <c r="F2414" s="3">
        <v>4</v>
      </c>
      <c r="G2414" s="4">
        <v>44984</v>
      </c>
      <c r="M2414" s="1"/>
      <c r="N2414" s="1"/>
      <c r="O2414" s="1"/>
      <c r="P2414" s="1"/>
      <c r="Q2414" s="1"/>
      <c r="R2414" s="1"/>
    </row>
    <row r="2415" spans="2:18">
      <c r="C2415" s="2" t="s">
        <v>4</v>
      </c>
      <c r="D2415" s="2" t="s">
        <v>643</v>
      </c>
      <c r="E2415" s="3">
        <v>3</v>
      </c>
      <c r="F2415" s="3">
        <v>1</v>
      </c>
      <c r="G2415" s="4">
        <v>44539</v>
      </c>
      <c r="M2415" s="1"/>
      <c r="N2415" s="1"/>
      <c r="O2415" s="1"/>
      <c r="P2415" s="1"/>
      <c r="Q2415" s="1"/>
      <c r="R2415" s="1"/>
    </row>
    <row r="2416" spans="2:18">
      <c r="C2416" s="2" t="s">
        <v>4</v>
      </c>
      <c r="D2416" s="2" t="s">
        <v>643</v>
      </c>
      <c r="E2416" s="3">
        <v>2</v>
      </c>
      <c r="F2416" s="3">
        <v>1</v>
      </c>
      <c r="G2416" s="4">
        <v>44389</v>
      </c>
      <c r="M2416" s="1"/>
      <c r="N2416" s="1"/>
      <c r="O2416" s="1"/>
      <c r="P2416" s="1"/>
      <c r="Q2416" s="1"/>
      <c r="R2416" s="1"/>
    </row>
    <row r="2417" spans="2:18">
      <c r="C2417" s="2" t="s">
        <v>5</v>
      </c>
      <c r="D2417" s="2" t="s">
        <v>551</v>
      </c>
      <c r="E2417" s="3">
        <v>5</v>
      </c>
      <c r="F2417" s="3">
        <v>1</v>
      </c>
      <c r="G2417" s="4">
        <v>44514</v>
      </c>
      <c r="M2417" s="1"/>
      <c r="N2417" s="1"/>
      <c r="O2417" s="1"/>
      <c r="P2417" s="1"/>
      <c r="Q2417" s="1"/>
      <c r="R2417" s="1"/>
    </row>
    <row r="2418" spans="2:18">
      <c r="G2418" s="4"/>
      <c r="M2418" s="1"/>
      <c r="N2418" s="1"/>
      <c r="O2418" s="1"/>
      <c r="P2418" s="1"/>
      <c r="Q2418" s="1"/>
      <c r="R2418" s="1"/>
    </row>
    <row r="2419" spans="2:18" s="12" customFormat="1">
      <c r="B2419" s="12" t="s">
        <v>709</v>
      </c>
      <c r="C2419" s="13" t="s">
        <v>984</v>
      </c>
      <c r="D2419" s="13" t="s">
        <v>983</v>
      </c>
      <c r="E2419" s="15"/>
      <c r="F2419" s="15">
        <f>SUM(F2420:F2421)</f>
        <v>7</v>
      </c>
      <c r="G2419" s="14">
        <f>G2420</f>
        <v>44875</v>
      </c>
      <c r="M2419" s="13"/>
      <c r="N2419" s="13"/>
      <c r="O2419" s="13"/>
      <c r="P2419" s="13"/>
      <c r="Q2419" s="13"/>
      <c r="R2419" s="13"/>
    </row>
    <row r="2420" spans="2:18">
      <c r="C2420" s="2" t="s">
        <v>5</v>
      </c>
      <c r="D2420" s="2" t="s">
        <v>708</v>
      </c>
      <c r="E2420" s="3">
        <v>23.5</v>
      </c>
      <c r="F2420" s="3">
        <v>2</v>
      </c>
      <c r="G2420" s="4">
        <v>44875</v>
      </c>
    </row>
    <row r="2421" spans="2:18">
      <c r="C2421" s="2" t="s">
        <v>4</v>
      </c>
      <c r="D2421" s="2" t="s">
        <v>699</v>
      </c>
      <c r="E2421" s="3">
        <v>5</v>
      </c>
      <c r="F2421" s="3">
        <v>5</v>
      </c>
      <c r="G2421" s="4">
        <v>44562</v>
      </c>
    </row>
    <row r="2422" spans="2:18">
      <c r="G2422" s="4"/>
    </row>
    <row r="2423" spans="2:18" s="12" customFormat="1">
      <c r="B2423" s="12" t="s">
        <v>1004</v>
      </c>
      <c r="C2423" s="13" t="s">
        <v>984</v>
      </c>
      <c r="D2423" s="13" t="s">
        <v>983</v>
      </c>
      <c r="E2423" s="15"/>
      <c r="F2423" s="15">
        <f>SUM(F2424:F2425)</f>
        <v>6.8</v>
      </c>
      <c r="G2423" s="14">
        <f>G2424</f>
        <v>44650</v>
      </c>
      <c r="M2423" s="13"/>
      <c r="N2423" s="13"/>
      <c r="O2423" s="13"/>
      <c r="P2423" s="13"/>
      <c r="Q2423" s="13"/>
      <c r="R2423" s="13"/>
    </row>
    <row r="2424" spans="2:18">
      <c r="C2424" s="2" t="s">
        <v>7</v>
      </c>
      <c r="D2424" s="2" t="s">
        <v>904</v>
      </c>
      <c r="E2424" s="3">
        <v>40</v>
      </c>
      <c r="F2424" s="3">
        <v>5</v>
      </c>
      <c r="G2424" s="4">
        <v>44650</v>
      </c>
    </row>
    <row r="2425" spans="2:18">
      <c r="C2425" s="2" t="s">
        <v>5</v>
      </c>
      <c r="D2425" s="2" t="s">
        <v>904</v>
      </c>
      <c r="E2425" s="3">
        <v>14</v>
      </c>
      <c r="F2425" s="3">
        <f>9/5</f>
        <v>1.8</v>
      </c>
      <c r="G2425" s="4">
        <v>44131</v>
      </c>
    </row>
    <row r="2426" spans="2:18">
      <c r="G2426" s="4"/>
    </row>
    <row r="2427" spans="2:18" s="12" customFormat="1">
      <c r="B2427" s="12" t="s">
        <v>297</v>
      </c>
      <c r="C2427" s="13" t="s">
        <v>984</v>
      </c>
      <c r="D2427" s="13" t="s">
        <v>983</v>
      </c>
      <c r="E2427" s="15"/>
      <c r="F2427" s="15">
        <f>SUM(F2428:F2429)</f>
        <v>6.5</v>
      </c>
      <c r="G2427" s="14">
        <f>G2428</f>
        <v>44474</v>
      </c>
      <c r="M2427" s="13"/>
      <c r="N2427" s="13"/>
      <c r="O2427" s="13"/>
      <c r="P2427" s="13"/>
      <c r="Q2427" s="13"/>
      <c r="R2427" s="13"/>
    </row>
    <row r="2428" spans="2:18">
      <c r="C2428" s="2" t="s">
        <v>5</v>
      </c>
      <c r="D2428" s="2" t="s">
        <v>296</v>
      </c>
      <c r="E2428" s="3">
        <v>30</v>
      </c>
      <c r="F2428" s="3">
        <f>20/5</f>
        <v>4</v>
      </c>
      <c r="G2428" s="4">
        <v>44474</v>
      </c>
    </row>
    <row r="2429" spans="2:18">
      <c r="C2429" s="2" t="s">
        <v>4</v>
      </c>
      <c r="D2429" s="2" t="s">
        <v>296</v>
      </c>
      <c r="E2429" s="3">
        <v>15</v>
      </c>
      <c r="F2429" s="3">
        <f>10/4</f>
        <v>2.5</v>
      </c>
      <c r="G2429" s="4">
        <v>43775</v>
      </c>
    </row>
    <row r="2430" spans="2:18">
      <c r="G2430" s="4"/>
    </row>
    <row r="2431" spans="2:18" s="12" customFormat="1">
      <c r="B2431" s="12" t="s">
        <v>698</v>
      </c>
      <c r="C2431" s="13" t="s">
        <v>984</v>
      </c>
      <c r="D2431" s="13" t="s">
        <v>983</v>
      </c>
      <c r="E2431" s="15"/>
      <c r="F2431" s="15">
        <f>SUM(F2432:F2433)</f>
        <v>7</v>
      </c>
      <c r="G2431" s="14">
        <f>G2432</f>
        <v>44601</v>
      </c>
      <c r="M2431" s="13"/>
      <c r="N2431" s="13"/>
      <c r="O2431" s="13"/>
      <c r="P2431" s="13"/>
      <c r="Q2431" s="13"/>
      <c r="R2431" s="13"/>
    </row>
    <row r="2432" spans="2:18">
      <c r="C2432" s="2" t="s">
        <v>4</v>
      </c>
      <c r="D2432" s="2" t="s">
        <v>697</v>
      </c>
      <c r="E2432" s="3">
        <v>30</v>
      </c>
      <c r="F2432" s="3">
        <v>5</v>
      </c>
      <c r="G2432" s="4">
        <v>44601</v>
      </c>
    </row>
    <row r="2433" spans="2:18">
      <c r="C2433" s="2" t="s">
        <v>4</v>
      </c>
      <c r="D2433" s="2" t="s">
        <v>665</v>
      </c>
      <c r="E2433" s="3">
        <v>12.8</v>
      </c>
      <c r="F2433" s="3">
        <v>2</v>
      </c>
      <c r="G2433" s="4">
        <v>44601</v>
      </c>
    </row>
    <row r="2434" spans="2:18">
      <c r="G2434" s="4"/>
    </row>
    <row r="2435" spans="2:18" s="12" customFormat="1">
      <c r="B2435" s="12" t="s">
        <v>476</v>
      </c>
      <c r="C2435" s="13" t="s">
        <v>984</v>
      </c>
      <c r="D2435" s="13" t="s">
        <v>983</v>
      </c>
      <c r="E2435" s="15"/>
      <c r="F2435" s="15">
        <f>SUM(F2436:F2437)</f>
        <v>5.5</v>
      </c>
      <c r="G2435" s="14">
        <f>G2436</f>
        <v>44727</v>
      </c>
    </row>
    <row r="2436" spans="2:18">
      <c r="C2436" s="2" t="s">
        <v>5</v>
      </c>
      <c r="D2436" s="2" t="s">
        <v>474</v>
      </c>
      <c r="E2436" s="3">
        <v>15.5</v>
      </c>
      <c r="F2436" s="3">
        <v>3</v>
      </c>
      <c r="G2436" s="4">
        <v>44727</v>
      </c>
      <c r="M2436" s="1"/>
      <c r="N2436" s="1"/>
      <c r="O2436" s="1"/>
      <c r="P2436" s="1"/>
      <c r="Q2436" s="1"/>
      <c r="R2436" s="1"/>
    </row>
    <row r="2437" spans="2:18">
      <c r="C2437" s="2" t="s">
        <v>7</v>
      </c>
      <c r="D2437" s="2" t="s">
        <v>89</v>
      </c>
      <c r="E2437" s="3">
        <v>25</v>
      </c>
      <c r="F2437" s="3">
        <f>15/6</f>
        <v>2.5</v>
      </c>
      <c r="G2437" s="4">
        <v>44642</v>
      </c>
      <c r="M2437" s="1"/>
      <c r="N2437" s="1"/>
      <c r="O2437" s="1"/>
      <c r="P2437" s="1"/>
      <c r="Q2437" s="1"/>
      <c r="R2437" s="1"/>
    </row>
    <row r="2438" spans="2:18">
      <c r="G2438" s="4"/>
      <c r="M2438" s="1"/>
      <c r="N2438" s="1"/>
      <c r="O2438" s="1"/>
      <c r="P2438" s="1"/>
      <c r="Q2438" s="1"/>
      <c r="R2438" s="1"/>
    </row>
    <row r="2439" spans="2:18" s="12" customFormat="1">
      <c r="B2439" s="12" t="s">
        <v>301</v>
      </c>
      <c r="C2439" s="13" t="s">
        <v>984</v>
      </c>
      <c r="D2439" s="13" t="s">
        <v>983</v>
      </c>
      <c r="E2439" s="15"/>
      <c r="F2439" s="15">
        <f>SUM(F2440:F2442)</f>
        <v>5.7133333333333338</v>
      </c>
      <c r="G2439" s="14">
        <f>G2440</f>
        <v>43104</v>
      </c>
      <c r="M2439" s="13"/>
      <c r="N2439" s="13"/>
      <c r="O2439" s="13"/>
      <c r="P2439" s="13"/>
      <c r="Q2439" s="13"/>
      <c r="R2439" s="13"/>
    </row>
    <row r="2440" spans="2:18">
      <c r="C2440" s="2" t="s">
        <v>18</v>
      </c>
      <c r="D2440" s="2" t="s">
        <v>299</v>
      </c>
      <c r="E2440" s="3">
        <v>38</v>
      </c>
      <c r="F2440" s="3">
        <f>20/6</f>
        <v>3.3333333333333335</v>
      </c>
      <c r="G2440" s="4">
        <v>43104</v>
      </c>
    </row>
    <row r="2441" spans="2:18">
      <c r="C2441" s="2" t="s">
        <v>7</v>
      </c>
      <c r="D2441" s="2" t="s">
        <v>299</v>
      </c>
      <c r="E2441" s="3">
        <v>6.9</v>
      </c>
      <c r="F2441" s="3">
        <f>E2441/5</f>
        <v>1.3800000000000001</v>
      </c>
      <c r="G2441" s="4">
        <v>42458</v>
      </c>
    </row>
    <row r="2442" spans="2:18">
      <c r="C2442" s="2" t="s">
        <v>5</v>
      </c>
      <c r="D2442" s="2" t="s">
        <v>299</v>
      </c>
      <c r="E2442" s="3">
        <v>2.7</v>
      </c>
      <c r="F2442" s="3">
        <v>1</v>
      </c>
      <c r="G2442" s="4">
        <v>42139</v>
      </c>
    </row>
    <row r="2443" spans="2:18">
      <c r="G2443" s="4"/>
    </row>
    <row r="2444" spans="2:18" s="12" customFormat="1">
      <c r="B2444" s="12" t="s">
        <v>412</v>
      </c>
      <c r="C2444" s="13" t="s">
        <v>984</v>
      </c>
      <c r="D2444" s="13" t="s">
        <v>983</v>
      </c>
      <c r="E2444" s="15"/>
      <c r="F2444" s="15">
        <f>SUM(F2445:F2446)</f>
        <v>6</v>
      </c>
      <c r="G2444" s="14">
        <f>G2445</f>
        <v>44538</v>
      </c>
    </row>
    <row r="2445" spans="2:18">
      <c r="C2445" s="2" t="s">
        <v>7</v>
      </c>
      <c r="D2445" s="2" t="s">
        <v>411</v>
      </c>
      <c r="E2445" s="3">
        <v>50</v>
      </c>
      <c r="F2445" s="3">
        <f>30/6</f>
        <v>5</v>
      </c>
      <c r="G2445" s="4">
        <v>44538</v>
      </c>
      <c r="M2445" s="1"/>
      <c r="N2445" s="1"/>
      <c r="O2445" s="1"/>
      <c r="P2445" s="1"/>
      <c r="Q2445" s="1"/>
      <c r="R2445" s="1"/>
    </row>
    <row r="2446" spans="2:18">
      <c r="C2446" s="2" t="s">
        <v>4</v>
      </c>
      <c r="D2446" s="2" t="s">
        <v>411</v>
      </c>
      <c r="E2446" s="3">
        <v>3.1</v>
      </c>
      <c r="F2446" s="3">
        <v>1</v>
      </c>
      <c r="G2446" s="4">
        <v>43580</v>
      </c>
      <c r="M2446" s="1"/>
      <c r="N2446" s="1"/>
      <c r="O2446" s="1"/>
      <c r="P2446" s="1"/>
      <c r="Q2446" s="1"/>
      <c r="R2446" s="1"/>
    </row>
    <row r="2447" spans="2:18">
      <c r="G2447" s="4"/>
      <c r="M2447" s="1"/>
      <c r="N2447" s="1"/>
      <c r="O2447" s="1"/>
      <c r="P2447" s="1"/>
      <c r="Q2447" s="1"/>
      <c r="R2447" s="1"/>
    </row>
    <row r="2448" spans="2:18" s="12" customFormat="1">
      <c r="B2448" s="12" t="s">
        <v>567</v>
      </c>
      <c r="C2448" s="13" t="s">
        <v>984</v>
      </c>
      <c r="D2448" s="13" t="s">
        <v>983</v>
      </c>
      <c r="E2448" s="15"/>
      <c r="F2448" s="15">
        <f>SUM(F2449:F2452)</f>
        <v>5.5714285714285712</v>
      </c>
      <c r="G2448" s="14">
        <f>G2449</f>
        <v>45077</v>
      </c>
    </row>
    <row r="2449" spans="2:18">
      <c r="C2449" s="2" t="s">
        <v>7</v>
      </c>
      <c r="D2449" s="2" t="s">
        <v>558</v>
      </c>
      <c r="E2449" s="3">
        <v>20</v>
      </c>
      <c r="F2449" s="3">
        <f>12/6</f>
        <v>2</v>
      </c>
      <c r="G2449" s="4">
        <v>45077</v>
      </c>
      <c r="M2449" s="1"/>
      <c r="N2449" s="1"/>
      <c r="O2449" s="1"/>
      <c r="P2449" s="1"/>
      <c r="Q2449" s="1"/>
      <c r="R2449" s="1"/>
    </row>
    <row r="2450" spans="2:18">
      <c r="C2450" s="2" t="s">
        <v>5</v>
      </c>
      <c r="D2450" s="2" t="s">
        <v>558</v>
      </c>
      <c r="E2450" s="3">
        <v>10.5</v>
      </c>
      <c r="F2450" s="3">
        <f>5/5</f>
        <v>1</v>
      </c>
      <c r="G2450" s="4">
        <v>44341</v>
      </c>
      <c r="M2450" s="1"/>
      <c r="N2450" s="1"/>
      <c r="O2450" s="1"/>
      <c r="P2450" s="1"/>
      <c r="Q2450" s="1"/>
      <c r="R2450" s="1"/>
    </row>
    <row r="2451" spans="2:18">
      <c r="C2451" s="2" t="s">
        <v>5</v>
      </c>
      <c r="D2451" s="2" t="s">
        <v>89</v>
      </c>
      <c r="E2451" s="3">
        <v>14</v>
      </c>
      <c r="F2451" s="3">
        <v>2</v>
      </c>
      <c r="G2451" s="4">
        <v>43978</v>
      </c>
      <c r="M2451" s="1"/>
      <c r="N2451" s="1"/>
      <c r="O2451" s="1"/>
      <c r="P2451" s="1"/>
      <c r="Q2451" s="1"/>
      <c r="R2451" s="1"/>
    </row>
    <row r="2452" spans="2:18">
      <c r="C2452" s="2" t="s">
        <v>4</v>
      </c>
      <c r="D2452" s="2" t="s">
        <v>89</v>
      </c>
      <c r="E2452" s="3">
        <v>5.3</v>
      </c>
      <c r="F2452" s="3">
        <f>4/7</f>
        <v>0.5714285714285714</v>
      </c>
      <c r="G2452" s="4">
        <v>43398</v>
      </c>
      <c r="M2452" s="1"/>
      <c r="N2452" s="1"/>
      <c r="O2452" s="1"/>
      <c r="P2452" s="1"/>
      <c r="Q2452" s="1"/>
      <c r="R2452" s="1"/>
    </row>
    <row r="2453" spans="2:18">
      <c r="G2453" s="4"/>
      <c r="M2453" s="1"/>
      <c r="N2453" s="1"/>
      <c r="O2453" s="1"/>
      <c r="P2453" s="1"/>
      <c r="Q2453" s="1"/>
      <c r="R2453" s="1"/>
    </row>
    <row r="2454" spans="2:18" s="12" customFormat="1">
      <c r="B2454" s="12" t="s">
        <v>1003</v>
      </c>
      <c r="C2454" s="13" t="s">
        <v>984</v>
      </c>
      <c r="D2454" s="13" t="s">
        <v>983</v>
      </c>
      <c r="E2454" s="15"/>
      <c r="F2454" s="15">
        <f>SUM(F2455:F2456)</f>
        <v>6.1428571428571423</v>
      </c>
      <c r="G2454" s="14">
        <f>G2455</f>
        <v>44691</v>
      </c>
      <c r="M2454" s="13"/>
      <c r="N2454" s="13"/>
      <c r="O2454" s="13"/>
      <c r="P2454" s="13"/>
      <c r="Q2454" s="13"/>
      <c r="R2454" s="13"/>
    </row>
    <row r="2455" spans="2:18">
      <c r="C2455" s="2" t="s">
        <v>4</v>
      </c>
      <c r="D2455" s="2" t="s">
        <v>689</v>
      </c>
      <c r="E2455" s="3">
        <v>15</v>
      </c>
      <c r="F2455" s="3">
        <f>15/7</f>
        <v>2.1428571428571428</v>
      </c>
      <c r="G2455" s="4">
        <v>44691</v>
      </c>
    </row>
    <row r="2456" spans="2:18">
      <c r="C2456" s="2" t="s">
        <v>7</v>
      </c>
      <c r="D2456" s="2" t="s">
        <v>317</v>
      </c>
      <c r="E2456" s="3">
        <v>40</v>
      </c>
      <c r="F2456" s="3">
        <v>4</v>
      </c>
      <c r="G2456" s="4">
        <v>43419</v>
      </c>
    </row>
    <row r="2457" spans="2:18">
      <c r="G2457" s="4"/>
    </row>
    <row r="2458" spans="2:18" s="12" customFormat="1">
      <c r="B2458" s="12" t="s">
        <v>1002</v>
      </c>
      <c r="C2458" s="13" t="s">
        <v>984</v>
      </c>
      <c r="D2458" s="13" t="s">
        <v>983</v>
      </c>
      <c r="E2458" s="15"/>
      <c r="F2458" s="15">
        <f>SUM(F2459:F2460)</f>
        <v>5.75</v>
      </c>
      <c r="G2458" s="14">
        <f>G2459</f>
        <v>44615</v>
      </c>
      <c r="M2458" s="13"/>
      <c r="N2458" s="13"/>
      <c r="O2458" s="13"/>
      <c r="P2458" s="13"/>
      <c r="Q2458" s="13"/>
      <c r="R2458" s="13"/>
    </row>
    <row r="2459" spans="2:18">
      <c r="C2459" s="2" t="s">
        <v>5</v>
      </c>
      <c r="D2459" s="2" t="s">
        <v>1001</v>
      </c>
      <c r="E2459" s="3">
        <v>25</v>
      </c>
      <c r="F2459" s="3">
        <f>15/4</f>
        <v>3.75</v>
      </c>
      <c r="G2459" s="4">
        <v>44615</v>
      </c>
    </row>
    <row r="2460" spans="2:18">
      <c r="C2460" s="2" t="s">
        <v>4</v>
      </c>
      <c r="D2460" s="2" t="s">
        <v>1001</v>
      </c>
      <c r="E2460" s="3">
        <v>5</v>
      </c>
      <c r="F2460" s="3">
        <v>2</v>
      </c>
      <c r="G2460" s="4">
        <v>44292</v>
      </c>
    </row>
    <row r="2461" spans="2:18">
      <c r="G2461" s="4"/>
    </row>
    <row r="2462" spans="2:18" s="12" customFormat="1">
      <c r="B2462" s="12" t="s">
        <v>998</v>
      </c>
      <c r="C2462" s="13" t="s">
        <v>984</v>
      </c>
      <c r="D2462" s="13" t="s">
        <v>983</v>
      </c>
      <c r="E2462" s="15"/>
      <c r="F2462" s="15">
        <f>SUM(F2463:F2465)</f>
        <v>6</v>
      </c>
      <c r="G2462" s="14">
        <f>G2463</f>
        <v>44636</v>
      </c>
      <c r="M2462" s="13"/>
      <c r="N2462" s="13"/>
      <c r="O2462" s="13"/>
      <c r="P2462" s="13"/>
      <c r="Q2462" s="13"/>
      <c r="R2462" s="13"/>
    </row>
    <row r="2463" spans="2:18">
      <c r="C2463" s="2" t="s">
        <v>7</v>
      </c>
      <c r="D2463" s="2" t="s">
        <v>872</v>
      </c>
      <c r="E2463" s="3">
        <v>25</v>
      </c>
      <c r="F2463" s="3">
        <v>3</v>
      </c>
      <c r="G2463" s="4">
        <v>44636</v>
      </c>
    </row>
    <row r="2464" spans="2:18">
      <c r="C2464" s="2" t="s">
        <v>5</v>
      </c>
      <c r="D2464" s="2" t="s">
        <v>872</v>
      </c>
      <c r="E2464" s="3">
        <v>12</v>
      </c>
      <c r="F2464" s="3">
        <v>2</v>
      </c>
      <c r="G2464" s="4">
        <v>44179</v>
      </c>
    </row>
    <row r="2465" spans="2:18">
      <c r="C2465" s="2" t="s">
        <v>4</v>
      </c>
      <c r="D2465" s="2" t="s">
        <v>872</v>
      </c>
      <c r="E2465" s="3">
        <v>5.0999999999999996</v>
      </c>
      <c r="F2465" s="3">
        <v>1</v>
      </c>
      <c r="G2465" s="4">
        <v>44046</v>
      </c>
    </row>
    <row r="2466" spans="2:18">
      <c r="G2466" s="4"/>
    </row>
    <row r="2467" spans="2:18" s="12" customFormat="1">
      <c r="B2467" s="12" t="s">
        <v>640</v>
      </c>
      <c r="C2467" s="13" t="s">
        <v>984</v>
      </c>
      <c r="D2467" s="13" t="s">
        <v>983</v>
      </c>
      <c r="E2467" s="15"/>
      <c r="F2467" s="15">
        <f>SUM(F2468:F2470)</f>
        <v>6.2</v>
      </c>
      <c r="G2467" s="14">
        <f>G2468</f>
        <v>44825</v>
      </c>
    </row>
    <row r="2468" spans="2:18">
      <c r="C2468" s="2" t="s">
        <v>5</v>
      </c>
      <c r="D2468" s="2" t="s">
        <v>73</v>
      </c>
      <c r="E2468" s="3">
        <v>10</v>
      </c>
      <c r="F2468" s="3">
        <v>4</v>
      </c>
      <c r="G2468" s="4">
        <v>44825</v>
      </c>
      <c r="M2468" s="1"/>
      <c r="N2468" s="1"/>
      <c r="O2468" s="1"/>
      <c r="P2468" s="1"/>
      <c r="Q2468" s="1"/>
      <c r="R2468" s="1"/>
    </row>
    <row r="2469" spans="2:18">
      <c r="C2469" s="2" t="s">
        <v>4</v>
      </c>
      <c r="D2469" s="2" t="s">
        <v>73</v>
      </c>
      <c r="E2469" s="3">
        <v>1.5</v>
      </c>
      <c r="F2469" s="3">
        <v>1.5</v>
      </c>
      <c r="G2469" s="4">
        <v>44406</v>
      </c>
      <c r="M2469" s="1"/>
      <c r="N2469" s="1"/>
      <c r="O2469" s="1"/>
      <c r="P2469" s="1"/>
      <c r="Q2469" s="1"/>
      <c r="R2469" s="1"/>
    </row>
    <row r="2470" spans="2:18">
      <c r="C2470" s="2" t="s">
        <v>4</v>
      </c>
      <c r="D2470" s="2" t="s">
        <v>149</v>
      </c>
      <c r="E2470" s="3">
        <v>0.7</v>
      </c>
      <c r="F2470" s="3">
        <v>0.7</v>
      </c>
      <c r="G2470" s="4">
        <v>42553</v>
      </c>
      <c r="M2470" s="1"/>
      <c r="N2470" s="1"/>
      <c r="O2470" s="1"/>
      <c r="P2470" s="1"/>
      <c r="Q2470" s="1"/>
      <c r="R2470" s="1"/>
    </row>
    <row r="2471" spans="2:18">
      <c r="G2471" s="4"/>
      <c r="M2471" s="1"/>
      <c r="N2471" s="1"/>
      <c r="O2471" s="1"/>
      <c r="P2471" s="1"/>
      <c r="Q2471" s="1"/>
      <c r="R2471" s="1"/>
    </row>
    <row r="2472" spans="2:18" s="12" customFormat="1">
      <c r="B2472" s="12" t="s">
        <v>713</v>
      </c>
      <c r="C2472" s="13" t="s">
        <v>984</v>
      </c>
      <c r="D2472" s="13" t="s">
        <v>983</v>
      </c>
      <c r="E2472" s="15"/>
      <c r="F2472" s="15">
        <f>SUM(F2473:F2475)</f>
        <v>6.1</v>
      </c>
      <c r="G2472" s="14">
        <f>G2474</f>
        <v>44952</v>
      </c>
      <c r="M2472" s="13"/>
      <c r="N2472" s="13"/>
      <c r="O2472" s="13"/>
      <c r="P2472" s="13"/>
      <c r="Q2472" s="13"/>
      <c r="R2472" s="13"/>
    </row>
    <row r="2473" spans="2:18">
      <c r="C2473" s="2" t="s">
        <v>5</v>
      </c>
      <c r="D2473" s="2" t="s">
        <v>712</v>
      </c>
      <c r="E2473" s="3">
        <v>50</v>
      </c>
      <c r="F2473" s="3">
        <f>30/12</f>
        <v>2.5</v>
      </c>
      <c r="G2473" s="4">
        <v>44796</v>
      </c>
    </row>
    <row r="2474" spans="2:18">
      <c r="C2474" s="2" t="s">
        <v>5</v>
      </c>
      <c r="D2474" s="2" t="s">
        <v>677</v>
      </c>
      <c r="E2474" s="3">
        <v>12.7</v>
      </c>
      <c r="F2474" s="3">
        <f>8/5</f>
        <v>1.6</v>
      </c>
      <c r="G2474" s="4">
        <v>44952</v>
      </c>
    </row>
    <row r="2475" spans="2:18">
      <c r="C2475" s="2" t="s">
        <v>4</v>
      </c>
      <c r="D2475" s="2" t="s">
        <v>127</v>
      </c>
      <c r="E2475" s="3">
        <v>4.5</v>
      </c>
      <c r="F2475" s="3">
        <v>2</v>
      </c>
      <c r="G2475" s="4">
        <v>44434</v>
      </c>
    </row>
    <row r="2476" spans="2:18">
      <c r="G2476" s="4"/>
    </row>
    <row r="2477" spans="2:18" s="12" customFormat="1">
      <c r="B2477" s="12" t="s">
        <v>466</v>
      </c>
      <c r="C2477" s="13" t="s">
        <v>984</v>
      </c>
      <c r="D2477" s="13" t="s">
        <v>983</v>
      </c>
      <c r="E2477" s="15"/>
      <c r="F2477" s="15">
        <f>SUM(F2478:F2479)</f>
        <v>6</v>
      </c>
      <c r="G2477" s="14">
        <f>G2478</f>
        <v>44600</v>
      </c>
    </row>
    <row r="2478" spans="2:18">
      <c r="C2478" s="2" t="s">
        <v>7</v>
      </c>
      <c r="D2478" s="2" t="s">
        <v>464</v>
      </c>
      <c r="E2478" s="3">
        <v>26.8</v>
      </c>
      <c r="F2478" s="3">
        <v>4</v>
      </c>
      <c r="G2478" s="4">
        <v>44600</v>
      </c>
      <c r="M2478" s="1"/>
      <c r="N2478" s="1"/>
      <c r="O2478" s="1"/>
      <c r="P2478" s="1"/>
      <c r="Q2478" s="1"/>
      <c r="R2478" s="1"/>
    </row>
    <row r="2479" spans="2:18">
      <c r="C2479" s="2" t="s">
        <v>5</v>
      </c>
      <c r="D2479" s="2" t="s">
        <v>464</v>
      </c>
      <c r="E2479" s="3">
        <v>8.3000000000000007</v>
      </c>
      <c r="F2479" s="3">
        <v>2</v>
      </c>
      <c r="G2479" s="4">
        <v>44053</v>
      </c>
      <c r="M2479" s="1"/>
      <c r="N2479" s="1"/>
      <c r="O2479" s="1"/>
      <c r="P2479" s="1"/>
      <c r="Q2479" s="1"/>
      <c r="R2479" s="1"/>
    </row>
    <row r="2480" spans="2:18">
      <c r="G2480" s="4"/>
      <c r="M2480" s="1"/>
      <c r="N2480" s="1"/>
      <c r="O2480" s="1"/>
      <c r="P2480" s="1"/>
      <c r="Q2480" s="1"/>
      <c r="R2480" s="1"/>
    </row>
    <row r="2481" spans="2:18" s="12" customFormat="1">
      <c r="B2481" s="12" t="s">
        <v>17</v>
      </c>
      <c r="C2481" s="13" t="s">
        <v>984</v>
      </c>
      <c r="D2481" s="13" t="s">
        <v>983</v>
      </c>
      <c r="E2481" s="15"/>
      <c r="F2481" s="15">
        <f>SUM(F2482:F2484)</f>
        <v>6.4</v>
      </c>
      <c r="G2481" s="14">
        <f>G2482</f>
        <v>43031</v>
      </c>
      <c r="M2481" s="13"/>
      <c r="N2481" s="13"/>
      <c r="O2481" s="13"/>
      <c r="P2481" s="13"/>
      <c r="Q2481" s="13"/>
      <c r="R2481" s="13"/>
    </row>
    <row r="2482" spans="2:18">
      <c r="C2482" s="2" t="s">
        <v>7</v>
      </c>
      <c r="D2482" s="2" t="s">
        <v>15</v>
      </c>
      <c r="E2482" s="3">
        <v>28</v>
      </c>
      <c r="F2482" s="3">
        <v>4</v>
      </c>
      <c r="G2482" s="4">
        <v>43031</v>
      </c>
    </row>
    <row r="2483" spans="2:18">
      <c r="C2483" s="2" t="s">
        <v>5</v>
      </c>
      <c r="D2483" s="2" t="s">
        <v>15</v>
      </c>
      <c r="E2483" s="3">
        <v>10</v>
      </c>
      <c r="F2483" s="3">
        <v>2</v>
      </c>
      <c r="G2483" s="4">
        <v>42508</v>
      </c>
    </row>
    <row r="2484" spans="2:18">
      <c r="C2484" s="2" t="s">
        <v>4</v>
      </c>
      <c r="D2484" s="2" t="s">
        <v>15</v>
      </c>
      <c r="E2484" s="3">
        <v>1.8</v>
      </c>
      <c r="F2484" s="3">
        <v>0.4</v>
      </c>
      <c r="G2484" s="4">
        <v>41976</v>
      </c>
    </row>
    <row r="2485" spans="2:18">
      <c r="G2485" s="4"/>
    </row>
    <row r="2486" spans="2:18" s="12" customFormat="1">
      <c r="B2486" s="12" t="s">
        <v>749</v>
      </c>
      <c r="C2486" s="13" t="s">
        <v>984</v>
      </c>
      <c r="D2486" s="13" t="s">
        <v>983</v>
      </c>
      <c r="E2486" s="15"/>
      <c r="F2486" s="15">
        <f>SUM(F2487:F2488)</f>
        <v>5.8</v>
      </c>
      <c r="G2486" s="14">
        <f>G2487</f>
        <v>44755</v>
      </c>
    </row>
    <row r="2487" spans="2:18">
      <c r="C2487" s="2" t="s">
        <v>7</v>
      </c>
      <c r="D2487" s="2" t="s">
        <v>747</v>
      </c>
      <c r="E2487" s="3">
        <v>25</v>
      </c>
      <c r="F2487" s="3">
        <f>15/5</f>
        <v>3</v>
      </c>
      <c r="G2487" s="4">
        <v>44755</v>
      </c>
    </row>
    <row r="2488" spans="2:18">
      <c r="C2488" s="2" t="s">
        <v>5</v>
      </c>
      <c r="D2488" s="2" t="s">
        <v>747</v>
      </c>
      <c r="E2488" s="3">
        <v>21</v>
      </c>
      <c r="F2488" s="3">
        <f>14/5</f>
        <v>2.8</v>
      </c>
      <c r="G2488" s="4">
        <v>44489</v>
      </c>
    </row>
    <row r="2489" spans="2:18">
      <c r="G2489" s="4"/>
    </row>
    <row r="2490" spans="2:18" s="12" customFormat="1">
      <c r="B2490" s="12" t="s">
        <v>659</v>
      </c>
      <c r="C2490" s="13" t="s">
        <v>984</v>
      </c>
      <c r="D2490" s="13" t="s">
        <v>983</v>
      </c>
      <c r="E2490" s="15"/>
      <c r="F2490" s="15">
        <f>SUM(F2491:F2492)</f>
        <v>6</v>
      </c>
      <c r="G2490" s="14">
        <f>G2491</f>
        <v>44642</v>
      </c>
    </row>
    <row r="2491" spans="2:18">
      <c r="C2491" s="2" t="s">
        <v>5</v>
      </c>
      <c r="D2491" s="2" t="s">
        <v>657</v>
      </c>
      <c r="E2491" s="3">
        <v>13</v>
      </c>
      <c r="F2491" s="3">
        <v>5</v>
      </c>
      <c r="G2491" s="4">
        <v>44642</v>
      </c>
      <c r="M2491" s="1"/>
      <c r="N2491" s="1"/>
      <c r="O2491" s="1"/>
      <c r="P2491" s="1"/>
      <c r="Q2491" s="1"/>
      <c r="R2491" s="1"/>
    </row>
    <row r="2492" spans="2:18">
      <c r="C2492" s="2" t="s">
        <v>4</v>
      </c>
      <c r="D2492" s="2" t="s">
        <v>657</v>
      </c>
      <c r="E2492" s="3">
        <v>3.5</v>
      </c>
      <c r="F2492" s="3">
        <v>1</v>
      </c>
      <c r="G2492" s="4">
        <v>44124</v>
      </c>
      <c r="M2492" s="1"/>
      <c r="N2492" s="1"/>
      <c r="O2492" s="1"/>
      <c r="P2492" s="1"/>
      <c r="Q2492" s="1"/>
      <c r="R2492" s="1"/>
    </row>
    <row r="2493" spans="2:18">
      <c r="G2493" s="4"/>
      <c r="M2493" s="1"/>
      <c r="N2493" s="1"/>
      <c r="O2493" s="1"/>
      <c r="P2493" s="1"/>
      <c r="Q2493" s="1"/>
      <c r="R2493" s="1"/>
    </row>
    <row r="2494" spans="2:18" s="12" customFormat="1">
      <c r="B2494" s="12" t="s">
        <v>525</v>
      </c>
      <c r="C2494" s="13" t="s">
        <v>984</v>
      </c>
      <c r="D2494" s="13" t="s">
        <v>983</v>
      </c>
      <c r="E2494" s="15"/>
      <c r="F2494" s="15">
        <f>SUM(F2495:F2498)</f>
        <v>6.3049999999999997</v>
      </c>
      <c r="G2494" s="14">
        <f>G2495</f>
        <v>45037</v>
      </c>
    </row>
    <row r="2495" spans="2:18">
      <c r="C2495" s="2" t="s">
        <v>4</v>
      </c>
      <c r="D2495" s="2" t="s">
        <v>518</v>
      </c>
      <c r="E2495" s="3">
        <v>3</v>
      </c>
      <c r="F2495" s="3">
        <v>1.5</v>
      </c>
      <c r="G2495" s="4">
        <v>45037</v>
      </c>
      <c r="M2495" s="1"/>
      <c r="N2495" s="1"/>
      <c r="O2495" s="1"/>
      <c r="P2495" s="1"/>
      <c r="Q2495" s="1"/>
      <c r="R2495" s="1"/>
    </row>
    <row r="2496" spans="2:18">
      <c r="C2496" s="2" t="s">
        <v>18</v>
      </c>
      <c r="D2496" s="2" t="s">
        <v>299</v>
      </c>
      <c r="E2496" s="3">
        <v>38</v>
      </c>
      <c r="F2496" s="3">
        <v>3</v>
      </c>
      <c r="G2496" s="4">
        <v>43104</v>
      </c>
      <c r="M2496" s="1"/>
      <c r="N2496" s="1"/>
      <c r="O2496" s="1"/>
      <c r="P2496" s="1"/>
      <c r="Q2496" s="1"/>
      <c r="R2496" s="1"/>
    </row>
    <row r="2497" spans="2:18">
      <c r="C2497" s="2" t="s">
        <v>7</v>
      </c>
      <c r="D2497" s="2" t="s">
        <v>299</v>
      </c>
      <c r="E2497" s="3">
        <v>6.9</v>
      </c>
      <c r="F2497" s="3">
        <f>E2497/5</f>
        <v>1.3800000000000001</v>
      </c>
      <c r="G2497" s="4">
        <v>42458</v>
      </c>
      <c r="M2497" s="1"/>
      <c r="N2497" s="1"/>
      <c r="O2497" s="1"/>
      <c r="P2497" s="1"/>
      <c r="Q2497" s="1"/>
      <c r="R2497" s="1"/>
    </row>
    <row r="2498" spans="2:18">
      <c r="C2498" s="2" t="s">
        <v>5</v>
      </c>
      <c r="D2498" s="2" t="s">
        <v>299</v>
      </c>
      <c r="E2498" s="3">
        <v>2.7</v>
      </c>
      <c r="F2498" s="3">
        <f>1.7/4</f>
        <v>0.42499999999999999</v>
      </c>
      <c r="G2498" s="4">
        <v>42139</v>
      </c>
      <c r="M2498" s="1"/>
      <c r="N2498" s="1"/>
      <c r="O2498" s="1"/>
      <c r="P2498" s="1"/>
      <c r="Q2498" s="1"/>
      <c r="R2498" s="1"/>
    </row>
    <row r="2499" spans="2:18">
      <c r="G2499" s="4"/>
      <c r="M2499" s="1"/>
      <c r="N2499" s="1"/>
      <c r="O2499" s="1"/>
      <c r="P2499" s="1"/>
      <c r="Q2499" s="1"/>
      <c r="R2499" s="1"/>
    </row>
    <row r="2500" spans="2:18" s="12" customFormat="1">
      <c r="B2500" s="12" t="s">
        <v>992</v>
      </c>
      <c r="C2500" s="13" t="s">
        <v>984</v>
      </c>
      <c r="D2500" s="13" t="s">
        <v>983</v>
      </c>
      <c r="E2500" s="15"/>
      <c r="F2500" s="15">
        <f>SUM(F2501:F2504)</f>
        <v>6.2333333333333325</v>
      </c>
      <c r="G2500" s="14">
        <f>G2503</f>
        <v>44637</v>
      </c>
    </row>
    <row r="2501" spans="2:18">
      <c r="C2501" s="2" t="s">
        <v>5</v>
      </c>
      <c r="D2501" s="2" t="s">
        <v>526</v>
      </c>
      <c r="E2501" s="3">
        <v>14.5</v>
      </c>
      <c r="F2501" s="3">
        <v>1.5</v>
      </c>
      <c r="G2501" s="4">
        <v>43389</v>
      </c>
      <c r="M2501" s="1"/>
      <c r="N2501" s="1"/>
      <c r="O2501" s="1"/>
      <c r="P2501" s="1"/>
      <c r="Q2501" s="1"/>
      <c r="R2501" s="1"/>
    </row>
    <row r="2502" spans="2:18">
      <c r="C2502" s="2" t="s">
        <v>4</v>
      </c>
      <c r="D2502" s="2" t="s">
        <v>526</v>
      </c>
      <c r="E2502" s="3">
        <v>4</v>
      </c>
      <c r="F2502" s="3">
        <f>4/3</f>
        <v>1.3333333333333333</v>
      </c>
      <c r="G2502" s="4">
        <v>42647</v>
      </c>
      <c r="M2502" s="1"/>
      <c r="N2502" s="1"/>
      <c r="O2502" s="1"/>
      <c r="P2502" s="1"/>
      <c r="Q2502" s="1"/>
      <c r="R2502" s="1"/>
    </row>
    <row r="2503" spans="2:18">
      <c r="C2503" s="2" t="s">
        <v>5</v>
      </c>
      <c r="D2503" s="2" t="s">
        <v>309</v>
      </c>
      <c r="E2503" s="3">
        <v>10</v>
      </c>
      <c r="F2503" s="3">
        <v>1.4</v>
      </c>
      <c r="G2503" s="4">
        <v>44637</v>
      </c>
      <c r="M2503" s="1"/>
      <c r="N2503" s="1"/>
      <c r="O2503" s="1"/>
      <c r="P2503" s="1"/>
      <c r="Q2503" s="1"/>
      <c r="R2503" s="1"/>
    </row>
    <row r="2504" spans="2:18">
      <c r="C2504" s="2" t="s">
        <v>4</v>
      </c>
      <c r="D2504" s="2" t="s">
        <v>309</v>
      </c>
      <c r="E2504" s="3">
        <v>4.5</v>
      </c>
      <c r="F2504" s="3">
        <v>2</v>
      </c>
      <c r="G2504" s="4">
        <v>44175</v>
      </c>
      <c r="M2504" s="1"/>
      <c r="N2504" s="1"/>
      <c r="O2504" s="1"/>
      <c r="P2504" s="1"/>
      <c r="Q2504" s="1"/>
      <c r="R2504" s="1"/>
    </row>
    <row r="2505" spans="2:18">
      <c r="G2505" s="4"/>
      <c r="M2505" s="1"/>
      <c r="N2505" s="1"/>
      <c r="O2505" s="1"/>
      <c r="P2505" s="1"/>
      <c r="Q2505" s="1"/>
      <c r="R2505" s="1"/>
    </row>
    <row r="2506" spans="2:18" s="12" customFormat="1">
      <c r="B2506" s="12" t="s">
        <v>314</v>
      </c>
      <c r="C2506" s="13" t="s">
        <v>984</v>
      </c>
      <c r="D2506" s="13" t="s">
        <v>983</v>
      </c>
      <c r="E2506" s="15"/>
      <c r="F2506" s="15">
        <f>SUM(F2507:F2510)</f>
        <v>5.3049999999999997</v>
      </c>
      <c r="G2506" s="14">
        <f>G2507</f>
        <v>44175</v>
      </c>
      <c r="M2506" s="13"/>
      <c r="N2506" s="13"/>
      <c r="O2506" s="13"/>
      <c r="P2506" s="13"/>
      <c r="Q2506" s="13"/>
      <c r="R2506" s="13"/>
    </row>
    <row r="2507" spans="2:18">
      <c r="C2507" s="2" t="s">
        <v>4</v>
      </c>
      <c r="D2507" s="2" t="s">
        <v>309</v>
      </c>
      <c r="E2507" s="3">
        <v>4.5</v>
      </c>
      <c r="F2507" s="3">
        <v>0.5</v>
      </c>
      <c r="G2507" s="4">
        <v>44175</v>
      </c>
    </row>
    <row r="2508" spans="2:18">
      <c r="C2508" s="2" t="s">
        <v>18</v>
      </c>
      <c r="D2508" s="2" t="s">
        <v>299</v>
      </c>
      <c r="E2508" s="3">
        <v>38</v>
      </c>
      <c r="F2508" s="3">
        <v>3</v>
      </c>
      <c r="G2508" s="4">
        <v>43104</v>
      </c>
    </row>
    <row r="2509" spans="2:18">
      <c r="C2509" s="2" t="s">
        <v>7</v>
      </c>
      <c r="D2509" s="2" t="s">
        <v>299</v>
      </c>
      <c r="E2509" s="3">
        <v>6.9</v>
      </c>
      <c r="F2509" s="3">
        <f>E2509/5</f>
        <v>1.3800000000000001</v>
      </c>
      <c r="G2509" s="4">
        <v>42458</v>
      </c>
    </row>
    <row r="2510" spans="2:18">
      <c r="C2510" s="2" t="s">
        <v>5</v>
      </c>
      <c r="D2510" s="2" t="s">
        <v>299</v>
      </c>
      <c r="E2510" s="3">
        <v>2.7</v>
      </c>
      <c r="F2510" s="3">
        <f>1.7/4</f>
        <v>0.42499999999999999</v>
      </c>
      <c r="G2510" s="4">
        <v>42139</v>
      </c>
    </row>
    <row r="2511" spans="2:18">
      <c r="G2511" s="4"/>
    </row>
    <row r="2512" spans="2:18" s="12" customFormat="1">
      <c r="B2512" s="12" t="s">
        <v>997</v>
      </c>
      <c r="C2512" s="13" t="s">
        <v>984</v>
      </c>
      <c r="D2512" s="13" t="s">
        <v>983</v>
      </c>
      <c r="E2512" s="15"/>
      <c r="F2512" s="15">
        <f>SUM(F2513:F2514)</f>
        <v>5</v>
      </c>
      <c r="G2512" s="14">
        <f>G2513</f>
        <v>44838</v>
      </c>
      <c r="M2512" s="13"/>
      <c r="N2512" s="13"/>
      <c r="O2512" s="13"/>
      <c r="P2512" s="13"/>
      <c r="Q2512" s="13"/>
      <c r="R2512" s="13"/>
    </row>
    <row r="2513" spans="2:18">
      <c r="C2513" s="2" t="s">
        <v>5</v>
      </c>
      <c r="D2513" s="2" t="s">
        <v>693</v>
      </c>
      <c r="E2513" s="3">
        <v>15</v>
      </c>
      <c r="F2513" s="3">
        <f>10/3</f>
        <v>3.3333333333333335</v>
      </c>
      <c r="G2513" s="4">
        <v>44838</v>
      </c>
    </row>
    <row r="2514" spans="2:18">
      <c r="C2514" s="2" t="s">
        <v>4</v>
      </c>
      <c r="D2514" s="2" t="s">
        <v>97</v>
      </c>
      <c r="E2514" s="3">
        <v>5</v>
      </c>
      <c r="F2514" s="3">
        <f>E2514/3</f>
        <v>1.6666666666666667</v>
      </c>
      <c r="G2514" s="4">
        <v>41940</v>
      </c>
    </row>
    <row r="2515" spans="2:18">
      <c r="G2515" s="4"/>
    </row>
    <row r="2516" spans="2:18" s="12" customFormat="1">
      <c r="B2516" s="12" t="s">
        <v>652</v>
      </c>
      <c r="C2516" s="13" t="s">
        <v>984</v>
      </c>
      <c r="D2516" s="13" t="s">
        <v>983</v>
      </c>
      <c r="E2516" s="15"/>
      <c r="F2516" s="15">
        <f>SUM(F2517:F2518)</f>
        <v>5</v>
      </c>
      <c r="G2516" s="14">
        <f>G2517</f>
        <v>44959</v>
      </c>
    </row>
    <row r="2517" spans="2:18">
      <c r="C2517" s="2" t="s">
        <v>5</v>
      </c>
      <c r="D2517" s="2" t="s">
        <v>651</v>
      </c>
      <c r="E2517" s="3">
        <v>11</v>
      </c>
      <c r="F2517" s="3">
        <v>4</v>
      </c>
      <c r="G2517" s="4">
        <v>44959</v>
      </c>
      <c r="M2517" s="1"/>
      <c r="N2517" s="1"/>
      <c r="O2517" s="1"/>
      <c r="P2517" s="1"/>
      <c r="Q2517" s="1"/>
      <c r="R2517" s="1"/>
    </row>
    <row r="2518" spans="2:18">
      <c r="C2518" s="2" t="s">
        <v>4</v>
      </c>
      <c r="D2518" s="2" t="s">
        <v>651</v>
      </c>
      <c r="E2518" s="3">
        <v>2.2000000000000002</v>
      </c>
      <c r="F2518" s="3">
        <v>1</v>
      </c>
      <c r="G2518" s="4">
        <v>44959</v>
      </c>
      <c r="M2518" s="1"/>
      <c r="N2518" s="1"/>
      <c r="O2518" s="1"/>
      <c r="P2518" s="1"/>
      <c r="Q2518" s="1"/>
      <c r="R2518" s="1"/>
    </row>
    <row r="2519" spans="2:18">
      <c r="G2519" s="4"/>
      <c r="M2519" s="1"/>
      <c r="N2519" s="1"/>
      <c r="O2519" s="1"/>
      <c r="P2519" s="1"/>
      <c r="Q2519" s="1"/>
      <c r="R2519" s="1"/>
    </row>
    <row r="2520" spans="2:18" s="12" customFormat="1">
      <c r="B2520" s="12" t="s">
        <v>996</v>
      </c>
      <c r="C2520" s="13" t="s">
        <v>984</v>
      </c>
      <c r="D2520" s="13" t="s">
        <v>983</v>
      </c>
      <c r="E2520" s="15"/>
      <c r="F2520" s="15">
        <f>SUM(F2521:F2522)</f>
        <v>4.833333333333333</v>
      </c>
      <c r="G2520" s="14">
        <f>G2521</f>
        <v>44893</v>
      </c>
      <c r="M2520" s="13"/>
      <c r="N2520" s="13"/>
      <c r="O2520" s="13"/>
      <c r="P2520" s="13"/>
      <c r="Q2520" s="13"/>
      <c r="R2520" s="13"/>
    </row>
    <row r="2521" spans="2:18">
      <c r="C2521" s="2" t="s">
        <v>5</v>
      </c>
      <c r="D2521" s="2" t="s">
        <v>791</v>
      </c>
      <c r="E2521" s="3">
        <v>33</v>
      </c>
      <c r="F2521" s="3">
        <f>13/3</f>
        <v>4.333333333333333</v>
      </c>
      <c r="G2521" s="4">
        <v>44893</v>
      </c>
    </row>
    <row r="2522" spans="2:18">
      <c r="C2522" s="2" t="s">
        <v>681</v>
      </c>
      <c r="D2522" s="2" t="s">
        <v>791</v>
      </c>
      <c r="E2522" s="3">
        <v>3</v>
      </c>
      <c r="F2522" s="3">
        <v>0.5</v>
      </c>
      <c r="G2522" s="4">
        <v>44183</v>
      </c>
    </row>
    <row r="2523" spans="2:18">
      <c r="G2523" s="4"/>
    </row>
    <row r="2524" spans="2:18" s="12" customFormat="1">
      <c r="B2524" s="12" t="s">
        <v>477</v>
      </c>
      <c r="C2524" s="13" t="s">
        <v>984</v>
      </c>
      <c r="D2524" s="13" t="s">
        <v>983</v>
      </c>
      <c r="E2524" s="15"/>
      <c r="F2524" s="15">
        <f>SUM(F2525:F2526)</f>
        <v>4.625</v>
      </c>
      <c r="G2524" s="14">
        <f>G2525</f>
        <v>44727</v>
      </c>
    </row>
    <row r="2525" spans="2:18">
      <c r="C2525" s="2" t="s">
        <v>5</v>
      </c>
      <c r="D2525" s="2" t="s">
        <v>474</v>
      </c>
      <c r="E2525" s="3">
        <v>15.5</v>
      </c>
      <c r="F2525" s="3">
        <v>1.625</v>
      </c>
      <c r="G2525" s="4">
        <v>44727</v>
      </c>
      <c r="M2525" s="1"/>
      <c r="N2525" s="1"/>
      <c r="O2525" s="1"/>
      <c r="P2525" s="1"/>
      <c r="Q2525" s="1"/>
      <c r="R2525" s="1"/>
    </row>
    <row r="2526" spans="2:18">
      <c r="C2526" s="2" t="s">
        <v>5</v>
      </c>
      <c r="D2526" s="2" t="s">
        <v>474</v>
      </c>
      <c r="E2526" s="3">
        <v>12</v>
      </c>
      <c r="F2526" s="3">
        <v>3</v>
      </c>
      <c r="G2526" s="4">
        <v>43948</v>
      </c>
      <c r="M2526" s="1"/>
      <c r="N2526" s="1"/>
      <c r="O2526" s="1"/>
      <c r="P2526" s="1"/>
      <c r="Q2526" s="1"/>
      <c r="R2526" s="1"/>
    </row>
    <row r="2527" spans="2:18">
      <c r="G2527" s="4"/>
      <c r="M2527" s="1"/>
      <c r="N2527" s="1"/>
      <c r="O2527" s="1"/>
      <c r="P2527" s="1"/>
      <c r="Q2527" s="1"/>
      <c r="R2527" s="1"/>
    </row>
    <row r="2528" spans="2:18" s="12" customFormat="1">
      <c r="B2528" s="12" t="s">
        <v>995</v>
      </c>
      <c r="C2528" s="13" t="s">
        <v>984</v>
      </c>
      <c r="D2528" s="13" t="s">
        <v>983</v>
      </c>
      <c r="E2528" s="15"/>
      <c r="F2528" s="15">
        <f>SUM(F2529:F2530)</f>
        <v>5</v>
      </c>
      <c r="G2528" s="14">
        <f>G2529</f>
        <v>44522</v>
      </c>
      <c r="M2528" s="13"/>
      <c r="N2528" s="13"/>
      <c r="O2528" s="13"/>
      <c r="P2528" s="13"/>
      <c r="Q2528" s="13"/>
      <c r="R2528" s="13"/>
    </row>
    <row r="2529" spans="2:18">
      <c r="C2529" s="2" t="s">
        <v>5</v>
      </c>
      <c r="D2529" s="2" t="s">
        <v>885</v>
      </c>
      <c r="E2529" s="3">
        <v>30</v>
      </c>
      <c r="F2529" s="3">
        <v>4</v>
      </c>
      <c r="G2529" s="4">
        <v>44522</v>
      </c>
    </row>
    <row r="2530" spans="2:18">
      <c r="C2530" s="2" t="s">
        <v>4</v>
      </c>
      <c r="D2530" s="2" t="s">
        <v>885</v>
      </c>
      <c r="E2530" s="3">
        <v>5.5</v>
      </c>
      <c r="F2530" s="3">
        <v>1</v>
      </c>
      <c r="G2530" s="4">
        <v>44096</v>
      </c>
    </row>
    <row r="2532" spans="2:18" s="12" customFormat="1">
      <c r="B2532" s="12" t="s">
        <v>994</v>
      </c>
      <c r="C2532" s="13" t="s">
        <v>984</v>
      </c>
      <c r="D2532" s="13" t="s">
        <v>983</v>
      </c>
      <c r="E2532" s="15"/>
      <c r="F2532" s="15">
        <f>SUM(F2533:F2534)</f>
        <v>4.833333333333333</v>
      </c>
      <c r="G2532" s="14">
        <f>G2533</f>
        <v>44893</v>
      </c>
      <c r="M2532" s="13"/>
      <c r="N2532" s="13"/>
      <c r="O2532" s="13"/>
      <c r="P2532" s="13"/>
      <c r="Q2532" s="13"/>
      <c r="R2532" s="13"/>
    </row>
    <row r="2533" spans="2:18">
      <c r="C2533" s="2" t="s">
        <v>5</v>
      </c>
      <c r="D2533" s="2" t="s">
        <v>791</v>
      </c>
      <c r="E2533" s="3">
        <v>33</v>
      </c>
      <c r="F2533" s="3">
        <f>13/3</f>
        <v>4.333333333333333</v>
      </c>
      <c r="G2533" s="4">
        <v>44893</v>
      </c>
    </row>
    <row r="2534" spans="2:18">
      <c r="C2534" s="2" t="s">
        <v>681</v>
      </c>
      <c r="D2534" s="2" t="s">
        <v>791</v>
      </c>
      <c r="E2534" s="3">
        <v>3</v>
      </c>
      <c r="F2534" s="3">
        <v>0.5</v>
      </c>
      <c r="G2534" s="4">
        <v>44183</v>
      </c>
    </row>
    <row r="2535" spans="2:18">
      <c r="C2535" s="2" t="s">
        <v>4</v>
      </c>
      <c r="D2535" s="2" t="s">
        <v>309</v>
      </c>
      <c r="E2535" s="3">
        <v>1.8</v>
      </c>
      <c r="F2535" s="3">
        <v>0.2</v>
      </c>
      <c r="G2535" s="4">
        <v>42690</v>
      </c>
    </row>
    <row r="2536" spans="2:18">
      <c r="G2536" s="4"/>
    </row>
    <row r="2537" spans="2:18" s="12" customFormat="1">
      <c r="B2537" s="12" t="s">
        <v>827</v>
      </c>
      <c r="C2537" s="13" t="s">
        <v>984</v>
      </c>
      <c r="D2537" s="13" t="s">
        <v>983</v>
      </c>
      <c r="E2537" s="15"/>
      <c r="F2537" s="15">
        <f>SUM(F2538:F2539)</f>
        <v>5</v>
      </c>
      <c r="G2537" s="14">
        <f>G2539</f>
        <v>44866</v>
      </c>
      <c r="M2537" s="13"/>
      <c r="N2537" s="13"/>
      <c r="O2537" s="13"/>
      <c r="P2537" s="13"/>
      <c r="Q2537" s="13"/>
      <c r="R2537" s="13"/>
    </row>
    <row r="2538" spans="2:18">
      <c r="C2538" s="2" t="s">
        <v>5</v>
      </c>
      <c r="D2538" s="2" t="s">
        <v>653</v>
      </c>
      <c r="E2538" s="3">
        <v>12</v>
      </c>
      <c r="F2538" s="3">
        <f>6/3</f>
        <v>2</v>
      </c>
      <c r="G2538" s="4">
        <v>44860</v>
      </c>
    </row>
    <row r="2539" spans="2:18">
      <c r="C2539" s="2" t="s">
        <v>5</v>
      </c>
      <c r="D2539" s="2" t="s">
        <v>2062</v>
      </c>
      <c r="E2539" s="3">
        <v>18</v>
      </c>
      <c r="F2539" s="3">
        <v>3</v>
      </c>
      <c r="G2539" s="4">
        <v>44866</v>
      </c>
    </row>
    <row r="2540" spans="2:18">
      <c r="G2540" s="4"/>
    </row>
    <row r="2541" spans="2:18" s="12" customFormat="1">
      <c r="B2541" s="12" t="s">
        <v>496</v>
      </c>
      <c r="C2541" s="13" t="s">
        <v>984</v>
      </c>
      <c r="D2541" s="13" t="s">
        <v>983</v>
      </c>
      <c r="E2541" s="15"/>
      <c r="F2541" s="15">
        <f>SUM(F2542:F2544)</f>
        <v>4.9000000000000004</v>
      </c>
      <c r="G2541" s="14">
        <f>G2542</f>
        <v>44516</v>
      </c>
    </row>
    <row r="2542" spans="2:18">
      <c r="C2542" s="2" t="s">
        <v>5</v>
      </c>
      <c r="D2542" s="2" t="s">
        <v>492</v>
      </c>
      <c r="E2542" s="3">
        <v>13</v>
      </c>
      <c r="F2542" s="3">
        <v>1.4</v>
      </c>
      <c r="G2542" s="4">
        <v>44516</v>
      </c>
      <c r="M2542" s="1"/>
      <c r="N2542" s="1"/>
      <c r="O2542" s="1"/>
      <c r="P2542" s="1"/>
      <c r="Q2542" s="1"/>
      <c r="R2542" s="1"/>
    </row>
    <row r="2543" spans="2:18">
      <c r="C2543" s="2" t="s">
        <v>4</v>
      </c>
      <c r="D2543" s="2" t="s">
        <v>492</v>
      </c>
      <c r="E2543" s="3">
        <v>2.5</v>
      </c>
      <c r="F2543" s="3">
        <v>1.5</v>
      </c>
      <c r="G2543" s="4">
        <v>44305</v>
      </c>
      <c r="M2543" s="1"/>
      <c r="N2543" s="1"/>
      <c r="O2543" s="1"/>
      <c r="P2543" s="1"/>
      <c r="Q2543" s="1"/>
      <c r="R2543" s="1"/>
    </row>
    <row r="2544" spans="2:18">
      <c r="C2544" s="2" t="s">
        <v>4</v>
      </c>
      <c r="D2544" s="2" t="s">
        <v>490</v>
      </c>
      <c r="E2544" s="3">
        <v>2</v>
      </c>
      <c r="F2544" s="3">
        <v>2</v>
      </c>
      <c r="G2544" s="4">
        <v>44332</v>
      </c>
      <c r="M2544" s="1"/>
      <c r="N2544" s="1"/>
      <c r="O2544" s="1"/>
      <c r="P2544" s="1"/>
      <c r="Q2544" s="1"/>
      <c r="R2544" s="1"/>
    </row>
    <row r="2546" spans="2:18" s="12" customFormat="1">
      <c r="B2546" s="12" t="s">
        <v>656</v>
      </c>
      <c r="C2546" s="13" t="s">
        <v>984</v>
      </c>
      <c r="D2546" s="13" t="s">
        <v>983</v>
      </c>
      <c r="E2546" s="15"/>
      <c r="F2546" s="15">
        <f>SUM(F2547:F2548)</f>
        <v>5.166666666666667</v>
      </c>
      <c r="G2546" s="14">
        <f>G2547</f>
        <v>44825</v>
      </c>
    </row>
    <row r="2547" spans="2:18">
      <c r="C2547" s="2" t="s">
        <v>5</v>
      </c>
      <c r="D2547" s="2" t="s">
        <v>655</v>
      </c>
      <c r="E2547" s="3">
        <v>12.5</v>
      </c>
      <c r="F2547" s="3">
        <f>E2547/3</f>
        <v>4.166666666666667</v>
      </c>
      <c r="G2547" s="4">
        <v>44825</v>
      </c>
      <c r="M2547" s="1"/>
      <c r="N2547" s="1"/>
      <c r="O2547" s="1"/>
      <c r="P2547" s="1"/>
      <c r="Q2547" s="1"/>
      <c r="R2547" s="1"/>
    </row>
    <row r="2548" spans="2:18">
      <c r="C2548" s="2" t="s">
        <v>5</v>
      </c>
      <c r="D2548" s="2" t="s">
        <v>530</v>
      </c>
      <c r="E2548" s="3">
        <v>7</v>
      </c>
      <c r="F2548" s="3">
        <v>1</v>
      </c>
      <c r="G2548" s="4">
        <v>42885</v>
      </c>
      <c r="M2548" s="1"/>
      <c r="N2548" s="1"/>
      <c r="O2548" s="1"/>
      <c r="P2548" s="1"/>
      <c r="Q2548" s="1"/>
      <c r="R2548" s="1"/>
    </row>
    <row r="2549" spans="2:18">
      <c r="G2549" s="4"/>
      <c r="M2549" s="1"/>
      <c r="N2549" s="1"/>
      <c r="O2549" s="1"/>
      <c r="P2549" s="1"/>
      <c r="Q2549" s="1"/>
      <c r="R2549" s="1"/>
    </row>
    <row r="2550" spans="2:18" s="12" customFormat="1">
      <c r="B2550" s="12" t="s">
        <v>475</v>
      </c>
      <c r="C2550" s="13" t="s">
        <v>984</v>
      </c>
      <c r="D2550" s="13" t="s">
        <v>983</v>
      </c>
      <c r="E2550" s="15"/>
      <c r="F2550" s="15">
        <f>SUM(F2551:F2552)</f>
        <v>4.625</v>
      </c>
      <c r="G2550" s="14">
        <f>G2551</f>
        <v>44727</v>
      </c>
    </row>
    <row r="2551" spans="2:18">
      <c r="C2551" s="2" t="s">
        <v>5</v>
      </c>
      <c r="D2551" s="2" t="s">
        <v>474</v>
      </c>
      <c r="E2551" s="3">
        <v>15.5</v>
      </c>
      <c r="F2551" s="3">
        <v>1.625</v>
      </c>
      <c r="G2551" s="4">
        <v>44727</v>
      </c>
      <c r="M2551" s="1"/>
      <c r="N2551" s="1"/>
      <c r="O2551" s="1"/>
      <c r="P2551" s="1"/>
      <c r="Q2551" s="1"/>
      <c r="R2551" s="1"/>
    </row>
    <row r="2552" spans="2:18">
      <c r="C2552" s="2" t="s">
        <v>5</v>
      </c>
      <c r="D2552" s="2" t="s">
        <v>474</v>
      </c>
      <c r="E2552" s="3">
        <v>12</v>
      </c>
      <c r="F2552" s="3">
        <v>3</v>
      </c>
      <c r="G2552" s="4">
        <v>43948</v>
      </c>
      <c r="M2552" s="1"/>
      <c r="N2552" s="1"/>
      <c r="O2552" s="1"/>
      <c r="P2552" s="1"/>
      <c r="Q2552" s="1"/>
      <c r="R2552" s="1"/>
    </row>
    <row r="2554" spans="2:18" s="12" customFormat="1">
      <c r="B2554" s="12" t="s">
        <v>564</v>
      </c>
      <c r="C2554" s="13" t="s">
        <v>984</v>
      </c>
      <c r="D2554" s="13" t="s">
        <v>983</v>
      </c>
      <c r="E2554" s="15"/>
      <c r="F2554" s="15">
        <f>SUM(F2555:F2557)</f>
        <v>5</v>
      </c>
      <c r="G2554" s="14">
        <f>G2555</f>
        <v>45077</v>
      </c>
    </row>
    <row r="2555" spans="2:18">
      <c r="C2555" s="2" t="s">
        <v>7</v>
      </c>
      <c r="D2555" s="2" t="s">
        <v>558</v>
      </c>
      <c r="E2555" s="3">
        <v>20</v>
      </c>
      <c r="F2555" s="3">
        <f>12/6</f>
        <v>2</v>
      </c>
      <c r="G2555" s="4">
        <v>45077</v>
      </c>
      <c r="M2555" s="1"/>
      <c r="N2555" s="1"/>
      <c r="O2555" s="1"/>
      <c r="P2555" s="1"/>
      <c r="Q2555" s="1"/>
      <c r="R2555" s="1"/>
    </row>
    <row r="2556" spans="2:18">
      <c r="C2556" s="2" t="s">
        <v>5</v>
      </c>
      <c r="D2556" s="2" t="s">
        <v>558</v>
      </c>
      <c r="E2556" s="3">
        <v>10.5</v>
      </c>
      <c r="F2556" s="3">
        <f>5/5</f>
        <v>1</v>
      </c>
      <c r="G2556" s="4">
        <v>44341</v>
      </c>
      <c r="M2556" s="1"/>
      <c r="N2556" s="1"/>
      <c r="O2556" s="1"/>
      <c r="P2556" s="1"/>
      <c r="Q2556" s="1"/>
      <c r="R2556" s="1"/>
    </row>
    <row r="2557" spans="2:18">
      <c r="C2557" s="2" t="s">
        <v>4</v>
      </c>
      <c r="D2557" s="2" t="s">
        <v>558</v>
      </c>
      <c r="E2557" s="3">
        <v>4</v>
      </c>
      <c r="F2557" s="3">
        <v>2</v>
      </c>
      <c r="G2557" s="4">
        <v>43671</v>
      </c>
      <c r="M2557" s="1"/>
      <c r="N2557" s="1"/>
      <c r="O2557" s="1"/>
      <c r="P2557" s="1"/>
      <c r="Q2557" s="1"/>
      <c r="R2557" s="1"/>
    </row>
    <row r="2558" spans="2:18">
      <c r="G2558" s="4"/>
      <c r="M2558" s="1"/>
      <c r="N2558" s="1"/>
      <c r="O2558" s="1"/>
      <c r="P2558" s="1"/>
      <c r="Q2558" s="1"/>
      <c r="R2558" s="1"/>
    </row>
    <row r="2559" spans="2:18" s="12" customFormat="1">
      <c r="B2559" s="12" t="s">
        <v>993</v>
      </c>
      <c r="C2559" s="13" t="s">
        <v>984</v>
      </c>
      <c r="D2559" s="13" t="s">
        <v>983</v>
      </c>
      <c r="E2559" s="15"/>
      <c r="F2559" s="15">
        <f>SUM(F2560:F2561)</f>
        <v>5</v>
      </c>
      <c r="G2559" s="14">
        <f>G2560</f>
        <v>44636</v>
      </c>
      <c r="M2559" s="13"/>
      <c r="N2559" s="13"/>
      <c r="O2559" s="13"/>
      <c r="P2559" s="13"/>
      <c r="Q2559" s="13"/>
      <c r="R2559" s="13"/>
    </row>
    <row r="2560" spans="2:18">
      <c r="C2560" s="2" t="s">
        <v>7</v>
      </c>
      <c r="D2560" s="2" t="s">
        <v>872</v>
      </c>
      <c r="E2560" s="3">
        <v>25</v>
      </c>
      <c r="F2560" s="3">
        <v>3</v>
      </c>
      <c r="G2560" s="4">
        <v>44636</v>
      </c>
    </row>
    <row r="2561" spans="2:18">
      <c r="C2561" s="2" t="s">
        <v>5</v>
      </c>
      <c r="D2561" s="2" t="s">
        <v>872</v>
      </c>
      <c r="E2561" s="3">
        <v>12.2</v>
      </c>
      <c r="F2561" s="3">
        <v>2</v>
      </c>
      <c r="G2561" s="4">
        <v>44179</v>
      </c>
    </row>
    <row r="2562" spans="2:18">
      <c r="G2562" s="4"/>
    </row>
    <row r="2563" spans="2:18" s="12" customFormat="1">
      <c r="B2563" s="12" t="s">
        <v>729</v>
      </c>
      <c r="C2563" s="13" t="s">
        <v>984</v>
      </c>
      <c r="D2563" s="13" t="s">
        <v>983</v>
      </c>
      <c r="E2563" s="15"/>
      <c r="F2563" s="15">
        <f>SUM(F2564:F2565)</f>
        <v>4</v>
      </c>
      <c r="G2563" s="14">
        <f>G2564</f>
        <v>44110</v>
      </c>
      <c r="M2563" s="13"/>
      <c r="N2563" s="13"/>
      <c r="O2563" s="13"/>
      <c r="P2563" s="13"/>
      <c r="Q2563" s="13"/>
      <c r="R2563" s="13"/>
    </row>
    <row r="2564" spans="2:18">
      <c r="C2564" s="2" t="s">
        <v>5</v>
      </c>
      <c r="D2564" s="2" t="s">
        <v>728</v>
      </c>
      <c r="E2564" s="3">
        <v>10</v>
      </c>
      <c r="F2564" s="3">
        <v>2</v>
      </c>
      <c r="G2564" s="4">
        <v>44110</v>
      </c>
    </row>
    <row r="2565" spans="2:18">
      <c r="C2565" s="2" t="s">
        <v>4</v>
      </c>
      <c r="D2565" s="2" t="s">
        <v>728</v>
      </c>
      <c r="E2565" s="3">
        <v>5</v>
      </c>
      <c r="F2565" s="3">
        <v>2</v>
      </c>
      <c r="G2565" s="4">
        <v>43423</v>
      </c>
    </row>
    <row r="2566" spans="2:18">
      <c r="G2566" s="4"/>
    </row>
    <row r="2567" spans="2:18" s="12" customFormat="1">
      <c r="B2567" s="12" t="s">
        <v>606</v>
      </c>
      <c r="C2567" s="13" t="s">
        <v>984</v>
      </c>
      <c r="D2567" s="13" t="s">
        <v>983</v>
      </c>
      <c r="E2567" s="15"/>
      <c r="F2567" s="15">
        <f>SUM(F2568:F2569)</f>
        <v>4.3999999999999995</v>
      </c>
      <c r="G2567" s="14">
        <f>G2568</f>
        <v>44964</v>
      </c>
    </row>
    <row r="2568" spans="2:18">
      <c r="C2568" s="2" t="s">
        <v>4</v>
      </c>
      <c r="D2568" s="2" t="s">
        <v>604</v>
      </c>
      <c r="E2568" s="3">
        <v>6.8</v>
      </c>
      <c r="F2568" s="3">
        <v>3.8</v>
      </c>
      <c r="G2568" s="4">
        <v>44964</v>
      </c>
      <c r="M2568" s="1"/>
      <c r="N2568" s="1"/>
      <c r="O2568" s="1"/>
      <c r="P2568" s="1"/>
      <c r="Q2568" s="1"/>
      <c r="R2568" s="1"/>
    </row>
    <row r="2569" spans="2:18">
      <c r="C2569" s="2" t="s">
        <v>4</v>
      </c>
      <c r="D2569" s="2" t="s">
        <v>604</v>
      </c>
      <c r="E2569" s="3">
        <v>1.6</v>
      </c>
      <c r="F2569" s="3">
        <v>0.6</v>
      </c>
      <c r="G2569" s="4">
        <v>44197</v>
      </c>
      <c r="M2569" s="1"/>
      <c r="N2569" s="1"/>
      <c r="O2569" s="1"/>
      <c r="P2569" s="1"/>
      <c r="Q2569" s="1"/>
      <c r="R2569" s="1"/>
    </row>
    <row r="2570" spans="2:18">
      <c r="G2570" s="4"/>
      <c r="M2570" s="1"/>
      <c r="N2570" s="1"/>
      <c r="O2570" s="1"/>
      <c r="P2570" s="1"/>
      <c r="Q2570" s="1"/>
      <c r="R2570" s="1"/>
    </row>
    <row r="2571" spans="2:18" s="12" customFormat="1">
      <c r="B2571" s="12" t="s">
        <v>658</v>
      </c>
      <c r="C2571" s="13" t="s">
        <v>984</v>
      </c>
      <c r="D2571" s="13" t="s">
        <v>983</v>
      </c>
      <c r="E2571" s="15"/>
      <c r="F2571" s="15">
        <f>SUM(F2572:F2573)</f>
        <v>3.5</v>
      </c>
      <c r="G2571" s="14">
        <f>G2572</f>
        <v>44642</v>
      </c>
    </row>
    <row r="2572" spans="2:18">
      <c r="C2572" s="2" t="s">
        <v>5</v>
      </c>
      <c r="D2572" s="2" t="s">
        <v>657</v>
      </c>
      <c r="E2572" s="3">
        <v>13</v>
      </c>
      <c r="F2572" s="3">
        <f>8/4</f>
        <v>2</v>
      </c>
      <c r="G2572" s="4">
        <v>44642</v>
      </c>
      <c r="M2572" s="1"/>
      <c r="N2572" s="1"/>
      <c r="O2572" s="1"/>
      <c r="P2572" s="1"/>
      <c r="Q2572" s="1"/>
      <c r="R2572" s="1"/>
    </row>
    <row r="2573" spans="2:18">
      <c r="C2573" s="2" t="s">
        <v>4</v>
      </c>
      <c r="D2573" s="2" t="s">
        <v>657</v>
      </c>
      <c r="E2573" s="3">
        <v>3.5</v>
      </c>
      <c r="F2573" s="3">
        <v>1.5</v>
      </c>
      <c r="G2573" s="4">
        <v>44124</v>
      </c>
      <c r="M2573" s="1"/>
      <c r="N2573" s="1"/>
      <c r="O2573" s="1"/>
      <c r="P2573" s="1"/>
      <c r="Q2573" s="1"/>
      <c r="R2573" s="1"/>
    </row>
    <row r="2574" spans="2:18">
      <c r="G2574" s="4"/>
      <c r="M2574" s="1"/>
      <c r="N2574" s="1"/>
      <c r="O2574" s="1"/>
      <c r="P2574" s="1"/>
      <c r="Q2574" s="1"/>
      <c r="R2574" s="1"/>
    </row>
    <row r="2575" spans="2:18" s="12" customFormat="1">
      <c r="B2575" s="12" t="s">
        <v>991</v>
      </c>
      <c r="C2575" s="13" t="s">
        <v>984</v>
      </c>
      <c r="D2575" s="13" t="s">
        <v>983</v>
      </c>
      <c r="E2575" s="15"/>
      <c r="F2575" s="15">
        <f>SUM(F2576:F2577)</f>
        <v>4.0999999999999996</v>
      </c>
      <c r="G2575" s="14">
        <f>G2576</f>
        <v>44796</v>
      </c>
      <c r="M2575" s="13"/>
      <c r="N2575" s="13"/>
      <c r="O2575" s="13"/>
      <c r="P2575" s="13"/>
      <c r="Q2575" s="13"/>
      <c r="R2575" s="13"/>
    </row>
    <row r="2576" spans="2:18">
      <c r="C2576" s="2" t="s">
        <v>5</v>
      </c>
      <c r="D2576" s="2" t="s">
        <v>712</v>
      </c>
      <c r="E2576" s="3">
        <v>50</v>
      </c>
      <c r="F2576" s="3">
        <f>30/12</f>
        <v>2.5</v>
      </c>
      <c r="G2576" s="4">
        <v>44796</v>
      </c>
    </row>
    <row r="2577" spans="2:18">
      <c r="C2577" s="2" t="s">
        <v>4</v>
      </c>
      <c r="D2577" s="2" t="s">
        <v>712</v>
      </c>
      <c r="E2577" s="3">
        <v>12.5</v>
      </c>
      <c r="F2577" s="3">
        <f>8/5</f>
        <v>1.6</v>
      </c>
      <c r="G2577" s="4">
        <v>44623</v>
      </c>
    </row>
    <row r="2579" spans="2:18" s="12" customFormat="1">
      <c r="B2579" s="12" t="s">
        <v>5073</v>
      </c>
      <c r="C2579" s="13" t="s">
        <v>984</v>
      </c>
      <c r="D2579" s="13" t="s">
        <v>983</v>
      </c>
      <c r="E2579" s="15"/>
      <c r="F2579" s="15">
        <f>SUM(F2580:F2581)</f>
        <v>4.375</v>
      </c>
      <c r="G2579" s="14">
        <f>G2580</f>
        <v>43720</v>
      </c>
      <c r="M2579" s="13"/>
      <c r="N2579" s="13"/>
      <c r="O2579" s="13"/>
      <c r="P2579" s="13"/>
      <c r="Q2579" s="13"/>
      <c r="R2579" s="13"/>
    </row>
    <row r="2580" spans="2:18">
      <c r="B2580" s="84"/>
      <c r="C2580" s="86" t="s">
        <v>7</v>
      </c>
      <c r="D2580" s="86" t="s">
        <v>2155</v>
      </c>
      <c r="E2580" s="3">
        <v>40</v>
      </c>
      <c r="F2580" s="3">
        <f>30/10</f>
        <v>3</v>
      </c>
      <c r="G2580" s="4">
        <v>43720</v>
      </c>
      <c r="J2580" s="1">
        <v>3400</v>
      </c>
    </row>
    <row r="2581" spans="2:18">
      <c r="C2581" s="86" t="s">
        <v>5</v>
      </c>
      <c r="D2581" s="86" t="s">
        <v>2155</v>
      </c>
      <c r="E2581" s="3">
        <v>11.5</v>
      </c>
      <c r="F2581" s="3">
        <f>5.5/4</f>
        <v>1.375</v>
      </c>
      <c r="G2581" s="4">
        <v>43355</v>
      </c>
      <c r="J2581" s="1">
        <v>3400</v>
      </c>
    </row>
    <row r="2582" spans="2:18">
      <c r="C2582" s="86"/>
      <c r="D2582" s="86"/>
      <c r="G2582" s="4"/>
    </row>
    <row r="2583" spans="2:18" s="12" customFormat="1">
      <c r="B2583" s="12" t="s">
        <v>739</v>
      </c>
      <c r="C2583" s="13" t="s">
        <v>984</v>
      </c>
      <c r="D2583" s="13" t="s">
        <v>983</v>
      </c>
      <c r="E2583" s="15"/>
      <c r="F2583" s="15">
        <f>SUM(F2584:F2585)</f>
        <v>3.6666666666666665</v>
      </c>
      <c r="G2583" s="14">
        <f>G2584</f>
        <v>44676</v>
      </c>
    </row>
    <row r="2584" spans="2:18">
      <c r="C2584" s="2" t="s">
        <v>5</v>
      </c>
      <c r="D2584" s="2" t="s">
        <v>737</v>
      </c>
      <c r="E2584" s="3">
        <v>20</v>
      </c>
      <c r="F2584" s="3">
        <f>13/6</f>
        <v>2.1666666666666665</v>
      </c>
      <c r="G2584" s="4">
        <v>44676</v>
      </c>
    </row>
    <row r="2585" spans="2:18">
      <c r="C2585" s="2" t="s">
        <v>4</v>
      </c>
      <c r="D2585" s="2" t="s">
        <v>737</v>
      </c>
      <c r="E2585" s="3">
        <v>5</v>
      </c>
      <c r="F2585" s="3">
        <v>1.5</v>
      </c>
      <c r="G2585" s="4">
        <v>44060</v>
      </c>
    </row>
    <row r="2587" spans="2:18" s="12" customFormat="1">
      <c r="B2587" s="12" t="s">
        <v>741</v>
      </c>
      <c r="C2587" s="13" t="s">
        <v>984</v>
      </c>
      <c r="D2587" s="13" t="s">
        <v>983</v>
      </c>
      <c r="E2587" s="15"/>
      <c r="F2587" s="15">
        <f>SUM(F2588:F2589)</f>
        <v>3.6666666666666665</v>
      </c>
      <c r="G2587" s="14">
        <f>G2588</f>
        <v>44676</v>
      </c>
    </row>
    <row r="2588" spans="2:18">
      <c r="C2588" s="2" t="s">
        <v>5</v>
      </c>
      <c r="D2588" s="2" t="s">
        <v>737</v>
      </c>
      <c r="E2588" s="3">
        <v>20</v>
      </c>
      <c r="F2588" s="3">
        <f>13/6</f>
        <v>2.1666666666666665</v>
      </c>
      <c r="G2588" s="4">
        <v>44676</v>
      </c>
    </row>
    <row r="2589" spans="2:18">
      <c r="C2589" s="2" t="s">
        <v>4</v>
      </c>
      <c r="D2589" s="2" t="s">
        <v>737</v>
      </c>
      <c r="E2589" s="3">
        <v>5</v>
      </c>
      <c r="F2589" s="3">
        <v>1.5</v>
      </c>
      <c r="G2589" s="4">
        <v>44060</v>
      </c>
    </row>
    <row r="2590" spans="2:18">
      <c r="G2590" s="4"/>
    </row>
    <row r="2591" spans="2:18" s="12" customFormat="1">
      <c r="B2591" s="12" t="s">
        <v>694</v>
      </c>
      <c r="C2591" s="13" t="s">
        <v>984</v>
      </c>
      <c r="D2591" s="13" t="s">
        <v>983</v>
      </c>
      <c r="E2591" s="15"/>
      <c r="F2591" s="15">
        <f>SUM(F2592:F2593)</f>
        <v>4.3333333333333339</v>
      </c>
      <c r="G2591" s="14">
        <f>G2592</f>
        <v>44838</v>
      </c>
      <c r="M2591" s="13"/>
      <c r="N2591" s="13"/>
      <c r="O2591" s="13"/>
      <c r="P2591" s="13"/>
      <c r="Q2591" s="13"/>
      <c r="R2591" s="13"/>
    </row>
    <row r="2592" spans="2:18">
      <c r="C2592" s="2" t="s">
        <v>5</v>
      </c>
      <c r="D2592" s="2" t="s">
        <v>693</v>
      </c>
      <c r="E2592" s="3">
        <v>15</v>
      </c>
      <c r="F2592" s="3">
        <f>10/3</f>
        <v>3.3333333333333335</v>
      </c>
      <c r="G2592" s="4">
        <v>44838</v>
      </c>
    </row>
    <row r="2593" spans="2:18">
      <c r="C2593" s="2" t="s">
        <v>4</v>
      </c>
      <c r="D2593" s="2" t="s">
        <v>607</v>
      </c>
      <c r="E2593" s="3">
        <v>6</v>
      </c>
      <c r="F2593" s="3">
        <v>1</v>
      </c>
      <c r="G2593" s="4">
        <v>44781</v>
      </c>
    </row>
    <row r="2594" spans="2:18">
      <c r="G2594" s="4"/>
    </row>
    <row r="2595" spans="2:18" s="12" customFormat="1">
      <c r="B2595" s="12" t="s">
        <v>335</v>
      </c>
      <c r="C2595" s="13" t="s">
        <v>984</v>
      </c>
      <c r="D2595" s="13" t="s">
        <v>983</v>
      </c>
      <c r="E2595" s="15"/>
      <c r="F2595" s="15">
        <f>SUM(F2596:F2597)</f>
        <v>3.588888888888889</v>
      </c>
      <c r="G2595" s="14">
        <f>G2596</f>
        <v>43031</v>
      </c>
    </row>
    <row r="2596" spans="2:18">
      <c r="C2596" s="2" t="s">
        <v>4</v>
      </c>
      <c r="D2596" s="2" t="s">
        <v>325</v>
      </c>
      <c r="E2596" s="3">
        <v>3.2</v>
      </c>
      <c r="F2596" s="3">
        <v>3.2</v>
      </c>
      <c r="G2596" s="4">
        <v>43031</v>
      </c>
      <c r="L2596" s="1">
        <f>+F2596*20</f>
        <v>64</v>
      </c>
      <c r="M2596" s="1"/>
      <c r="N2596" s="1"/>
      <c r="O2596" s="1"/>
      <c r="P2596" s="1"/>
      <c r="Q2596" s="1"/>
      <c r="R2596" s="1"/>
    </row>
    <row r="2597" spans="2:18">
      <c r="C2597" s="2" t="s">
        <v>4</v>
      </c>
      <c r="D2597" s="2" t="s">
        <v>265</v>
      </c>
      <c r="E2597" s="3">
        <v>3.5</v>
      </c>
      <c r="F2597" s="3">
        <f>+E2597/9</f>
        <v>0.3888888888888889</v>
      </c>
      <c r="G2597" s="4">
        <v>42979</v>
      </c>
      <c r="M2597" s="1"/>
      <c r="N2597" s="1"/>
      <c r="O2597" s="1"/>
      <c r="P2597" s="1"/>
      <c r="Q2597" s="1"/>
      <c r="R2597" s="1"/>
    </row>
    <row r="2598" spans="2:18">
      <c r="G2598" s="4"/>
      <c r="M2598" s="1"/>
      <c r="N2598" s="1"/>
      <c r="O2598" s="1"/>
      <c r="P2598" s="1"/>
      <c r="Q2598" s="1"/>
      <c r="R2598" s="1"/>
    </row>
    <row r="2599" spans="2:18">
      <c r="B2599" s="12" t="s">
        <v>990</v>
      </c>
      <c r="C2599" s="13" t="s">
        <v>984</v>
      </c>
      <c r="D2599" s="13" t="s">
        <v>983</v>
      </c>
      <c r="F2599" s="15">
        <f>F2600+F2601</f>
        <v>3.5</v>
      </c>
      <c r="G2599" s="14">
        <f>G2601</f>
        <v>44392</v>
      </c>
    </row>
    <row r="2600" spans="2:18">
      <c r="C2600" s="2" t="s">
        <v>5</v>
      </c>
      <c r="D2600" s="2" t="s">
        <v>977</v>
      </c>
      <c r="E2600" s="3">
        <v>5</v>
      </c>
      <c r="F2600" s="3">
        <v>1</v>
      </c>
      <c r="G2600" s="4">
        <v>43251</v>
      </c>
    </row>
    <row r="2601" spans="2:18">
      <c r="C2601" s="2" t="s">
        <v>5</v>
      </c>
      <c r="D2601" s="2" t="s">
        <v>706</v>
      </c>
      <c r="E2601" s="3">
        <v>20</v>
      </c>
      <c r="F2601" s="3">
        <v>2.5</v>
      </c>
      <c r="G2601" s="4">
        <v>44392</v>
      </c>
    </row>
    <row r="2602" spans="2:18">
      <c r="C2602" s="2" t="s">
        <v>5</v>
      </c>
      <c r="D2602" s="2" t="s">
        <v>703</v>
      </c>
      <c r="E2602" s="3">
        <v>8</v>
      </c>
      <c r="F2602" s="3">
        <v>1</v>
      </c>
      <c r="G2602" s="4">
        <v>43249</v>
      </c>
    </row>
    <row r="2603" spans="2:18">
      <c r="G2603" s="4"/>
    </row>
    <row r="2604" spans="2:18" s="12" customFormat="1">
      <c r="B2604" s="12" t="s">
        <v>743</v>
      </c>
      <c r="C2604" s="13" t="s">
        <v>984</v>
      </c>
      <c r="D2604" s="13" t="s">
        <v>983</v>
      </c>
      <c r="E2604" s="15"/>
      <c r="F2604" s="15">
        <f>SUM(F2605:F2607)</f>
        <v>4.3214285714285712</v>
      </c>
      <c r="G2604" s="14">
        <f>G2605</f>
        <v>44757</v>
      </c>
      <c r="M2604" s="13"/>
      <c r="N2604" s="13"/>
      <c r="O2604" s="13"/>
      <c r="P2604" s="13"/>
      <c r="Q2604" s="13"/>
      <c r="R2604" s="13"/>
    </row>
    <row r="2605" spans="2:18">
      <c r="C2605" s="2" t="s">
        <v>5</v>
      </c>
      <c r="D2605" s="2" t="s">
        <v>742</v>
      </c>
      <c r="E2605" s="3">
        <v>25</v>
      </c>
      <c r="F2605" s="3">
        <f>18/7</f>
        <v>2.5714285714285716</v>
      </c>
      <c r="G2605" s="4">
        <v>44757</v>
      </c>
    </row>
    <row r="2606" spans="2:18">
      <c r="C2606" s="2" t="s">
        <v>4</v>
      </c>
      <c r="D2606" s="2" t="s">
        <v>742</v>
      </c>
      <c r="E2606" s="3">
        <v>4</v>
      </c>
      <c r="F2606" s="3">
        <v>1</v>
      </c>
      <c r="G2606" s="4">
        <v>44340</v>
      </c>
    </row>
    <row r="2607" spans="2:18">
      <c r="C2607" s="2" t="s">
        <v>4</v>
      </c>
      <c r="D2607" s="2" t="s">
        <v>742</v>
      </c>
      <c r="E2607" s="3">
        <v>1.5</v>
      </c>
      <c r="F2607" s="3">
        <v>0.75</v>
      </c>
      <c r="G2607" s="4">
        <v>43979</v>
      </c>
    </row>
    <row r="2608" spans="2:18">
      <c r="G2608" s="4"/>
    </row>
    <row r="2609" spans="2:18" s="12" customFormat="1">
      <c r="B2609" s="12" t="s">
        <v>989</v>
      </c>
      <c r="C2609" s="13" t="s">
        <v>984</v>
      </c>
      <c r="D2609" s="13" t="s">
        <v>983</v>
      </c>
      <c r="E2609" s="15"/>
      <c r="F2609" s="15">
        <f>SUM(F2610:F2611)</f>
        <v>4</v>
      </c>
      <c r="G2609" s="14">
        <f>G2610</f>
        <v>45070</v>
      </c>
      <c r="M2609" s="13"/>
      <c r="N2609" s="13"/>
      <c r="O2609" s="13"/>
      <c r="P2609" s="13"/>
      <c r="Q2609" s="13"/>
      <c r="R2609" s="13"/>
    </row>
    <row r="2610" spans="2:18">
      <c r="C2610" s="2" t="s">
        <v>5</v>
      </c>
      <c r="D2610" s="2" t="s">
        <v>795</v>
      </c>
      <c r="E2610" s="3">
        <v>10.9</v>
      </c>
      <c r="F2610" s="3">
        <f>8/8</f>
        <v>1</v>
      </c>
      <c r="G2610" s="4">
        <v>45070</v>
      </c>
    </row>
    <row r="2611" spans="2:18">
      <c r="C2611" s="2" t="s">
        <v>5</v>
      </c>
      <c r="D2611" s="2" t="s">
        <v>714</v>
      </c>
      <c r="E2611" s="3">
        <v>6</v>
      </c>
      <c r="F2611" s="3">
        <v>3</v>
      </c>
      <c r="G2611" s="4">
        <v>44917</v>
      </c>
    </row>
    <row r="2612" spans="2:18">
      <c r="G2612" s="4"/>
    </row>
    <row r="2613" spans="2:18" s="12" customFormat="1">
      <c r="B2613" s="12" t="s">
        <v>740</v>
      </c>
      <c r="C2613" s="13" t="s">
        <v>984</v>
      </c>
      <c r="D2613" s="13" t="s">
        <v>983</v>
      </c>
      <c r="E2613" s="15"/>
      <c r="F2613" s="15">
        <f>SUM(F2614:F2615)</f>
        <v>3.6666666666666665</v>
      </c>
      <c r="G2613" s="14">
        <f>G2614</f>
        <v>44676</v>
      </c>
    </row>
    <row r="2614" spans="2:18">
      <c r="C2614" s="2" t="s">
        <v>5</v>
      </c>
      <c r="D2614" s="2" t="s">
        <v>737</v>
      </c>
      <c r="E2614" s="3">
        <v>20</v>
      </c>
      <c r="F2614" s="3">
        <f>13/6</f>
        <v>2.1666666666666665</v>
      </c>
      <c r="G2614" s="4">
        <v>44676</v>
      </c>
    </row>
    <row r="2615" spans="2:18">
      <c r="C2615" s="2" t="s">
        <v>4</v>
      </c>
      <c r="D2615" s="2" t="s">
        <v>737</v>
      </c>
      <c r="E2615" s="3">
        <v>5</v>
      </c>
      <c r="F2615" s="3">
        <v>1.5</v>
      </c>
      <c r="G2615" s="4">
        <v>44060</v>
      </c>
    </row>
    <row r="2616" spans="2:18">
      <c r="G2616" s="4"/>
    </row>
    <row r="2617" spans="2:18" s="12" customFormat="1">
      <c r="B2617" s="12" t="s">
        <v>988</v>
      </c>
      <c r="C2617" s="13" t="s">
        <v>984</v>
      </c>
      <c r="D2617" s="13" t="s">
        <v>983</v>
      </c>
      <c r="E2617" s="15"/>
      <c r="F2617" s="15">
        <f>SUM(F2618:F2622)</f>
        <v>3.6749999999999998</v>
      </c>
      <c r="G2617" s="14">
        <f>G2618</f>
        <v>44341</v>
      </c>
      <c r="M2617" s="13"/>
      <c r="N2617" s="13"/>
      <c r="O2617" s="13"/>
      <c r="P2617" s="13"/>
      <c r="Q2617" s="13"/>
      <c r="R2617" s="13"/>
    </row>
    <row r="2618" spans="2:18">
      <c r="C2618" s="2" t="s">
        <v>5</v>
      </c>
      <c r="D2618" s="2" t="s">
        <v>558</v>
      </c>
      <c r="E2618" s="3">
        <v>10.5</v>
      </c>
      <c r="F2618" s="3">
        <f>5/5</f>
        <v>1</v>
      </c>
      <c r="G2618" s="4">
        <v>44341</v>
      </c>
    </row>
    <row r="2619" spans="2:18">
      <c r="C2619" s="2" t="s">
        <v>4</v>
      </c>
      <c r="D2619" s="2" t="s">
        <v>558</v>
      </c>
      <c r="E2619" s="3">
        <v>4</v>
      </c>
      <c r="F2619" s="3">
        <v>1</v>
      </c>
      <c r="G2619" s="4">
        <v>43671</v>
      </c>
    </row>
    <row r="2620" spans="2:18">
      <c r="C2620" s="2" t="s">
        <v>285</v>
      </c>
      <c r="D2620" s="2" t="s">
        <v>558</v>
      </c>
      <c r="E2620" s="3">
        <v>0.5</v>
      </c>
      <c r="F2620" s="3">
        <v>0.1</v>
      </c>
      <c r="G2620" s="4">
        <v>43262</v>
      </c>
    </row>
    <row r="2621" spans="2:18">
      <c r="C2621" s="2" t="s">
        <v>4</v>
      </c>
      <c r="D2621" s="2" t="s">
        <v>343</v>
      </c>
      <c r="E2621" s="3">
        <v>3</v>
      </c>
      <c r="F2621" s="3">
        <f>1.5/4</f>
        <v>0.375</v>
      </c>
      <c r="G2621" s="4">
        <v>44327</v>
      </c>
    </row>
    <row r="2622" spans="2:18">
      <c r="C2622" s="2" t="s">
        <v>285</v>
      </c>
      <c r="D2622" s="2" t="s">
        <v>343</v>
      </c>
      <c r="E2622" s="3">
        <v>1.2</v>
      </c>
      <c r="F2622" s="3">
        <v>1.2</v>
      </c>
      <c r="G2622" s="4">
        <v>42744</v>
      </c>
    </row>
    <row r="2623" spans="2:18">
      <c r="G2623" s="4"/>
    </row>
    <row r="2624" spans="2:18" s="12" customFormat="1">
      <c r="B2624" s="12" t="s">
        <v>715</v>
      </c>
      <c r="C2624" s="13" t="s">
        <v>984</v>
      </c>
      <c r="D2624" s="13" t="s">
        <v>983</v>
      </c>
      <c r="E2624" s="15"/>
      <c r="F2624" s="15">
        <f>SUM(F2625:F2626)</f>
        <v>4</v>
      </c>
      <c r="G2624" s="14">
        <f>G2625</f>
        <v>44917</v>
      </c>
      <c r="M2624" s="13"/>
      <c r="N2624" s="13"/>
      <c r="O2624" s="13"/>
      <c r="P2624" s="13"/>
      <c r="Q2624" s="13"/>
      <c r="R2624" s="13"/>
    </row>
    <row r="2625" spans="2:18">
      <c r="C2625" s="2" t="s">
        <v>5</v>
      </c>
      <c r="D2625" s="2" t="s">
        <v>714</v>
      </c>
      <c r="E2625" s="3">
        <v>6</v>
      </c>
      <c r="F2625" s="3">
        <v>1</v>
      </c>
      <c r="G2625" s="4">
        <v>44917</v>
      </c>
    </row>
    <row r="2626" spans="2:18">
      <c r="C2626" s="2" t="s">
        <v>4</v>
      </c>
      <c r="D2626" s="2" t="s">
        <v>714</v>
      </c>
      <c r="E2626" s="3">
        <v>5.9</v>
      </c>
      <c r="F2626" s="3">
        <v>3</v>
      </c>
      <c r="G2626" s="4">
        <v>44180</v>
      </c>
    </row>
    <row r="2627" spans="2:18">
      <c r="G2627" s="4"/>
    </row>
    <row r="2628" spans="2:18" s="12" customFormat="1">
      <c r="B2628" s="12" t="s">
        <v>682</v>
      </c>
      <c r="C2628" s="13" t="s">
        <v>984</v>
      </c>
      <c r="D2628" s="13" t="s">
        <v>983</v>
      </c>
      <c r="E2628" s="15"/>
      <c r="F2628" s="15">
        <f>SUM(F2629:F2630)</f>
        <v>3.62</v>
      </c>
      <c r="G2628" s="14">
        <f>G2629</f>
        <v>44705</v>
      </c>
    </row>
    <row r="2629" spans="2:18">
      <c r="C2629" s="2" t="s">
        <v>5</v>
      </c>
      <c r="D2629" s="2" t="s">
        <v>680</v>
      </c>
      <c r="E2629" s="3">
        <v>14</v>
      </c>
      <c r="F2629" s="3">
        <v>3</v>
      </c>
      <c r="G2629" s="4">
        <v>44705</v>
      </c>
      <c r="M2629" s="1"/>
      <c r="N2629" s="1"/>
      <c r="O2629" s="1"/>
      <c r="P2629" s="1"/>
      <c r="Q2629" s="1"/>
      <c r="R2629" s="1"/>
    </row>
    <row r="2630" spans="2:18">
      <c r="C2630" s="2" t="s">
        <v>681</v>
      </c>
      <c r="D2630" s="2" t="s">
        <v>680</v>
      </c>
      <c r="E2630" s="3">
        <v>0.62</v>
      </c>
      <c r="F2630" s="3">
        <v>0.62</v>
      </c>
      <c r="G2630" s="4">
        <v>44105</v>
      </c>
      <c r="M2630" s="1"/>
      <c r="N2630" s="1"/>
      <c r="O2630" s="1"/>
      <c r="P2630" s="1"/>
      <c r="Q2630" s="1"/>
      <c r="R2630" s="1"/>
    </row>
    <row r="2631" spans="2:18">
      <c r="G2631" s="4"/>
      <c r="M2631" s="1"/>
      <c r="N2631" s="1"/>
      <c r="O2631" s="1"/>
      <c r="P2631" s="1"/>
      <c r="Q2631" s="1"/>
      <c r="R2631" s="1"/>
    </row>
    <row r="2632" spans="2:18" s="12" customFormat="1">
      <c r="B2632" s="12" t="s">
        <v>685</v>
      </c>
      <c r="C2632" s="13" t="s">
        <v>984</v>
      </c>
      <c r="D2632" s="13" t="s">
        <v>983</v>
      </c>
      <c r="E2632" s="15"/>
      <c r="F2632" s="15">
        <f>SUM(F2633:F2634)</f>
        <v>3.5</v>
      </c>
      <c r="G2632" s="14">
        <f>G2633</f>
        <v>44389</v>
      </c>
      <c r="M2632" s="13"/>
      <c r="N2632" s="13"/>
      <c r="O2632" s="13"/>
      <c r="P2632" s="13"/>
      <c r="Q2632" s="13"/>
      <c r="R2632" s="13"/>
    </row>
    <row r="2633" spans="2:18">
      <c r="C2633" s="2" t="s">
        <v>5</v>
      </c>
      <c r="D2633" s="2" t="s">
        <v>683</v>
      </c>
      <c r="E2633" s="3">
        <v>14.5</v>
      </c>
      <c r="F2633" s="3">
        <v>2.5</v>
      </c>
      <c r="G2633" s="4">
        <v>44389</v>
      </c>
      <c r="M2633" s="1"/>
      <c r="N2633" s="1"/>
      <c r="O2633" s="1"/>
      <c r="P2633" s="1"/>
      <c r="Q2633" s="1"/>
      <c r="R2633" s="1"/>
    </row>
    <row r="2634" spans="2:18">
      <c r="C2634" s="2" t="s">
        <v>4</v>
      </c>
      <c r="D2634" s="2" t="s">
        <v>683</v>
      </c>
      <c r="E2634" s="3">
        <v>3</v>
      </c>
      <c r="F2634" s="3">
        <v>1</v>
      </c>
      <c r="G2634" s="4">
        <v>43993</v>
      </c>
      <c r="M2634" s="1"/>
      <c r="N2634" s="1"/>
      <c r="O2634" s="1"/>
      <c r="P2634" s="1"/>
      <c r="Q2634" s="1"/>
      <c r="R2634" s="1"/>
    </row>
    <row r="2635" spans="2:18">
      <c r="G2635" s="4"/>
      <c r="M2635" s="1"/>
      <c r="N2635" s="1"/>
      <c r="O2635" s="1"/>
      <c r="P2635" s="1"/>
      <c r="Q2635" s="1"/>
      <c r="R2635" s="1"/>
    </row>
    <row r="2636" spans="2:18" s="12" customFormat="1">
      <c r="B2636" s="12" t="s">
        <v>776</v>
      </c>
      <c r="C2636" s="13" t="s">
        <v>984</v>
      </c>
      <c r="D2636" s="13" t="s">
        <v>983</v>
      </c>
      <c r="E2636" s="15"/>
      <c r="F2636" s="15">
        <f>SUM(F2637:F2638)</f>
        <v>3.5</v>
      </c>
      <c r="G2636" s="14">
        <f>G2638</f>
        <v>44510</v>
      </c>
    </row>
    <row r="2637" spans="2:18">
      <c r="C2637" s="2" t="s">
        <v>285</v>
      </c>
      <c r="D2637" s="2" t="s">
        <v>775</v>
      </c>
      <c r="E2637" s="3">
        <v>1</v>
      </c>
      <c r="F2637" s="3">
        <v>0.5</v>
      </c>
      <c r="G2637" s="4">
        <v>44287</v>
      </c>
      <c r="M2637" s="1"/>
      <c r="N2637" s="1"/>
      <c r="O2637" s="1"/>
      <c r="P2637" s="1"/>
      <c r="Q2637" s="1"/>
      <c r="R2637" s="1"/>
    </row>
    <row r="2638" spans="2:18">
      <c r="C2638" s="2" t="s">
        <v>5</v>
      </c>
      <c r="D2638" s="2" t="s">
        <v>115</v>
      </c>
      <c r="E2638" s="3">
        <v>25</v>
      </c>
      <c r="F2638" s="3">
        <v>3</v>
      </c>
      <c r="G2638" s="4">
        <v>44510</v>
      </c>
      <c r="M2638" s="1"/>
      <c r="N2638" s="1"/>
      <c r="O2638" s="1"/>
      <c r="P2638" s="1"/>
      <c r="Q2638" s="1"/>
      <c r="R2638" s="1"/>
    </row>
    <row r="2639" spans="2:18">
      <c r="G2639" s="4"/>
      <c r="M2639" s="1"/>
      <c r="N2639" s="1"/>
      <c r="O2639" s="1"/>
      <c r="P2639" s="1"/>
      <c r="Q2639" s="1"/>
      <c r="R2639" s="1"/>
    </row>
    <row r="2640" spans="2:18" s="12" customFormat="1">
      <c r="B2640" s="12" t="s">
        <v>335</v>
      </c>
      <c r="C2640" s="13" t="s">
        <v>984</v>
      </c>
      <c r="D2640" s="13" t="s">
        <v>983</v>
      </c>
      <c r="E2640" s="15"/>
      <c r="F2640" s="15">
        <f>SUM(F2641:F2642)</f>
        <v>3.588888888888889</v>
      </c>
      <c r="G2640" s="14">
        <f>G2641</f>
        <v>43031</v>
      </c>
    </row>
    <row r="2641" spans="2:19">
      <c r="C2641" s="2" t="s">
        <v>4</v>
      </c>
      <c r="D2641" s="2" t="s">
        <v>325</v>
      </c>
      <c r="E2641" s="3">
        <v>3.2</v>
      </c>
      <c r="F2641" s="3">
        <v>3.2</v>
      </c>
      <c r="G2641" s="4">
        <v>43031</v>
      </c>
      <c r="L2641" s="1">
        <f>+F2641*20</f>
        <v>64</v>
      </c>
      <c r="M2641" s="1"/>
      <c r="N2641" s="1"/>
      <c r="O2641" s="1"/>
      <c r="P2641" s="1"/>
      <c r="Q2641" s="1"/>
      <c r="R2641" s="1"/>
    </row>
    <row r="2642" spans="2:19">
      <c r="C2642" s="2" t="s">
        <v>4</v>
      </c>
      <c r="D2642" s="2" t="s">
        <v>265</v>
      </c>
      <c r="E2642" s="3">
        <v>3.5</v>
      </c>
      <c r="F2642" s="3">
        <f>+E2642/9</f>
        <v>0.3888888888888889</v>
      </c>
      <c r="G2642" s="4">
        <v>42979</v>
      </c>
      <c r="M2642" s="1"/>
      <c r="N2642" s="1"/>
      <c r="O2642" s="1"/>
      <c r="P2642" s="1"/>
      <c r="Q2642" s="1"/>
      <c r="R2642" s="1"/>
    </row>
    <row r="2643" spans="2:19">
      <c r="G2643" s="4"/>
      <c r="M2643" s="1"/>
      <c r="N2643" s="1"/>
      <c r="O2643" s="1"/>
      <c r="P2643" s="1"/>
      <c r="Q2643" s="1"/>
      <c r="R2643" s="1"/>
    </row>
    <row r="2644" spans="2:19" s="12" customFormat="1">
      <c r="B2644" s="12" t="s">
        <v>565</v>
      </c>
      <c r="C2644" s="13" t="s">
        <v>984</v>
      </c>
      <c r="D2644" s="13" t="s">
        <v>983</v>
      </c>
      <c r="E2644" s="15"/>
      <c r="F2644" s="15">
        <f>SUM(F2645:F2646)</f>
        <v>3.75</v>
      </c>
      <c r="G2644" s="14">
        <f>G2645</f>
        <v>45077</v>
      </c>
    </row>
    <row r="2645" spans="2:19">
      <c r="C2645" s="2" t="s">
        <v>7</v>
      </c>
      <c r="D2645" s="2" t="s">
        <v>558</v>
      </c>
      <c r="E2645" s="3">
        <v>20</v>
      </c>
      <c r="F2645" s="3">
        <f>12/6</f>
        <v>2</v>
      </c>
      <c r="G2645" s="4">
        <v>45077</v>
      </c>
      <c r="M2645" s="1"/>
      <c r="N2645" s="1"/>
      <c r="O2645" s="1"/>
      <c r="P2645" s="1"/>
      <c r="Q2645" s="1"/>
      <c r="R2645" s="1"/>
    </row>
    <row r="2646" spans="2:19">
      <c r="C2646" s="2" t="s">
        <v>5</v>
      </c>
      <c r="D2646" s="2" t="s">
        <v>416</v>
      </c>
      <c r="E2646" s="3">
        <v>10</v>
      </c>
      <c r="F2646" s="3">
        <f>7/4</f>
        <v>1.75</v>
      </c>
      <c r="G2646" s="4">
        <v>44740</v>
      </c>
      <c r="M2646" s="1"/>
      <c r="N2646" s="1"/>
      <c r="O2646" s="1"/>
      <c r="P2646" s="1"/>
      <c r="Q2646" s="1"/>
      <c r="R2646" s="1"/>
    </row>
    <row r="2647" spans="2:19">
      <c r="G2647" s="4"/>
      <c r="M2647" s="1"/>
      <c r="N2647" s="1"/>
      <c r="O2647" s="1"/>
      <c r="P2647" s="1"/>
      <c r="Q2647" s="1"/>
      <c r="R2647" s="1"/>
    </row>
    <row r="2648" spans="2:19" s="12" customFormat="1">
      <c r="B2648" s="12" t="s">
        <v>553</v>
      </c>
      <c r="C2648" s="13" t="s">
        <v>984</v>
      </c>
      <c r="D2648" s="13" t="s">
        <v>983</v>
      </c>
      <c r="E2648" s="15"/>
      <c r="F2648" s="15">
        <f>SUM(F2649:F2651)</f>
        <v>4.2</v>
      </c>
      <c r="G2648" s="14">
        <f>G2651</f>
        <v>44514</v>
      </c>
    </row>
    <row r="2649" spans="2:19">
      <c r="C2649" s="2" t="s">
        <v>5</v>
      </c>
      <c r="D2649" s="2" t="s">
        <v>552</v>
      </c>
      <c r="E2649" s="3">
        <v>14</v>
      </c>
      <c r="F2649" s="3">
        <f>8/5</f>
        <v>1.6</v>
      </c>
      <c r="G2649" s="4">
        <v>44447</v>
      </c>
      <c r="M2649" s="1"/>
      <c r="N2649" s="1"/>
      <c r="O2649" s="1"/>
      <c r="P2649" s="1"/>
      <c r="Q2649" s="1"/>
      <c r="R2649" s="1"/>
    </row>
    <row r="2650" spans="2:19">
      <c r="C2650" s="2" t="s">
        <v>5</v>
      </c>
      <c r="D2650" s="2" t="s">
        <v>552</v>
      </c>
      <c r="E2650" s="3">
        <v>12</v>
      </c>
      <c r="F2650" s="3">
        <f>8/5</f>
        <v>1.6</v>
      </c>
      <c r="G2650" s="4">
        <v>43532</v>
      </c>
      <c r="M2650" s="1"/>
      <c r="N2650" s="1"/>
      <c r="O2650" s="1"/>
      <c r="P2650" s="1"/>
      <c r="Q2650" s="1"/>
      <c r="R2650" s="1"/>
    </row>
    <row r="2651" spans="2:19">
      <c r="C2651" s="2" t="s">
        <v>5</v>
      </c>
      <c r="D2651" s="2" t="s">
        <v>551</v>
      </c>
      <c r="E2651" s="3">
        <v>5</v>
      </c>
      <c r="F2651" s="3">
        <v>1</v>
      </c>
      <c r="G2651" s="4">
        <v>44514</v>
      </c>
      <c r="M2651" s="1"/>
      <c r="N2651" s="1"/>
      <c r="O2651" s="1"/>
      <c r="P2651" s="1"/>
      <c r="Q2651" s="1"/>
      <c r="R2651" s="1"/>
    </row>
    <row r="2652" spans="2:19">
      <c r="G2652" s="4"/>
      <c r="M2652" s="1"/>
      <c r="N2652" s="1"/>
      <c r="O2652" s="1"/>
      <c r="P2652" s="1"/>
      <c r="Q2652" s="1"/>
      <c r="R2652" s="1"/>
    </row>
    <row r="2653" spans="2:19" s="12" customFormat="1">
      <c r="B2653" s="12" t="s">
        <v>306</v>
      </c>
      <c r="C2653" s="13" t="s">
        <v>984</v>
      </c>
      <c r="D2653" s="13" t="s">
        <v>983</v>
      </c>
      <c r="E2653" s="15"/>
      <c r="F2653" s="15">
        <f>SUM(F2654:F2655)</f>
        <v>2.625</v>
      </c>
      <c r="G2653" s="14">
        <f>G2654</f>
        <v>44314</v>
      </c>
      <c r="M2653" s="13"/>
      <c r="N2653" s="13"/>
      <c r="O2653" s="13"/>
      <c r="P2653" s="13"/>
      <c r="Q2653" s="13"/>
      <c r="R2653" s="13"/>
    </row>
    <row r="2654" spans="2:19">
      <c r="C2654" s="2" t="s">
        <v>5</v>
      </c>
      <c r="D2654" s="2" t="s">
        <v>305</v>
      </c>
      <c r="E2654" s="3">
        <v>15</v>
      </c>
      <c r="F2654" s="3">
        <v>2</v>
      </c>
      <c r="G2654" s="4">
        <v>44314</v>
      </c>
      <c r="S2654" s="1" t="s">
        <v>304</v>
      </c>
    </row>
    <row r="2655" spans="2:19">
      <c r="C2655" s="2" t="s">
        <v>4</v>
      </c>
      <c r="D2655" s="2" t="s">
        <v>115</v>
      </c>
      <c r="E2655" s="3">
        <v>8</v>
      </c>
      <c r="F2655" s="3">
        <f>5/8</f>
        <v>0.625</v>
      </c>
      <c r="G2655" s="4">
        <v>44063</v>
      </c>
    </row>
    <row r="2656" spans="2:19">
      <c r="G2656" s="4"/>
    </row>
    <row r="2657" spans="2:18" s="12" customFormat="1">
      <c r="B2657" s="12" t="s">
        <v>716</v>
      </c>
      <c r="C2657" s="13" t="s">
        <v>984</v>
      </c>
      <c r="D2657" s="13" t="s">
        <v>983</v>
      </c>
      <c r="E2657" s="15"/>
      <c r="F2657" s="15">
        <f>SUM(F2658:F2659)</f>
        <v>2.8</v>
      </c>
      <c r="G2657" s="14">
        <f>G2658</f>
        <v>44917</v>
      </c>
      <c r="M2657" s="13"/>
      <c r="N2657" s="13"/>
      <c r="O2657" s="13"/>
      <c r="P2657" s="13"/>
      <c r="Q2657" s="13"/>
      <c r="R2657" s="13"/>
    </row>
    <row r="2658" spans="2:18">
      <c r="C2658" s="2" t="s">
        <v>5</v>
      </c>
      <c r="D2658" s="2" t="s">
        <v>714</v>
      </c>
      <c r="E2658" s="3">
        <v>6</v>
      </c>
      <c r="F2658" s="3">
        <v>1</v>
      </c>
      <c r="G2658" s="4">
        <v>44917</v>
      </c>
    </row>
    <row r="2659" spans="2:18">
      <c r="C2659" s="2" t="s">
        <v>4</v>
      </c>
      <c r="D2659" s="2" t="s">
        <v>714</v>
      </c>
      <c r="E2659" s="3">
        <v>3.6</v>
      </c>
      <c r="F2659" s="3">
        <v>1.8</v>
      </c>
      <c r="G2659" s="4">
        <v>43361</v>
      </c>
    </row>
    <row r="2660" spans="2:18">
      <c r="G2660" s="4"/>
    </row>
    <row r="2661" spans="2:18" s="12" customFormat="1">
      <c r="B2661" s="12" t="s">
        <v>554</v>
      </c>
      <c r="C2661" s="13" t="s">
        <v>984</v>
      </c>
      <c r="D2661" s="13" t="s">
        <v>983</v>
      </c>
      <c r="E2661" s="15"/>
      <c r="F2661" s="15">
        <f>SUM(F2662:F2663)</f>
        <v>3.2</v>
      </c>
      <c r="G2661" s="14">
        <f>G2662</f>
        <v>44447</v>
      </c>
    </row>
    <row r="2662" spans="2:18">
      <c r="C2662" s="2" t="s">
        <v>5</v>
      </c>
      <c r="D2662" s="2" t="s">
        <v>552</v>
      </c>
      <c r="E2662" s="3">
        <v>14</v>
      </c>
      <c r="F2662" s="3">
        <f>8/5</f>
        <v>1.6</v>
      </c>
      <c r="G2662" s="4">
        <v>44447</v>
      </c>
      <c r="M2662" s="1"/>
      <c r="N2662" s="1"/>
      <c r="O2662" s="1"/>
      <c r="P2662" s="1"/>
      <c r="Q2662" s="1"/>
      <c r="R2662" s="1"/>
    </row>
    <row r="2663" spans="2:18">
      <c r="C2663" s="2" t="s">
        <v>5</v>
      </c>
      <c r="D2663" s="2" t="s">
        <v>552</v>
      </c>
      <c r="E2663" s="3">
        <v>12</v>
      </c>
      <c r="F2663" s="3">
        <f>8/5</f>
        <v>1.6</v>
      </c>
      <c r="G2663" s="4">
        <v>43532</v>
      </c>
      <c r="M2663" s="1"/>
      <c r="N2663" s="1"/>
      <c r="O2663" s="1"/>
      <c r="P2663" s="1"/>
      <c r="Q2663" s="1"/>
      <c r="R2663" s="1"/>
    </row>
    <row r="2664" spans="2:18">
      <c r="G2664" s="4"/>
      <c r="M2664" s="1"/>
      <c r="N2664" s="1"/>
      <c r="O2664" s="1"/>
      <c r="P2664" s="1"/>
      <c r="Q2664" s="1"/>
      <c r="R2664" s="1"/>
    </row>
    <row r="2665" spans="2:18" s="12" customFormat="1">
      <c r="B2665" s="12" t="s">
        <v>654</v>
      </c>
      <c r="C2665" s="13" t="s">
        <v>984</v>
      </c>
      <c r="D2665" s="13" t="s">
        <v>983</v>
      </c>
      <c r="E2665" s="15"/>
      <c r="F2665" s="15">
        <f>SUM(F2666:F2667)</f>
        <v>3.4</v>
      </c>
      <c r="G2665" s="14">
        <f>G2666</f>
        <v>44860</v>
      </c>
    </row>
    <row r="2666" spans="2:18">
      <c r="C2666" s="2" t="s">
        <v>5</v>
      </c>
      <c r="D2666" s="2" t="s">
        <v>653</v>
      </c>
      <c r="E2666" s="3">
        <v>12</v>
      </c>
      <c r="F2666" s="3">
        <f>6/3</f>
        <v>2</v>
      </c>
      <c r="G2666" s="4">
        <v>44860</v>
      </c>
      <c r="M2666" s="1"/>
      <c r="N2666" s="1"/>
      <c r="O2666" s="1"/>
      <c r="P2666" s="1"/>
      <c r="Q2666" s="1"/>
      <c r="R2666" s="1"/>
    </row>
    <row r="2667" spans="2:18">
      <c r="C2667" s="2" t="s">
        <v>4</v>
      </c>
      <c r="D2667" s="2" t="s">
        <v>653</v>
      </c>
      <c r="E2667" s="3">
        <v>2.8</v>
      </c>
      <c r="F2667" s="3">
        <v>1.4</v>
      </c>
      <c r="G2667" s="4">
        <v>44215</v>
      </c>
      <c r="M2667" s="1"/>
      <c r="N2667" s="1"/>
      <c r="O2667" s="1"/>
      <c r="P2667" s="1"/>
      <c r="Q2667" s="1"/>
      <c r="R2667" s="1"/>
    </row>
    <row r="2668" spans="2:18">
      <c r="G2668" s="4"/>
      <c r="M2668" s="1"/>
      <c r="N2668" s="1"/>
      <c r="O2668" s="1"/>
      <c r="P2668" s="1"/>
      <c r="Q2668" s="1"/>
      <c r="R2668" s="1"/>
    </row>
    <row r="2669" spans="2:18" s="12" customFormat="1">
      <c r="B2669" s="12" t="s">
        <v>686</v>
      </c>
      <c r="C2669" s="13" t="s">
        <v>984</v>
      </c>
      <c r="D2669" s="13" t="s">
        <v>983</v>
      </c>
      <c r="E2669" s="15"/>
      <c r="F2669" s="15">
        <f>SUM(F2670:F2671)</f>
        <v>3</v>
      </c>
      <c r="G2669" s="14">
        <f>G2670</f>
        <v>44389</v>
      </c>
      <c r="M2669" s="13"/>
      <c r="N2669" s="13"/>
      <c r="O2669" s="13"/>
      <c r="P2669" s="13"/>
      <c r="Q2669" s="13"/>
      <c r="R2669" s="13"/>
    </row>
    <row r="2670" spans="2:18">
      <c r="C2670" s="2" t="s">
        <v>5</v>
      </c>
      <c r="D2670" s="2" t="s">
        <v>683</v>
      </c>
      <c r="E2670" s="3">
        <v>14.5</v>
      </c>
      <c r="F2670" s="3">
        <v>2.5</v>
      </c>
      <c r="G2670" s="4">
        <v>44389</v>
      </c>
      <c r="M2670" s="1"/>
      <c r="N2670" s="1"/>
      <c r="O2670" s="1"/>
      <c r="P2670" s="1"/>
      <c r="Q2670" s="1"/>
      <c r="R2670" s="1"/>
    </row>
    <row r="2671" spans="2:18">
      <c r="C2671" s="2" t="s">
        <v>4</v>
      </c>
      <c r="D2671" s="2" t="s">
        <v>683</v>
      </c>
      <c r="E2671" s="3">
        <v>3</v>
      </c>
      <c r="F2671" s="3">
        <v>0.5</v>
      </c>
      <c r="G2671" s="4">
        <v>43993</v>
      </c>
      <c r="M2671" s="1"/>
      <c r="N2671" s="1"/>
      <c r="O2671" s="1"/>
      <c r="P2671" s="1"/>
      <c r="Q2671" s="1"/>
      <c r="R2671" s="1"/>
    </row>
    <row r="2672" spans="2:18">
      <c r="G2672" s="4"/>
      <c r="M2672" s="1"/>
      <c r="N2672" s="1"/>
      <c r="O2672" s="1"/>
      <c r="P2672" s="1"/>
      <c r="Q2672" s="1"/>
      <c r="R2672" s="1"/>
    </row>
    <row r="2673" spans="2:18" s="12" customFormat="1">
      <c r="B2673" s="12" t="s">
        <v>745</v>
      </c>
      <c r="C2673" s="13" t="s">
        <v>984</v>
      </c>
      <c r="D2673" s="13" t="s">
        <v>983</v>
      </c>
      <c r="E2673" s="15"/>
      <c r="F2673" s="15">
        <f>SUM(F2674:F2675)</f>
        <v>3.0714285714285716</v>
      </c>
      <c r="G2673" s="14">
        <f>G2674</f>
        <v>44757</v>
      </c>
    </row>
    <row r="2674" spans="2:18">
      <c r="C2674" s="2" t="s">
        <v>5</v>
      </c>
      <c r="D2674" s="2" t="s">
        <v>742</v>
      </c>
      <c r="E2674" s="3">
        <v>25</v>
      </c>
      <c r="F2674" s="3">
        <f>18/7</f>
        <v>2.5714285714285716</v>
      </c>
      <c r="G2674" s="4">
        <v>44757</v>
      </c>
    </row>
    <row r="2675" spans="2:18">
      <c r="C2675" s="2" t="s">
        <v>4</v>
      </c>
      <c r="D2675" s="2" t="s">
        <v>742</v>
      </c>
      <c r="E2675" s="3">
        <v>4</v>
      </c>
      <c r="F2675" s="3">
        <v>0.5</v>
      </c>
      <c r="G2675" s="4">
        <v>44340</v>
      </c>
    </row>
    <row r="2677" spans="2:18" s="12" customFormat="1">
      <c r="B2677" s="12" t="s">
        <v>684</v>
      </c>
      <c r="C2677" s="13" t="s">
        <v>984</v>
      </c>
      <c r="D2677" s="13" t="s">
        <v>983</v>
      </c>
      <c r="E2677" s="15"/>
      <c r="F2677" s="15">
        <f>SUM(F2678:F2679)</f>
        <v>3</v>
      </c>
      <c r="G2677" s="14">
        <f>G2678</f>
        <v>44389</v>
      </c>
      <c r="M2677" s="13"/>
      <c r="N2677" s="13"/>
      <c r="O2677" s="13"/>
      <c r="P2677" s="13"/>
      <c r="Q2677" s="13"/>
      <c r="R2677" s="13"/>
    </row>
    <row r="2678" spans="2:18">
      <c r="C2678" s="2" t="s">
        <v>5</v>
      </c>
      <c r="D2678" s="2" t="s">
        <v>683</v>
      </c>
      <c r="E2678" s="3">
        <v>14.5</v>
      </c>
      <c r="F2678" s="3">
        <v>2.5</v>
      </c>
      <c r="G2678" s="4">
        <v>44389</v>
      </c>
      <c r="M2678" s="1"/>
      <c r="N2678" s="1"/>
      <c r="O2678" s="1"/>
      <c r="P2678" s="1"/>
      <c r="Q2678" s="1"/>
      <c r="R2678" s="1"/>
    </row>
    <row r="2679" spans="2:18">
      <c r="C2679" s="2" t="s">
        <v>4</v>
      </c>
      <c r="D2679" s="2" t="s">
        <v>683</v>
      </c>
      <c r="E2679" s="3">
        <v>3</v>
      </c>
      <c r="F2679" s="3">
        <v>0.5</v>
      </c>
      <c r="G2679" s="4">
        <v>43993</v>
      </c>
      <c r="M2679" s="1"/>
      <c r="N2679" s="1"/>
      <c r="O2679" s="1"/>
      <c r="P2679" s="1"/>
      <c r="Q2679" s="1"/>
      <c r="R2679" s="1"/>
    </row>
    <row r="2680" spans="2:18">
      <c r="G2680" s="4"/>
      <c r="M2680" s="1"/>
      <c r="N2680" s="1"/>
      <c r="O2680" s="1"/>
      <c r="P2680" s="1"/>
      <c r="Q2680" s="1"/>
      <c r="R2680" s="1"/>
    </row>
    <row r="2681" spans="2:18" s="12" customFormat="1">
      <c r="B2681" s="12" t="s">
        <v>360</v>
      </c>
      <c r="C2681" s="13" t="s">
        <v>984</v>
      </c>
      <c r="D2681" s="13" t="s">
        <v>983</v>
      </c>
      <c r="E2681" s="15"/>
      <c r="F2681" s="15">
        <f>SUM(F2682:F2683)</f>
        <v>3</v>
      </c>
      <c r="G2681" s="14">
        <f>G2682</f>
        <v>44861</v>
      </c>
    </row>
    <row r="2682" spans="2:18">
      <c r="C2682" s="2" t="s">
        <v>7</v>
      </c>
      <c r="D2682" s="2" t="s">
        <v>358</v>
      </c>
      <c r="E2682" s="3">
        <v>22</v>
      </c>
      <c r="F2682" s="3">
        <v>2</v>
      </c>
      <c r="G2682" s="4">
        <v>44861</v>
      </c>
      <c r="M2682" s="1"/>
      <c r="N2682" s="1"/>
      <c r="O2682" s="1"/>
      <c r="P2682" s="1"/>
      <c r="Q2682" s="1"/>
      <c r="R2682" s="1"/>
    </row>
    <row r="2683" spans="2:18">
      <c r="C2683" s="2" t="s">
        <v>5</v>
      </c>
      <c r="D2683" s="2" t="s">
        <v>358</v>
      </c>
      <c r="E2683" s="3">
        <v>15</v>
      </c>
      <c r="F2683" s="3">
        <v>1</v>
      </c>
      <c r="G2683" s="4">
        <v>44487</v>
      </c>
      <c r="M2683" s="1"/>
      <c r="N2683" s="1"/>
      <c r="O2683" s="1"/>
      <c r="P2683" s="1"/>
      <c r="Q2683" s="1"/>
      <c r="R2683" s="1"/>
    </row>
    <row r="2684" spans="2:18">
      <c r="G2684" s="4"/>
      <c r="M2684" s="1"/>
      <c r="N2684" s="1"/>
      <c r="O2684" s="1"/>
      <c r="P2684" s="1"/>
      <c r="Q2684" s="1"/>
      <c r="R2684" s="1"/>
    </row>
    <row r="2685" spans="2:18" s="12" customFormat="1">
      <c r="B2685" s="12" t="s">
        <v>744</v>
      </c>
      <c r="C2685" s="13" t="s">
        <v>984</v>
      </c>
      <c r="D2685" s="13" t="s">
        <v>983</v>
      </c>
      <c r="E2685" s="15"/>
      <c r="F2685" s="15">
        <f>SUM(F2686:F2687)</f>
        <v>3.0714285714285716</v>
      </c>
      <c r="G2685" s="14">
        <f>G2686</f>
        <v>44757</v>
      </c>
    </row>
    <row r="2686" spans="2:18">
      <c r="C2686" s="2" t="s">
        <v>5</v>
      </c>
      <c r="D2686" s="2" t="s">
        <v>742</v>
      </c>
      <c r="E2686" s="3">
        <v>25</v>
      </c>
      <c r="F2686" s="3">
        <f>18/7</f>
        <v>2.5714285714285716</v>
      </c>
      <c r="G2686" s="4">
        <v>44757</v>
      </c>
    </row>
    <row r="2687" spans="2:18">
      <c r="C2687" s="2" t="s">
        <v>4</v>
      </c>
      <c r="D2687" s="2" t="s">
        <v>742</v>
      </c>
      <c r="E2687" s="3">
        <v>4</v>
      </c>
      <c r="F2687" s="3">
        <v>0.5</v>
      </c>
      <c r="G2687" s="4">
        <v>44340</v>
      </c>
    </row>
    <row r="2688" spans="2:18">
      <c r="G2688" s="4"/>
    </row>
    <row r="2689" spans="2:18" s="12" customFormat="1">
      <c r="B2689" s="12" t="s">
        <v>738</v>
      </c>
      <c r="C2689" s="13" t="s">
        <v>984</v>
      </c>
      <c r="D2689" s="13" t="s">
        <v>983</v>
      </c>
      <c r="E2689" s="15"/>
      <c r="F2689" s="15">
        <f>SUM(F2690:F2691)</f>
        <v>2.6666666666666665</v>
      </c>
      <c r="G2689" s="14">
        <f>G2690</f>
        <v>44676</v>
      </c>
      <c r="M2689" s="13"/>
      <c r="N2689" s="13"/>
      <c r="O2689" s="13"/>
      <c r="P2689" s="13"/>
      <c r="Q2689" s="13"/>
      <c r="R2689" s="13"/>
    </row>
    <row r="2690" spans="2:18">
      <c r="C2690" s="2" t="s">
        <v>5</v>
      </c>
      <c r="D2690" s="2" t="s">
        <v>737</v>
      </c>
      <c r="E2690" s="3">
        <v>20</v>
      </c>
      <c r="F2690" s="3">
        <f>13/6</f>
        <v>2.1666666666666665</v>
      </c>
      <c r="G2690" s="4">
        <v>44676</v>
      </c>
    </row>
    <row r="2691" spans="2:18">
      <c r="C2691" s="2" t="s">
        <v>4</v>
      </c>
      <c r="D2691" s="2" t="s">
        <v>737</v>
      </c>
      <c r="E2691" s="3">
        <v>5</v>
      </c>
      <c r="F2691" s="3">
        <v>0.5</v>
      </c>
      <c r="G2691" s="4">
        <v>44060</v>
      </c>
    </row>
    <row r="2692" spans="2:18">
      <c r="G2692" s="4"/>
    </row>
    <row r="2693" spans="2:18" s="12" customFormat="1">
      <c r="B2693" s="12" t="s">
        <v>6</v>
      </c>
      <c r="C2693" s="13" t="s">
        <v>984</v>
      </c>
      <c r="D2693" s="13" t="s">
        <v>983</v>
      </c>
      <c r="E2693" s="15"/>
      <c r="F2693" s="15">
        <f>SUM(F2694:F2695)</f>
        <v>2.6666666666666665</v>
      </c>
      <c r="G2693" s="14">
        <f>G2694</f>
        <v>42828</v>
      </c>
      <c r="M2693" s="13"/>
      <c r="N2693" s="13"/>
      <c r="O2693" s="13"/>
      <c r="P2693" s="13"/>
      <c r="Q2693" s="13"/>
      <c r="R2693" s="13"/>
    </row>
    <row r="2694" spans="2:18">
      <c r="C2694" s="2" t="s">
        <v>5</v>
      </c>
      <c r="D2694" s="2" t="s">
        <v>3</v>
      </c>
      <c r="E2694" s="3">
        <v>10.5</v>
      </c>
      <c r="F2694" s="3">
        <v>2</v>
      </c>
      <c r="G2694" s="4">
        <v>42828</v>
      </c>
      <c r="J2694" s="1">
        <v>2200</v>
      </c>
    </row>
    <row r="2695" spans="2:18">
      <c r="C2695" s="2" t="s">
        <v>4</v>
      </c>
      <c r="D2695" s="2" t="s">
        <v>3</v>
      </c>
      <c r="E2695" s="3">
        <v>2</v>
      </c>
      <c r="F2695" s="3">
        <f>+E2695/3</f>
        <v>0.66666666666666663</v>
      </c>
      <c r="G2695" s="4">
        <v>42521</v>
      </c>
      <c r="J2695" s="1">
        <v>2200</v>
      </c>
    </row>
    <row r="2696" spans="2:18">
      <c r="G2696" s="4"/>
    </row>
    <row r="2697" spans="2:18" s="12" customFormat="1">
      <c r="B2697" s="12" t="s">
        <v>987</v>
      </c>
      <c r="C2697" s="13" t="s">
        <v>984</v>
      </c>
      <c r="D2697" s="13" t="s">
        <v>983</v>
      </c>
      <c r="E2697" s="15"/>
      <c r="F2697" s="15">
        <f>SUM(F2698:F2699)</f>
        <v>2.7142857142857144</v>
      </c>
      <c r="G2697" s="14">
        <f>G2698</f>
        <v>43816</v>
      </c>
      <c r="M2697" s="13"/>
      <c r="N2697" s="13"/>
      <c r="O2697" s="13"/>
      <c r="P2697" s="13"/>
      <c r="Q2697" s="13"/>
      <c r="R2697" s="13"/>
    </row>
    <row r="2698" spans="2:18">
      <c r="C2698" s="2" t="s">
        <v>5</v>
      </c>
      <c r="D2698" s="2" t="s">
        <v>844</v>
      </c>
      <c r="E2698" s="3">
        <v>20</v>
      </c>
      <c r="F2698" s="3">
        <f>12/6</f>
        <v>2</v>
      </c>
      <c r="G2698" s="4">
        <v>43816</v>
      </c>
    </row>
    <row r="2699" spans="2:18">
      <c r="C2699" s="2" t="s">
        <v>4</v>
      </c>
      <c r="D2699" s="2" t="s">
        <v>432</v>
      </c>
      <c r="E2699" s="3">
        <v>7</v>
      </c>
      <c r="F2699" s="3">
        <v>0.7142857142857143</v>
      </c>
      <c r="G2699" s="4">
        <v>43046</v>
      </c>
    </row>
    <row r="2700" spans="2:18">
      <c r="G2700" s="4"/>
    </row>
    <row r="2701" spans="2:18">
      <c r="B2701" s="12" t="s">
        <v>986</v>
      </c>
      <c r="C2701" s="13" t="s">
        <v>984</v>
      </c>
      <c r="D2701" s="13" t="s">
        <v>983</v>
      </c>
      <c r="F2701" s="15">
        <f>SUM(F2702:F2703)</f>
        <v>2.666666666666667</v>
      </c>
      <c r="G2701" s="14">
        <f>G2703</f>
        <v>45062</v>
      </c>
    </row>
    <row r="2702" spans="2:18">
      <c r="C2702" s="2" t="s">
        <v>5</v>
      </c>
      <c r="D2702" s="2" t="s">
        <v>808</v>
      </c>
      <c r="E2702" s="3">
        <v>17.5</v>
      </c>
      <c r="F2702" s="3">
        <v>1</v>
      </c>
      <c r="G2702" s="4">
        <v>44614</v>
      </c>
    </row>
    <row r="2703" spans="2:18">
      <c r="C2703" s="2" t="s">
        <v>4</v>
      </c>
      <c r="D2703" s="2" t="s">
        <v>819</v>
      </c>
      <c r="E2703" s="3">
        <v>5</v>
      </c>
      <c r="F2703" s="3">
        <f>5/3</f>
        <v>1.6666666666666667</v>
      </c>
      <c r="G2703" s="4">
        <v>45062</v>
      </c>
    </row>
    <row r="2704" spans="2:18">
      <c r="C2704" s="2" t="s">
        <v>4</v>
      </c>
      <c r="D2704" s="2" t="s">
        <v>576</v>
      </c>
      <c r="E2704" s="3">
        <v>9</v>
      </c>
      <c r="F2704" s="3">
        <v>0.5</v>
      </c>
      <c r="G2704" s="4">
        <v>44859</v>
      </c>
    </row>
    <row r="2705" spans="2:18">
      <c r="G2705" s="4"/>
    </row>
    <row r="2706" spans="2:18" s="12" customFormat="1">
      <c r="B2706" s="12" t="s">
        <v>270</v>
      </c>
      <c r="C2706" s="13" t="s">
        <v>984</v>
      </c>
      <c r="D2706" s="13" t="s">
        <v>983</v>
      </c>
      <c r="E2706" s="15"/>
      <c r="F2706" s="15">
        <f>SUM(F2707:F2708)</f>
        <v>2.0555555555555558</v>
      </c>
      <c r="G2706" s="14">
        <f>G2707</f>
        <v>43690</v>
      </c>
      <c r="M2706" s="13"/>
      <c r="N2706" s="13"/>
      <c r="O2706" s="13"/>
      <c r="P2706" s="13"/>
      <c r="Q2706" s="13"/>
      <c r="R2706" s="13"/>
    </row>
    <row r="2707" spans="2:18">
      <c r="C2707" s="2" t="s">
        <v>5</v>
      </c>
      <c r="D2707" s="2" t="s">
        <v>265</v>
      </c>
      <c r="E2707" s="3">
        <v>14</v>
      </c>
      <c r="F2707" s="3">
        <v>1.6666666666666667</v>
      </c>
      <c r="G2707" s="4">
        <v>43690</v>
      </c>
    </row>
    <row r="2708" spans="2:18">
      <c r="C2708" s="2" t="s">
        <v>4</v>
      </c>
      <c r="D2708" s="2" t="s">
        <v>265</v>
      </c>
      <c r="E2708" s="3">
        <v>3.5</v>
      </c>
      <c r="F2708" s="3">
        <f>+E2708/9</f>
        <v>0.3888888888888889</v>
      </c>
      <c r="G2708" s="4">
        <v>42979</v>
      </c>
    </row>
    <row r="2709" spans="2:18">
      <c r="G2709" s="4"/>
    </row>
    <row r="2710" spans="2:18" s="12" customFormat="1">
      <c r="B2710" s="12" t="s">
        <v>725</v>
      </c>
      <c r="C2710" s="13" t="s">
        <v>984</v>
      </c>
      <c r="D2710" s="13" t="s">
        <v>983</v>
      </c>
      <c r="E2710" s="15"/>
      <c r="F2710" s="15">
        <f>SUM(F2711:F2712)</f>
        <v>2</v>
      </c>
      <c r="G2710" s="14">
        <f>G2711</f>
        <v>44679</v>
      </c>
      <c r="M2710" s="13"/>
      <c r="N2710" s="13"/>
      <c r="O2710" s="13"/>
      <c r="P2710" s="13"/>
      <c r="Q2710" s="13"/>
      <c r="R2710" s="13"/>
    </row>
    <row r="2711" spans="2:18">
      <c r="C2711" s="2" t="s">
        <v>5</v>
      </c>
      <c r="D2711" s="2" t="s">
        <v>674</v>
      </c>
      <c r="E2711" s="3">
        <v>17</v>
      </c>
      <c r="F2711" s="3">
        <v>1.5</v>
      </c>
      <c r="G2711" s="4">
        <v>44679</v>
      </c>
    </row>
    <row r="2712" spans="2:18">
      <c r="C2712" s="2" t="s">
        <v>4</v>
      </c>
      <c r="D2712" s="2" t="s">
        <v>674</v>
      </c>
      <c r="E2712" s="3">
        <v>4.5</v>
      </c>
      <c r="F2712" s="3">
        <v>0.5</v>
      </c>
      <c r="G2712" s="4">
        <v>44415</v>
      </c>
    </row>
    <row r="2713" spans="2:18">
      <c r="G2713" s="4"/>
    </row>
    <row r="2714" spans="2:18" s="12" customFormat="1">
      <c r="B2714" s="12" t="s">
        <v>494</v>
      </c>
      <c r="C2714" s="13" t="s">
        <v>984</v>
      </c>
      <c r="D2714" s="13" t="s">
        <v>983</v>
      </c>
      <c r="E2714" s="15"/>
      <c r="F2714" s="15">
        <f>SUM(F2715:F2716)</f>
        <v>1.75</v>
      </c>
      <c r="G2714" s="14">
        <f>G2715</f>
        <v>44516</v>
      </c>
    </row>
    <row r="2715" spans="2:18">
      <c r="C2715" s="2" t="s">
        <v>5</v>
      </c>
      <c r="D2715" s="2" t="s">
        <v>492</v>
      </c>
      <c r="E2715" s="3">
        <v>13</v>
      </c>
      <c r="F2715" s="3">
        <v>1.4</v>
      </c>
      <c r="G2715" s="4">
        <v>44516</v>
      </c>
      <c r="M2715" s="1"/>
      <c r="N2715" s="1"/>
      <c r="O2715" s="1"/>
      <c r="P2715" s="1"/>
      <c r="Q2715" s="1"/>
      <c r="R2715" s="1"/>
    </row>
    <row r="2716" spans="2:18">
      <c r="C2716" s="2" t="s">
        <v>4</v>
      </c>
      <c r="D2716" s="2" t="s">
        <v>354</v>
      </c>
      <c r="E2716" s="3">
        <v>3.5</v>
      </c>
      <c r="F2716" s="3">
        <f>E2716/10</f>
        <v>0.35</v>
      </c>
      <c r="G2716" s="4">
        <v>43046</v>
      </c>
      <c r="M2716" s="1"/>
      <c r="N2716" s="1"/>
      <c r="O2716" s="1"/>
      <c r="P2716" s="1"/>
      <c r="Q2716" s="1"/>
      <c r="R2716" s="1"/>
    </row>
    <row r="2717" spans="2:18">
      <c r="G2717" s="4"/>
      <c r="M2717" s="1"/>
      <c r="N2717" s="1"/>
      <c r="O2717" s="1"/>
      <c r="P2717" s="1"/>
      <c r="Q2717" s="1"/>
      <c r="R2717" s="1"/>
    </row>
    <row r="2718" spans="2:18" s="12" customFormat="1">
      <c r="B2718" s="12" t="s">
        <v>448</v>
      </c>
      <c r="C2718" s="13" t="s">
        <v>984</v>
      </c>
      <c r="D2718" s="13" t="s">
        <v>983</v>
      </c>
      <c r="E2718" s="15"/>
      <c r="F2718" s="15">
        <f>SUM(F2719:F2720)</f>
        <v>1.6</v>
      </c>
      <c r="G2718" s="14">
        <f>G2719</f>
        <v>44602</v>
      </c>
    </row>
    <row r="2719" spans="2:18">
      <c r="C2719" s="2" t="s">
        <v>4</v>
      </c>
      <c r="D2719" s="2" t="s">
        <v>447</v>
      </c>
      <c r="E2719" s="3">
        <v>7</v>
      </c>
      <c r="F2719" s="3">
        <v>0.5</v>
      </c>
      <c r="G2719" s="4">
        <v>44602</v>
      </c>
      <c r="M2719" s="1"/>
      <c r="N2719" s="1"/>
      <c r="O2719" s="1"/>
      <c r="P2719" s="1"/>
      <c r="Q2719" s="1"/>
      <c r="R2719" s="1"/>
    </row>
    <row r="2720" spans="2:18">
      <c r="C2720" s="2" t="s">
        <v>285</v>
      </c>
      <c r="D2720" s="2" t="s">
        <v>447</v>
      </c>
      <c r="E2720" s="3">
        <v>1.1000000000000001</v>
      </c>
      <c r="F2720" s="3">
        <v>1.1000000000000001</v>
      </c>
      <c r="G2720" s="4">
        <v>44061</v>
      </c>
      <c r="M2720" s="1"/>
      <c r="N2720" s="1"/>
      <c r="O2720" s="1"/>
      <c r="P2720" s="1"/>
      <c r="Q2720" s="1"/>
      <c r="R2720" s="1"/>
    </row>
    <row r="2721" spans="2:18">
      <c r="G2721" s="4"/>
      <c r="M2721" s="1"/>
      <c r="N2721" s="1"/>
      <c r="O2721" s="1"/>
      <c r="P2721" s="1"/>
      <c r="Q2721" s="1"/>
      <c r="R2721" s="1"/>
    </row>
    <row r="2722" spans="2:18" s="12" customFormat="1">
      <c r="B2722" s="12" t="s">
        <v>588</v>
      </c>
      <c r="C2722" s="13" t="s">
        <v>984</v>
      </c>
      <c r="D2722" s="13" t="s">
        <v>983</v>
      </c>
      <c r="E2722" s="15"/>
      <c r="F2722" s="15">
        <f>SUM(F2723:F2724)</f>
        <v>1.5</v>
      </c>
      <c r="G2722" s="14">
        <f>G2724</f>
        <v>45037</v>
      </c>
    </row>
    <row r="2723" spans="2:18">
      <c r="C2723" s="2" t="s">
        <v>4</v>
      </c>
      <c r="D2723" s="2" t="s">
        <v>584</v>
      </c>
      <c r="E2723" s="3">
        <v>10</v>
      </c>
      <c r="F2723" s="3">
        <v>1</v>
      </c>
      <c r="G2723" s="4">
        <v>44887</v>
      </c>
      <c r="M2723" s="1"/>
      <c r="N2723" s="1"/>
      <c r="O2723" s="1"/>
      <c r="P2723" s="1"/>
      <c r="Q2723" s="1"/>
      <c r="R2723" s="1"/>
    </row>
    <row r="2724" spans="2:18">
      <c r="C2724" s="2" t="s">
        <v>4</v>
      </c>
      <c r="D2724" s="2" t="s">
        <v>518</v>
      </c>
      <c r="E2724" s="3">
        <v>3</v>
      </c>
      <c r="F2724" s="3">
        <v>0.5</v>
      </c>
      <c r="G2724" s="4">
        <v>45037</v>
      </c>
      <c r="M2724" s="1"/>
      <c r="N2724" s="1"/>
      <c r="O2724" s="1"/>
      <c r="P2724" s="1"/>
      <c r="Q2724" s="1"/>
      <c r="R2724" s="1"/>
    </row>
    <row r="2725" spans="2:18">
      <c r="G2725" s="4"/>
      <c r="M2725" s="1"/>
      <c r="N2725" s="1"/>
      <c r="O2725" s="1"/>
      <c r="P2725" s="1"/>
      <c r="Q2725" s="1"/>
      <c r="R2725" s="1"/>
    </row>
    <row r="2726" spans="2:18" s="12" customFormat="1">
      <c r="B2726" s="12" t="s">
        <v>723</v>
      </c>
      <c r="C2726" s="13" t="s">
        <v>984</v>
      </c>
      <c r="D2726" s="13" t="s">
        <v>983</v>
      </c>
      <c r="E2726" s="15"/>
      <c r="F2726" s="15">
        <f>SUM(F2727:F2728)</f>
        <v>2</v>
      </c>
      <c r="G2726" s="14">
        <f>G2727</f>
        <v>44679</v>
      </c>
      <c r="M2726" s="13"/>
      <c r="N2726" s="13"/>
      <c r="O2726" s="13"/>
      <c r="P2726" s="13"/>
      <c r="Q2726" s="13"/>
      <c r="R2726" s="13"/>
    </row>
    <row r="2727" spans="2:18">
      <c r="C2727" s="2" t="s">
        <v>5</v>
      </c>
      <c r="D2727" s="2" t="s">
        <v>674</v>
      </c>
      <c r="E2727" s="3">
        <v>17</v>
      </c>
      <c r="F2727" s="3">
        <v>1.5</v>
      </c>
      <c r="G2727" s="4">
        <v>44679</v>
      </c>
    </row>
    <row r="2728" spans="2:18">
      <c r="C2728" s="2" t="s">
        <v>4</v>
      </c>
      <c r="D2728" s="2" t="s">
        <v>674</v>
      </c>
      <c r="E2728" s="3">
        <v>4.5</v>
      </c>
      <c r="F2728" s="3">
        <v>0.5</v>
      </c>
      <c r="G2728" s="4">
        <v>44415</v>
      </c>
    </row>
    <row r="2729" spans="2:18">
      <c r="G2729" s="4"/>
    </row>
    <row r="2730" spans="2:18" s="12" customFormat="1">
      <c r="B2730" s="12" t="s">
        <v>724</v>
      </c>
      <c r="C2730" s="13" t="s">
        <v>984</v>
      </c>
      <c r="D2730" s="13" t="s">
        <v>983</v>
      </c>
      <c r="E2730" s="15"/>
      <c r="F2730" s="15">
        <f>SUM(F2731:F2732)</f>
        <v>2</v>
      </c>
      <c r="G2730" s="14">
        <f>G2731</f>
        <v>44679</v>
      </c>
      <c r="M2730" s="13"/>
      <c r="N2730" s="13"/>
      <c r="O2730" s="13"/>
      <c r="P2730" s="13"/>
      <c r="Q2730" s="13"/>
      <c r="R2730" s="13"/>
    </row>
    <row r="2731" spans="2:18">
      <c r="C2731" s="2" t="s">
        <v>5</v>
      </c>
      <c r="D2731" s="2" t="s">
        <v>674</v>
      </c>
      <c r="E2731" s="3">
        <v>17</v>
      </c>
      <c r="F2731" s="3">
        <v>1.5</v>
      </c>
      <c r="G2731" s="4">
        <v>44679</v>
      </c>
    </row>
    <row r="2732" spans="2:18">
      <c r="C2732" s="2" t="s">
        <v>4</v>
      </c>
      <c r="D2732" s="2" t="s">
        <v>674</v>
      </c>
      <c r="E2732" s="3">
        <v>4.5</v>
      </c>
      <c r="F2732" s="3">
        <v>0.5</v>
      </c>
      <c r="G2732" s="4">
        <v>44415</v>
      </c>
    </row>
    <row r="2733" spans="2:18">
      <c r="G2733" s="4"/>
    </row>
    <row r="2734" spans="2:18" s="12" customFormat="1">
      <c r="B2734" s="12" t="s">
        <v>726</v>
      </c>
      <c r="C2734" s="13" t="s">
        <v>984</v>
      </c>
      <c r="D2734" s="13" t="s">
        <v>983</v>
      </c>
      <c r="E2734" s="15"/>
      <c r="F2734" s="15">
        <f>SUM(F2735:F2736)</f>
        <v>2</v>
      </c>
      <c r="G2734" s="14">
        <f>G2735</f>
        <v>44679</v>
      </c>
      <c r="M2734" s="13"/>
      <c r="N2734" s="13"/>
      <c r="O2734" s="13"/>
      <c r="P2734" s="13"/>
      <c r="Q2734" s="13"/>
      <c r="R2734" s="13"/>
    </row>
    <row r="2735" spans="2:18">
      <c r="C2735" s="2" t="s">
        <v>5</v>
      </c>
      <c r="D2735" s="2" t="s">
        <v>674</v>
      </c>
      <c r="E2735" s="3">
        <v>17</v>
      </c>
      <c r="F2735" s="3">
        <v>1.5</v>
      </c>
      <c r="G2735" s="4">
        <v>44679</v>
      </c>
    </row>
    <row r="2736" spans="2:18">
      <c r="C2736" s="2" t="s">
        <v>4</v>
      </c>
      <c r="D2736" s="2" t="s">
        <v>674</v>
      </c>
      <c r="E2736" s="3">
        <v>4.5</v>
      </c>
      <c r="F2736" s="3">
        <v>0.5</v>
      </c>
      <c r="G2736" s="4">
        <v>44415</v>
      </c>
    </row>
    <row r="2737" spans="2:18">
      <c r="G2737" s="4"/>
    </row>
    <row r="2738" spans="2:18" s="12" customFormat="1">
      <c r="B2738" s="12" t="s">
        <v>300</v>
      </c>
      <c r="C2738" s="13" t="s">
        <v>984</v>
      </c>
      <c r="D2738" s="13" t="s">
        <v>983</v>
      </c>
      <c r="E2738" s="15"/>
      <c r="F2738" s="15">
        <f>SUM(F2739:F2740)</f>
        <v>1.8050000000000002</v>
      </c>
      <c r="G2738" s="14">
        <f>G2739</f>
        <v>42458</v>
      </c>
      <c r="M2738" s="13"/>
      <c r="N2738" s="13"/>
      <c r="O2738" s="13"/>
      <c r="P2738" s="13"/>
      <c r="Q2738" s="13"/>
      <c r="R2738" s="13"/>
    </row>
    <row r="2739" spans="2:18">
      <c r="C2739" s="2" t="s">
        <v>7</v>
      </c>
      <c r="D2739" s="2" t="s">
        <v>299</v>
      </c>
      <c r="E2739" s="3">
        <v>6.9</v>
      </c>
      <c r="F2739" s="3">
        <f>E2739/5</f>
        <v>1.3800000000000001</v>
      </c>
      <c r="G2739" s="4">
        <v>42458</v>
      </c>
    </row>
    <row r="2740" spans="2:18">
      <c r="C2740" s="2" t="s">
        <v>5</v>
      </c>
      <c r="D2740" s="2" t="s">
        <v>299</v>
      </c>
      <c r="E2740" s="3">
        <v>2.7</v>
      </c>
      <c r="F2740" s="3">
        <f>1.7/4</f>
        <v>0.42499999999999999</v>
      </c>
      <c r="G2740" s="4">
        <v>42139</v>
      </c>
    </row>
    <row r="2741" spans="2:18">
      <c r="G2741" s="4"/>
    </row>
    <row r="2742" spans="2:18" s="12" customFormat="1">
      <c r="B2742" s="12" t="s">
        <v>727</v>
      </c>
      <c r="C2742" s="13" t="s">
        <v>984</v>
      </c>
      <c r="D2742" s="13" t="s">
        <v>983</v>
      </c>
      <c r="E2742" s="15"/>
      <c r="F2742" s="15">
        <f>SUM(F2743:F2744)</f>
        <v>2</v>
      </c>
      <c r="G2742" s="14">
        <f>G2743</f>
        <v>44679</v>
      </c>
      <c r="M2742" s="13"/>
      <c r="N2742" s="13"/>
      <c r="O2742" s="13"/>
      <c r="P2742" s="13"/>
      <c r="Q2742" s="13"/>
      <c r="R2742" s="13"/>
    </row>
    <row r="2743" spans="2:18">
      <c r="C2743" s="2" t="s">
        <v>5</v>
      </c>
      <c r="D2743" s="2" t="s">
        <v>674</v>
      </c>
      <c r="E2743" s="3">
        <v>17</v>
      </c>
      <c r="F2743" s="3">
        <v>1.5</v>
      </c>
      <c r="G2743" s="4">
        <v>44679</v>
      </c>
    </row>
    <row r="2744" spans="2:18">
      <c r="C2744" s="2" t="s">
        <v>4</v>
      </c>
      <c r="D2744" s="2" t="s">
        <v>674</v>
      </c>
      <c r="E2744" s="3">
        <v>4.5</v>
      </c>
      <c r="F2744" s="3">
        <v>0.5</v>
      </c>
      <c r="G2744" s="4">
        <v>44415</v>
      </c>
    </row>
    <row r="2745" spans="2:18">
      <c r="G2745" s="4"/>
    </row>
    <row r="2746" spans="2:18" s="12" customFormat="1">
      <c r="B2746" s="12" t="s">
        <v>767</v>
      </c>
      <c r="C2746" s="13" t="s">
        <v>984</v>
      </c>
      <c r="D2746" s="13" t="s">
        <v>983</v>
      </c>
      <c r="E2746" s="15"/>
      <c r="F2746" s="15">
        <f>SUM(F2747:F2748)</f>
        <v>1</v>
      </c>
      <c r="G2746" s="14">
        <f>G2748</f>
        <v>44434</v>
      </c>
    </row>
    <row r="2747" spans="2:18">
      <c r="C2747" s="2" t="s">
        <v>4</v>
      </c>
      <c r="D2747" s="2" t="s">
        <v>683</v>
      </c>
      <c r="E2747" s="3">
        <v>3</v>
      </c>
      <c r="F2747" s="3">
        <v>0.5</v>
      </c>
      <c r="G2747" s="4">
        <v>43993</v>
      </c>
      <c r="M2747" s="1"/>
      <c r="N2747" s="1"/>
      <c r="O2747" s="1"/>
      <c r="P2747" s="1"/>
      <c r="Q2747" s="1"/>
      <c r="R2747" s="1"/>
    </row>
    <row r="2748" spans="2:18">
      <c r="C2748" s="2" t="s">
        <v>4</v>
      </c>
      <c r="D2748" s="2" t="s">
        <v>127</v>
      </c>
      <c r="E2748" s="3">
        <v>4.5</v>
      </c>
      <c r="F2748" s="3">
        <v>0.5</v>
      </c>
      <c r="G2748" s="4">
        <v>44434</v>
      </c>
      <c r="M2748" s="1"/>
      <c r="N2748" s="1"/>
      <c r="O2748" s="1"/>
      <c r="P2748" s="1"/>
      <c r="Q2748" s="1"/>
      <c r="R2748" s="1"/>
    </row>
    <row r="2749" spans="2:18">
      <c r="G2749" s="4"/>
      <c r="M2749" s="1"/>
      <c r="N2749" s="1"/>
      <c r="O2749" s="1"/>
      <c r="P2749" s="1"/>
      <c r="Q2749" s="1"/>
      <c r="R2749" s="1"/>
    </row>
    <row r="2750" spans="2:18" s="12" customFormat="1">
      <c r="B2750" s="12" t="s">
        <v>985</v>
      </c>
      <c r="C2750" s="13" t="s">
        <v>984</v>
      </c>
      <c r="D2750" s="13" t="s">
        <v>983</v>
      </c>
      <c r="E2750" s="15"/>
      <c r="F2750" s="15">
        <f>SUM(F2751:F2752)</f>
        <v>1.4</v>
      </c>
      <c r="G2750" s="14">
        <f>G2751</f>
        <v>44994</v>
      </c>
      <c r="M2750" s="13"/>
      <c r="N2750" s="13"/>
      <c r="O2750" s="13"/>
      <c r="P2750" s="13"/>
      <c r="Q2750" s="13"/>
      <c r="R2750" s="13"/>
    </row>
    <row r="2751" spans="2:18">
      <c r="C2751" s="2" t="s">
        <v>4</v>
      </c>
      <c r="D2751" s="2" t="s">
        <v>757</v>
      </c>
      <c r="E2751" s="3">
        <v>2.8</v>
      </c>
      <c r="F2751" s="3">
        <v>1</v>
      </c>
      <c r="G2751" s="4">
        <v>44994</v>
      </c>
    </row>
    <row r="2752" spans="2:18">
      <c r="C2752" s="2" t="s">
        <v>4</v>
      </c>
      <c r="D2752" s="2" t="s">
        <v>757</v>
      </c>
      <c r="E2752" s="3">
        <v>2.6</v>
      </c>
      <c r="F2752" s="3">
        <f>1.6/4</f>
        <v>0.4</v>
      </c>
      <c r="G2752" s="4">
        <v>44147</v>
      </c>
    </row>
    <row r="2754" spans="2:18" s="12" customFormat="1">
      <c r="B2754" s="12" t="s">
        <v>395</v>
      </c>
      <c r="C2754" s="13" t="s">
        <v>984</v>
      </c>
      <c r="D2754" s="13" t="s">
        <v>983</v>
      </c>
      <c r="E2754" s="15"/>
      <c r="F2754" s="15">
        <f>SUM(F2755:F2756)</f>
        <v>1.355</v>
      </c>
      <c r="G2754" s="14">
        <f>G2755</f>
        <v>42156</v>
      </c>
    </row>
    <row r="2755" spans="2:18">
      <c r="C2755" s="2" t="s">
        <v>5</v>
      </c>
      <c r="D2755" s="2" t="s">
        <v>393</v>
      </c>
      <c r="E2755" s="3">
        <v>5.5</v>
      </c>
      <c r="F2755" s="3">
        <v>1</v>
      </c>
      <c r="G2755" s="4">
        <v>42156</v>
      </c>
      <c r="M2755" s="1"/>
      <c r="N2755" s="1"/>
      <c r="O2755" s="1"/>
      <c r="P2755" s="1"/>
      <c r="Q2755" s="1"/>
      <c r="R2755" s="1"/>
    </row>
    <row r="2756" spans="2:18">
      <c r="C2756" s="2" t="s">
        <v>4</v>
      </c>
      <c r="D2756" s="2" t="s">
        <v>393</v>
      </c>
      <c r="E2756" s="3">
        <v>0.71</v>
      </c>
      <c r="F2756" s="3">
        <f>+E2756/2</f>
        <v>0.35499999999999998</v>
      </c>
      <c r="G2756" s="4">
        <v>41730</v>
      </c>
      <c r="M2756" s="1"/>
      <c r="N2756" s="1"/>
      <c r="O2756" s="1"/>
      <c r="P2756" s="1"/>
      <c r="Q2756" s="1"/>
      <c r="R2756" s="1"/>
    </row>
    <row r="2757" spans="2:18">
      <c r="G2757" s="4"/>
      <c r="M2757" s="1"/>
      <c r="N2757" s="1"/>
      <c r="O2757" s="1"/>
      <c r="P2757" s="1"/>
      <c r="Q2757" s="1"/>
      <c r="R2757" s="1"/>
    </row>
    <row r="2758" spans="2:18" s="12" customFormat="1">
      <c r="B2758" s="12" t="s">
        <v>632</v>
      </c>
      <c r="C2758" s="13" t="s">
        <v>984</v>
      </c>
      <c r="D2758" s="13" t="s">
        <v>983</v>
      </c>
      <c r="E2758" s="15"/>
      <c r="F2758" s="15">
        <f>SUM(F2759:F2760)</f>
        <v>0.75</v>
      </c>
      <c r="G2758" s="14">
        <f>G2759</f>
        <v>45021</v>
      </c>
    </row>
    <row r="2759" spans="2:18">
      <c r="C2759" s="2" t="s">
        <v>285</v>
      </c>
      <c r="D2759" s="2" t="s">
        <v>631</v>
      </c>
      <c r="E2759" s="3">
        <v>0.5</v>
      </c>
      <c r="F2759" s="3">
        <v>0.5</v>
      </c>
      <c r="G2759" s="4">
        <v>45021</v>
      </c>
      <c r="M2759" s="1"/>
      <c r="N2759" s="1"/>
      <c r="O2759" s="1"/>
      <c r="P2759" s="1"/>
      <c r="Q2759" s="1"/>
      <c r="R2759" s="1"/>
    </row>
    <row r="2760" spans="2:18">
      <c r="C2760" s="2" t="s">
        <v>285</v>
      </c>
      <c r="D2760" s="2" t="s">
        <v>348</v>
      </c>
      <c r="E2760" s="3">
        <v>0.75</v>
      </c>
      <c r="F2760" s="3">
        <f>E2760/3</f>
        <v>0.25</v>
      </c>
      <c r="G2760" s="4">
        <v>44043</v>
      </c>
      <c r="M2760" s="1"/>
      <c r="N2760" s="1"/>
      <c r="O2760" s="1"/>
      <c r="P2760" s="1"/>
      <c r="Q2760" s="1"/>
      <c r="R2760" s="1"/>
    </row>
    <row r="2761" spans="2:18">
      <c r="G2761" s="4"/>
      <c r="M2761" s="1"/>
      <c r="N2761" s="1"/>
      <c r="O2761" s="1"/>
      <c r="P2761" s="1"/>
      <c r="Q2761" s="1"/>
      <c r="R2761" s="1"/>
    </row>
    <row r="2762" spans="2:18" s="12" customFormat="1">
      <c r="B2762" s="12" t="s">
        <v>711</v>
      </c>
      <c r="C2762" s="13" t="s">
        <v>984</v>
      </c>
      <c r="D2762" s="13" t="s">
        <v>983</v>
      </c>
      <c r="E2762" s="15"/>
      <c r="F2762" s="15">
        <f>SUM(F2763:F2764)</f>
        <v>0.68333333333333335</v>
      </c>
      <c r="G2762" s="14">
        <f>G2763</f>
        <v>44469</v>
      </c>
      <c r="M2762" s="13"/>
      <c r="N2762" s="13"/>
      <c r="O2762" s="13"/>
      <c r="P2762" s="13"/>
      <c r="Q2762" s="13"/>
      <c r="R2762" s="13"/>
    </row>
    <row r="2763" spans="2:18">
      <c r="C2763" s="2" t="s">
        <v>4</v>
      </c>
      <c r="D2763" s="2" t="s">
        <v>710</v>
      </c>
      <c r="E2763" s="3">
        <v>2.5</v>
      </c>
      <c r="F2763" s="3">
        <f>2/6</f>
        <v>0.33333333333333331</v>
      </c>
      <c r="G2763" s="4">
        <v>44469</v>
      </c>
    </row>
    <row r="2764" spans="2:18">
      <c r="C2764" s="2" t="s">
        <v>4</v>
      </c>
      <c r="D2764" s="2" t="s">
        <v>354</v>
      </c>
      <c r="E2764" s="3">
        <v>3.5</v>
      </c>
      <c r="F2764" s="3">
        <f>E2764/10</f>
        <v>0.35</v>
      </c>
      <c r="G2764" s="4">
        <v>43046</v>
      </c>
      <c r="L2764" s="1">
        <v>0</v>
      </c>
    </row>
    <row r="2765" spans="2:18">
      <c r="G2765" s="4"/>
    </row>
    <row r="2766" spans="2:18" s="12" customFormat="1">
      <c r="B2766" s="12" t="s">
        <v>524</v>
      </c>
      <c r="C2766" s="13" t="s">
        <v>984</v>
      </c>
      <c r="D2766" s="13" t="s">
        <v>983</v>
      </c>
      <c r="E2766" s="15"/>
      <c r="F2766" s="15">
        <f>SUM(F2767:F2768)</f>
        <v>0.8</v>
      </c>
      <c r="G2766" s="14">
        <f>G2767</f>
        <v>45037</v>
      </c>
    </row>
    <row r="2767" spans="2:18">
      <c r="C2767" s="2" t="s">
        <v>4</v>
      </c>
      <c r="D2767" s="2" t="s">
        <v>518</v>
      </c>
      <c r="E2767" s="3">
        <v>3</v>
      </c>
      <c r="F2767" s="3">
        <v>0.5</v>
      </c>
      <c r="G2767" s="4">
        <v>45037</v>
      </c>
      <c r="M2767" s="1"/>
      <c r="N2767" s="1"/>
      <c r="O2767" s="1"/>
      <c r="P2767" s="1"/>
      <c r="Q2767" s="1"/>
      <c r="R2767" s="1"/>
    </row>
    <row r="2768" spans="2:18">
      <c r="C2768" s="2" t="s">
        <v>285</v>
      </c>
      <c r="D2768" s="2" t="s">
        <v>518</v>
      </c>
      <c r="E2768" s="3">
        <v>1.2</v>
      </c>
      <c r="F2768" s="3">
        <v>0.3</v>
      </c>
      <c r="G2768" s="4">
        <v>44545</v>
      </c>
      <c r="M2768" s="1"/>
      <c r="N2768" s="1"/>
      <c r="O2768" s="1"/>
      <c r="P2768" s="1"/>
      <c r="Q2768" s="1"/>
      <c r="R2768" s="1"/>
    </row>
    <row r="2769" spans="2:18">
      <c r="G2769" s="4"/>
      <c r="M2769" s="1"/>
      <c r="N2769" s="1"/>
      <c r="O2769" s="1"/>
      <c r="P2769" s="1"/>
      <c r="Q2769" s="1"/>
      <c r="R2769" s="1"/>
    </row>
    <row r="2770" spans="2:18" s="12" customFormat="1">
      <c r="B2770" s="12" t="s">
        <v>389</v>
      </c>
      <c r="C2770" s="13" t="s">
        <v>984</v>
      </c>
      <c r="D2770" s="13" t="s">
        <v>983</v>
      </c>
      <c r="E2770" s="15"/>
      <c r="F2770" s="15">
        <f>SUM(F2771:F2772)</f>
        <v>1.1000000000000001</v>
      </c>
      <c r="G2770" s="14">
        <f>G2772</f>
        <v>44054</v>
      </c>
    </row>
    <row r="2771" spans="2:18">
      <c r="C2771" s="2" t="s">
        <v>4</v>
      </c>
      <c r="D2771" s="2" t="s">
        <v>388</v>
      </c>
      <c r="E2771" s="3">
        <v>8.5</v>
      </c>
      <c r="F2771" s="3">
        <v>1</v>
      </c>
      <c r="G2771" s="4">
        <v>43796</v>
      </c>
      <c r="M2771" s="1"/>
      <c r="N2771" s="1"/>
      <c r="O2771" s="1"/>
      <c r="P2771" s="1"/>
      <c r="Q2771" s="1"/>
      <c r="R2771" s="1"/>
    </row>
    <row r="2772" spans="2:18">
      <c r="C2772" s="2" t="s">
        <v>285</v>
      </c>
      <c r="D2772" s="2" t="s">
        <v>284</v>
      </c>
      <c r="E2772" s="3">
        <v>0.2</v>
      </c>
      <c r="F2772" s="3">
        <v>0.1</v>
      </c>
      <c r="G2772" s="4">
        <v>44054</v>
      </c>
      <c r="M2772" s="1"/>
      <c r="N2772" s="1"/>
      <c r="O2772" s="1"/>
      <c r="P2772" s="1"/>
      <c r="Q2772" s="1"/>
      <c r="R2772" s="1"/>
    </row>
    <row r="2773" spans="2:18">
      <c r="G2773" s="4"/>
      <c r="M2773" s="1"/>
      <c r="N2773" s="1"/>
      <c r="O2773" s="1"/>
      <c r="P2773" s="1"/>
      <c r="Q2773" s="1"/>
      <c r="R2773" s="1"/>
    </row>
    <row r="2774" spans="2:18" s="12" customFormat="1">
      <c r="B2774" s="12" t="s">
        <v>761</v>
      </c>
      <c r="C2774" s="13" t="s">
        <v>984</v>
      </c>
      <c r="D2774" s="13" t="s">
        <v>983</v>
      </c>
      <c r="E2774" s="15"/>
      <c r="F2774" s="15">
        <f>SUM(F2775:F2776)</f>
        <v>1</v>
      </c>
      <c r="G2774" s="14">
        <f>G2775</f>
        <v>43580</v>
      </c>
    </row>
    <row r="2775" spans="2:18">
      <c r="C2775" s="2" t="s">
        <v>4</v>
      </c>
      <c r="D2775" s="2" t="s">
        <v>411</v>
      </c>
      <c r="E2775" s="3">
        <v>3.1</v>
      </c>
      <c r="F2775" s="3">
        <v>0.5</v>
      </c>
      <c r="G2775" s="4">
        <v>43580</v>
      </c>
      <c r="M2775" s="1"/>
      <c r="N2775" s="1"/>
      <c r="O2775" s="1"/>
      <c r="P2775" s="1"/>
      <c r="Q2775" s="1"/>
      <c r="R2775" s="1"/>
    </row>
    <row r="2776" spans="2:18">
      <c r="C2776" s="2" t="s">
        <v>4</v>
      </c>
      <c r="D2776" s="2" t="s">
        <v>2170</v>
      </c>
      <c r="E2776" s="3">
        <v>3</v>
      </c>
      <c r="F2776" s="3">
        <f>0.5</f>
        <v>0.5</v>
      </c>
      <c r="G2776" s="4">
        <v>42979</v>
      </c>
      <c r="M2776" s="1"/>
      <c r="N2776" s="1"/>
      <c r="O2776" s="1"/>
      <c r="P2776" s="1"/>
      <c r="Q2776" s="1"/>
      <c r="R2776" s="1"/>
    </row>
    <row r="2777" spans="2:18">
      <c r="G2777" s="4"/>
      <c r="M2777" s="1"/>
      <c r="N2777" s="1"/>
      <c r="O2777" s="1"/>
      <c r="P2777" s="1"/>
      <c r="Q2777" s="1"/>
      <c r="R2777" s="1"/>
    </row>
    <row r="2778" spans="2:18" s="12" customFormat="1">
      <c r="B2778" s="12" t="s">
        <v>561</v>
      </c>
      <c r="C2778" s="13" t="s">
        <v>984</v>
      </c>
      <c r="D2778" s="13" t="s">
        <v>983</v>
      </c>
      <c r="E2778" s="15"/>
      <c r="F2778" s="15">
        <f>SUM(F2779:F2780)</f>
        <v>0.69499999999999995</v>
      </c>
      <c r="G2778" s="14">
        <f>G2779</f>
        <v>43262</v>
      </c>
    </row>
    <row r="2779" spans="2:18">
      <c r="C2779" s="2" t="s">
        <v>285</v>
      </c>
      <c r="D2779" s="2" t="s">
        <v>558</v>
      </c>
      <c r="E2779" s="3">
        <v>0.5</v>
      </c>
      <c r="F2779" s="3">
        <v>0.1</v>
      </c>
      <c r="G2779" s="4">
        <v>43262</v>
      </c>
      <c r="M2779" s="1"/>
      <c r="N2779" s="1"/>
      <c r="O2779" s="1"/>
      <c r="P2779" s="1"/>
      <c r="Q2779" s="1"/>
      <c r="R2779" s="1"/>
    </row>
    <row r="2780" spans="2:18">
      <c r="C2780" s="2" t="s">
        <v>560</v>
      </c>
      <c r="D2780" s="2" t="s">
        <v>3</v>
      </c>
      <c r="E2780" s="3">
        <v>0.59499999999999997</v>
      </c>
      <c r="F2780" s="3">
        <v>0.59499999999999997</v>
      </c>
      <c r="G2780" s="4">
        <v>42278</v>
      </c>
      <c r="M2780" s="1"/>
      <c r="N2780" s="1"/>
      <c r="O2780" s="1"/>
      <c r="P2780" s="1"/>
      <c r="Q2780" s="1"/>
      <c r="R2780" s="1"/>
    </row>
    <row r="2781" spans="2:18">
      <c r="G2781" s="4"/>
      <c r="M2781" s="1"/>
      <c r="N2781" s="1"/>
      <c r="O2781" s="1"/>
      <c r="P2781" s="1"/>
      <c r="Q2781" s="1"/>
      <c r="R2781" s="1"/>
    </row>
    <row r="2782" spans="2:18" s="12" customFormat="1">
      <c r="B2782" s="12" t="s">
        <v>650</v>
      </c>
      <c r="C2782" s="13" t="s">
        <v>984</v>
      </c>
      <c r="D2782" s="13" t="s">
        <v>983</v>
      </c>
      <c r="E2782" s="15"/>
      <c r="F2782" s="15">
        <f>SUM(F2783:F2785)</f>
        <v>0.22</v>
      </c>
      <c r="G2782" s="14">
        <f>G2784</f>
        <v>44082</v>
      </c>
    </row>
    <row r="2783" spans="2:18">
      <c r="C2783" s="2" t="s">
        <v>285</v>
      </c>
      <c r="D2783" s="2" t="s">
        <v>649</v>
      </c>
      <c r="E2783" s="3">
        <v>0.1</v>
      </c>
      <c r="F2783" s="3">
        <v>0.1</v>
      </c>
      <c r="G2783" s="4">
        <v>43499</v>
      </c>
      <c r="M2783" s="1"/>
      <c r="N2783" s="1"/>
      <c r="O2783" s="1"/>
      <c r="P2783" s="1"/>
      <c r="Q2783" s="1"/>
      <c r="R2783" s="1"/>
    </row>
    <row r="2784" spans="2:18">
      <c r="C2784" s="2" t="s">
        <v>285</v>
      </c>
      <c r="D2784" s="2" t="s">
        <v>648</v>
      </c>
      <c r="E2784" s="3">
        <v>0.12</v>
      </c>
      <c r="F2784" s="3">
        <v>0.12</v>
      </c>
      <c r="G2784" s="4">
        <v>44082</v>
      </c>
      <c r="M2784" s="1"/>
      <c r="N2784" s="1"/>
      <c r="O2784" s="1"/>
      <c r="P2784" s="1"/>
      <c r="Q2784" s="1"/>
      <c r="R2784" s="1"/>
    </row>
    <row r="2785" spans="2:18">
      <c r="C2785" s="2" t="s">
        <v>285</v>
      </c>
      <c r="D2785" s="2" t="s">
        <v>348</v>
      </c>
      <c r="G2785" s="4"/>
      <c r="M2785" s="1"/>
      <c r="N2785" s="1"/>
      <c r="O2785" s="1"/>
      <c r="P2785" s="1"/>
      <c r="Q2785" s="1"/>
      <c r="R2785" s="1"/>
    </row>
    <row r="2786" spans="2:18">
      <c r="G2786" s="4"/>
      <c r="M2786" s="1"/>
      <c r="N2786" s="1"/>
      <c r="O2786" s="1"/>
      <c r="P2786" s="1"/>
      <c r="Q2786" s="1"/>
      <c r="R2786" s="1"/>
    </row>
    <row r="2787" spans="2:18">
      <c r="B2787" s="1" t="s">
        <v>982</v>
      </c>
      <c r="C2787" s="2" t="s">
        <v>7</v>
      </c>
      <c r="D2787" s="2" t="s">
        <v>979</v>
      </c>
      <c r="E2787" s="3">
        <v>580</v>
      </c>
      <c r="F2787" s="3">
        <v>580</v>
      </c>
      <c r="G2787" s="4">
        <v>44680</v>
      </c>
    </row>
    <row r="2788" spans="2:18">
      <c r="B2788" s="1" t="s">
        <v>981</v>
      </c>
      <c r="C2788" s="2" t="s">
        <v>9</v>
      </c>
      <c r="D2788" s="2" t="s">
        <v>815</v>
      </c>
      <c r="E2788" s="3">
        <v>325</v>
      </c>
      <c r="F2788" s="3">
        <v>65</v>
      </c>
      <c r="G2788" s="4">
        <v>44299</v>
      </c>
    </row>
    <row r="2789" spans="2:18">
      <c r="B2789" s="1" t="s">
        <v>980</v>
      </c>
      <c r="C2789" s="2" t="s">
        <v>18</v>
      </c>
      <c r="D2789" s="2" t="s">
        <v>979</v>
      </c>
      <c r="E2789" s="3">
        <v>450</v>
      </c>
      <c r="F2789" s="3">
        <f>300/5</f>
        <v>60</v>
      </c>
      <c r="G2789" s="4">
        <v>45069</v>
      </c>
    </row>
    <row r="2790" spans="2:18">
      <c r="B2790" s="1" t="s">
        <v>978</v>
      </c>
      <c r="C2790" s="2" t="s">
        <v>18</v>
      </c>
      <c r="D2790" s="2" t="s">
        <v>977</v>
      </c>
      <c r="E2790" s="3">
        <v>135</v>
      </c>
      <c r="F2790" s="3">
        <v>42.5</v>
      </c>
      <c r="G2790" s="4">
        <v>44482</v>
      </c>
    </row>
    <row r="2791" spans="2:18">
      <c r="B2791" s="1" t="s">
        <v>976</v>
      </c>
      <c r="C2791" s="2" t="s">
        <v>5</v>
      </c>
      <c r="D2791" s="2" t="s">
        <v>914</v>
      </c>
      <c r="E2791" s="3">
        <v>70</v>
      </c>
      <c r="F2791" s="3">
        <v>30</v>
      </c>
      <c r="G2791" s="4">
        <v>45035</v>
      </c>
    </row>
    <row r="2792" spans="2:18">
      <c r="B2792" s="1" t="s">
        <v>975</v>
      </c>
      <c r="C2792" s="2" t="s">
        <v>7</v>
      </c>
      <c r="D2792" s="2" t="s">
        <v>438</v>
      </c>
      <c r="E2792" s="3">
        <v>26</v>
      </c>
      <c r="F2792" s="3">
        <v>26</v>
      </c>
      <c r="G2792" s="4">
        <v>44594</v>
      </c>
    </row>
    <row r="2793" spans="2:18">
      <c r="B2793" s="1" t="s">
        <v>974</v>
      </c>
      <c r="C2793" s="2" t="s">
        <v>4</v>
      </c>
      <c r="D2793" s="2" t="s">
        <v>950</v>
      </c>
      <c r="E2793" s="3">
        <v>100</v>
      </c>
      <c r="F2793" s="3">
        <v>25</v>
      </c>
      <c r="G2793" s="4">
        <v>44846</v>
      </c>
    </row>
    <row r="2794" spans="2:18">
      <c r="B2794" s="1" t="s">
        <v>973</v>
      </c>
      <c r="C2794" s="2" t="s">
        <v>8</v>
      </c>
      <c r="D2794" s="2" t="s">
        <v>972</v>
      </c>
      <c r="E2794" s="3">
        <v>100</v>
      </c>
      <c r="F2794" s="3">
        <v>25</v>
      </c>
      <c r="G2794" s="4">
        <v>45051</v>
      </c>
    </row>
    <row r="2795" spans="2:18">
      <c r="B2795" s="1" t="s">
        <v>971</v>
      </c>
      <c r="C2795" s="2" t="s">
        <v>18</v>
      </c>
      <c r="D2795" s="2" t="s">
        <v>967</v>
      </c>
      <c r="E2795" s="3">
        <v>270</v>
      </c>
      <c r="F2795" s="3">
        <v>24</v>
      </c>
      <c r="G2795" s="4">
        <v>45048</v>
      </c>
    </row>
    <row r="2796" spans="2:18">
      <c r="B2796" s="1" t="s">
        <v>969</v>
      </c>
      <c r="C2796" s="2" t="s">
        <v>18</v>
      </c>
      <c r="D2796" s="2" t="s">
        <v>967</v>
      </c>
      <c r="E2796" s="3">
        <v>270</v>
      </c>
      <c r="F2796" s="3">
        <v>24</v>
      </c>
      <c r="G2796" s="4">
        <v>45048</v>
      </c>
    </row>
    <row r="2797" spans="2:18">
      <c r="B2797" s="1" t="s">
        <v>968</v>
      </c>
      <c r="C2797" s="2" t="s">
        <v>18</v>
      </c>
      <c r="D2797" s="2" t="s">
        <v>967</v>
      </c>
      <c r="E2797" s="3">
        <v>270</v>
      </c>
      <c r="F2797" s="3">
        <v>24</v>
      </c>
      <c r="G2797" s="4">
        <v>45048</v>
      </c>
    </row>
    <row r="2798" spans="2:18">
      <c r="B2798" s="1" t="s">
        <v>966</v>
      </c>
      <c r="C2798" s="2" t="s">
        <v>7</v>
      </c>
      <c r="D2798" s="2" t="s">
        <v>964</v>
      </c>
      <c r="E2798" s="3">
        <v>350</v>
      </c>
      <c r="F2798" s="3">
        <v>20</v>
      </c>
      <c r="G2798" s="4">
        <v>44999</v>
      </c>
    </row>
    <row r="2799" spans="2:18">
      <c r="B2799" s="1" t="s">
        <v>965</v>
      </c>
      <c r="C2799" s="2" t="s">
        <v>7</v>
      </c>
      <c r="D2799" s="2" t="s">
        <v>964</v>
      </c>
      <c r="E2799" s="3">
        <v>350</v>
      </c>
      <c r="F2799" s="3">
        <v>20</v>
      </c>
      <c r="G2799" s="4">
        <v>44999</v>
      </c>
    </row>
    <row r="2800" spans="2:18">
      <c r="B2800" s="1" t="s">
        <v>963</v>
      </c>
      <c r="C2800" s="2" t="s">
        <v>4</v>
      </c>
      <c r="D2800" s="2" t="s">
        <v>925</v>
      </c>
      <c r="E2800" s="3">
        <v>42</v>
      </c>
      <c r="F2800" s="3">
        <v>20</v>
      </c>
      <c r="G2800" s="4">
        <v>44882</v>
      </c>
    </row>
    <row r="2801" spans="2:7">
      <c r="B2801" s="1" t="s">
        <v>961</v>
      </c>
      <c r="C2801" s="2" t="s">
        <v>9</v>
      </c>
      <c r="D2801" s="2" t="s">
        <v>815</v>
      </c>
      <c r="E2801" s="3">
        <v>325</v>
      </c>
      <c r="F2801" s="3">
        <v>18.5</v>
      </c>
      <c r="G2801" s="4">
        <v>44299</v>
      </c>
    </row>
    <row r="2802" spans="2:7">
      <c r="B2802" s="1" t="s">
        <v>960</v>
      </c>
      <c r="C2802" s="2" t="s">
        <v>5</v>
      </c>
      <c r="D2802" s="2" t="s">
        <v>775</v>
      </c>
      <c r="E2802" s="3">
        <v>125</v>
      </c>
      <c r="F2802" s="3">
        <v>15</v>
      </c>
      <c r="G2802" s="4">
        <v>44852</v>
      </c>
    </row>
    <row r="2803" spans="2:7">
      <c r="B2803" s="1" t="s">
        <v>959</v>
      </c>
      <c r="C2803" s="2" t="s">
        <v>5</v>
      </c>
      <c r="D2803" s="2" t="s">
        <v>775</v>
      </c>
      <c r="E2803" s="3">
        <v>125</v>
      </c>
      <c r="F2803" s="3">
        <v>15</v>
      </c>
      <c r="G2803" s="4">
        <v>44852</v>
      </c>
    </row>
    <row r="2804" spans="2:7">
      <c r="B2804" s="1" t="s">
        <v>958</v>
      </c>
      <c r="C2804" s="2" t="s">
        <v>5</v>
      </c>
      <c r="D2804" s="2" t="s">
        <v>941</v>
      </c>
      <c r="E2804" s="3">
        <v>25</v>
      </c>
      <c r="F2804" s="3">
        <v>15</v>
      </c>
      <c r="G2804" s="4">
        <v>44944</v>
      </c>
    </row>
    <row r="2805" spans="2:7">
      <c r="B2805" s="1" t="s">
        <v>957</v>
      </c>
      <c r="C2805" s="2" t="s">
        <v>5</v>
      </c>
      <c r="D2805" s="2" t="s">
        <v>885</v>
      </c>
      <c r="E2805" s="3">
        <v>30</v>
      </c>
      <c r="F2805" s="3">
        <v>14</v>
      </c>
      <c r="G2805" s="4">
        <v>44522</v>
      </c>
    </row>
    <row r="2806" spans="2:7">
      <c r="B2806" s="1" t="s">
        <v>954</v>
      </c>
      <c r="C2806" s="2" t="s">
        <v>18</v>
      </c>
      <c r="D2806" s="2" t="s">
        <v>406</v>
      </c>
      <c r="E2806" s="3">
        <v>13</v>
      </c>
      <c r="F2806" s="3">
        <v>13</v>
      </c>
      <c r="G2806" s="4">
        <v>45090</v>
      </c>
    </row>
    <row r="2807" spans="2:7">
      <c r="B2807" s="1" t="s">
        <v>952</v>
      </c>
      <c r="C2807" s="2" t="s">
        <v>4</v>
      </c>
      <c r="D2807" s="2" t="s">
        <v>950</v>
      </c>
      <c r="E2807" s="3">
        <v>100</v>
      </c>
      <c r="F2807" s="3">
        <v>12.5</v>
      </c>
      <c r="G2807" s="4">
        <v>44846</v>
      </c>
    </row>
    <row r="2808" spans="2:7">
      <c r="B2808" s="1" t="s">
        <v>951</v>
      </c>
      <c r="C2808" s="2" t="s">
        <v>4</v>
      </c>
      <c r="D2808" s="2" t="s">
        <v>950</v>
      </c>
      <c r="E2808" s="3">
        <v>100</v>
      </c>
      <c r="F2808" s="3">
        <v>12.5</v>
      </c>
      <c r="G2808" s="4">
        <v>44846</v>
      </c>
    </row>
    <row r="2809" spans="2:7">
      <c r="B2809" s="1" t="s">
        <v>949</v>
      </c>
      <c r="C2809" s="2" t="s">
        <v>5</v>
      </c>
      <c r="D2809" s="2" t="s">
        <v>948</v>
      </c>
      <c r="E2809" s="3">
        <v>150</v>
      </c>
      <c r="F2809" s="3">
        <v>10</v>
      </c>
      <c r="G2809" s="4">
        <v>45008</v>
      </c>
    </row>
    <row r="2810" spans="2:7">
      <c r="B2810" s="1" t="s">
        <v>946</v>
      </c>
      <c r="C2810" s="2" t="s">
        <v>5</v>
      </c>
      <c r="D2810" s="2" t="s">
        <v>945</v>
      </c>
      <c r="E2810" s="3">
        <v>30</v>
      </c>
      <c r="F2810" s="3">
        <v>10</v>
      </c>
      <c r="G2810" s="4">
        <v>44656</v>
      </c>
    </row>
    <row r="2811" spans="2:7">
      <c r="B2811" s="1" t="s">
        <v>943</v>
      </c>
      <c r="C2811" s="2" t="s">
        <v>4</v>
      </c>
      <c r="D2811" s="2" t="s">
        <v>899</v>
      </c>
      <c r="E2811" s="3">
        <v>20</v>
      </c>
      <c r="F2811" s="3">
        <v>10</v>
      </c>
      <c r="G2811" s="4">
        <v>44614</v>
      </c>
    </row>
    <row r="2812" spans="2:7">
      <c r="B2812" s="1" t="s">
        <v>942</v>
      </c>
      <c r="C2812" s="2" t="s">
        <v>5</v>
      </c>
      <c r="D2812" s="2" t="s">
        <v>941</v>
      </c>
      <c r="E2812" s="3">
        <v>25</v>
      </c>
      <c r="F2812" s="3">
        <v>10</v>
      </c>
      <c r="G2812" s="4">
        <v>44944</v>
      </c>
    </row>
    <row r="2813" spans="2:7">
      <c r="B2813" s="1" t="s">
        <v>940</v>
      </c>
      <c r="C2813" s="2" t="s">
        <v>18</v>
      </c>
      <c r="D2813" s="2" t="s">
        <v>939</v>
      </c>
      <c r="E2813" s="3">
        <v>100</v>
      </c>
      <c r="F2813" s="3">
        <v>9</v>
      </c>
      <c r="G2813" s="4">
        <v>44690</v>
      </c>
    </row>
    <row r="2814" spans="2:7">
      <c r="B2814" s="1" t="s">
        <v>937</v>
      </c>
      <c r="C2814" s="2" t="s">
        <v>4</v>
      </c>
      <c r="D2814" s="2" t="s">
        <v>717</v>
      </c>
      <c r="E2814" s="3">
        <v>113</v>
      </c>
      <c r="F2814" s="3">
        <v>8</v>
      </c>
      <c r="G2814" s="4">
        <v>45090</v>
      </c>
    </row>
    <row r="2815" spans="2:7">
      <c r="B2815" s="1" t="s">
        <v>935</v>
      </c>
      <c r="C2815" s="2" t="s">
        <v>4</v>
      </c>
      <c r="D2815" s="2" t="s">
        <v>717</v>
      </c>
      <c r="E2815" s="3">
        <v>113</v>
      </c>
      <c r="F2815" s="3">
        <v>8</v>
      </c>
      <c r="G2815" s="4">
        <v>45090</v>
      </c>
    </row>
    <row r="2816" spans="2:7">
      <c r="B2816" s="1" t="s">
        <v>933</v>
      </c>
      <c r="C2816" s="2" t="s">
        <v>4</v>
      </c>
      <c r="D2816" s="2" t="s">
        <v>717</v>
      </c>
      <c r="E2816" s="3">
        <v>113</v>
      </c>
      <c r="F2816" s="3">
        <v>8</v>
      </c>
      <c r="G2816" s="4">
        <v>45090</v>
      </c>
    </row>
    <row r="2817" spans="2:7">
      <c r="B2817" s="1" t="s">
        <v>932</v>
      </c>
      <c r="C2817" s="2" t="s">
        <v>7</v>
      </c>
      <c r="D2817" s="2" t="s">
        <v>920</v>
      </c>
      <c r="E2817" s="3">
        <v>97.4</v>
      </c>
      <c r="F2817" s="3">
        <f>47/6</f>
        <v>7.833333333333333</v>
      </c>
      <c r="G2817" s="4">
        <v>45041</v>
      </c>
    </row>
    <row r="2818" spans="2:7">
      <c r="B2818" s="1" t="s">
        <v>931</v>
      </c>
      <c r="C2818" s="2" t="s">
        <v>5</v>
      </c>
      <c r="D2818" s="2" t="s">
        <v>901</v>
      </c>
      <c r="E2818" s="3">
        <v>20</v>
      </c>
      <c r="F2818" s="3">
        <v>7.5</v>
      </c>
      <c r="G2818" s="4">
        <v>45009</v>
      </c>
    </row>
    <row r="2819" spans="2:7">
      <c r="B2819" s="1" t="s">
        <v>930</v>
      </c>
      <c r="C2819" s="2" t="s">
        <v>7</v>
      </c>
      <c r="D2819" s="2" t="s">
        <v>876</v>
      </c>
      <c r="E2819" s="3">
        <v>50</v>
      </c>
      <c r="F2819" s="3">
        <f>E2819/7</f>
        <v>7.1428571428571432</v>
      </c>
      <c r="G2819" s="4">
        <v>44628</v>
      </c>
    </row>
    <row r="2820" spans="2:7">
      <c r="B2820" s="1" t="s">
        <v>929</v>
      </c>
      <c r="C2820" s="2" t="s">
        <v>7</v>
      </c>
      <c r="D2820" s="2" t="s">
        <v>876</v>
      </c>
      <c r="E2820" s="3">
        <v>50</v>
      </c>
      <c r="F2820" s="3">
        <f>E2820/7</f>
        <v>7.1428571428571432</v>
      </c>
      <c r="G2820" s="4">
        <v>44628</v>
      </c>
    </row>
    <row r="2821" spans="2:7">
      <c r="B2821" s="1" t="s">
        <v>928</v>
      </c>
      <c r="C2821" s="2" t="s">
        <v>5</v>
      </c>
      <c r="D2821" s="2" t="s">
        <v>734</v>
      </c>
      <c r="E2821" s="3">
        <v>20</v>
      </c>
      <c r="F2821" s="3">
        <v>7</v>
      </c>
      <c r="G2821" s="4">
        <v>44903</v>
      </c>
    </row>
    <row r="2822" spans="2:7">
      <c r="B2822" s="1" t="s">
        <v>927</v>
      </c>
      <c r="C2822" s="2" t="s">
        <v>4</v>
      </c>
      <c r="D2822" s="2" t="s">
        <v>925</v>
      </c>
      <c r="E2822" s="3">
        <v>42</v>
      </c>
      <c r="F2822" s="3">
        <v>7</v>
      </c>
      <c r="G2822" s="4">
        <v>44882</v>
      </c>
    </row>
    <row r="2823" spans="2:7">
      <c r="B2823" s="1" t="s">
        <v>926</v>
      </c>
      <c r="C2823" s="2" t="s">
        <v>4</v>
      </c>
      <c r="D2823" s="2" t="s">
        <v>925</v>
      </c>
      <c r="E2823" s="3">
        <v>42</v>
      </c>
      <c r="F2823" s="3">
        <v>7</v>
      </c>
      <c r="G2823" s="4">
        <v>44882</v>
      </c>
    </row>
    <row r="2824" spans="2:7">
      <c r="B2824" s="1" t="s">
        <v>924</v>
      </c>
      <c r="C2824" s="2" t="s">
        <v>5</v>
      </c>
      <c r="D2824" s="2" t="s">
        <v>920</v>
      </c>
      <c r="E2824" s="3">
        <v>80</v>
      </c>
      <c r="F2824" s="3">
        <f t="shared" ref="F2824:F2832" si="1">40/6</f>
        <v>6.666666666666667</v>
      </c>
      <c r="G2824" s="4">
        <v>44539</v>
      </c>
    </row>
    <row r="2825" spans="2:7">
      <c r="B2825" s="1" t="s">
        <v>923</v>
      </c>
      <c r="C2825" s="2" t="s">
        <v>5</v>
      </c>
      <c r="D2825" s="2" t="s">
        <v>920</v>
      </c>
      <c r="E2825" s="3">
        <v>80</v>
      </c>
      <c r="F2825" s="3">
        <f t="shared" si="1"/>
        <v>6.666666666666667</v>
      </c>
      <c r="G2825" s="4">
        <v>44539</v>
      </c>
    </row>
    <row r="2826" spans="2:7">
      <c r="B2826" s="1" t="s">
        <v>922</v>
      </c>
      <c r="C2826" s="2" t="s">
        <v>5</v>
      </c>
      <c r="D2826" s="2" t="s">
        <v>920</v>
      </c>
      <c r="E2826" s="3">
        <v>80</v>
      </c>
      <c r="F2826" s="3">
        <f t="shared" si="1"/>
        <v>6.666666666666667</v>
      </c>
      <c r="G2826" s="4">
        <v>44539</v>
      </c>
    </row>
    <row r="2827" spans="2:7">
      <c r="B2827" s="1" t="s">
        <v>921</v>
      </c>
      <c r="C2827" s="2" t="s">
        <v>5</v>
      </c>
      <c r="D2827" s="2" t="s">
        <v>920</v>
      </c>
      <c r="E2827" s="3">
        <v>80</v>
      </c>
      <c r="F2827" s="3">
        <f t="shared" si="1"/>
        <v>6.666666666666667</v>
      </c>
      <c r="G2827" s="4">
        <v>44539</v>
      </c>
    </row>
    <row r="2828" spans="2:7">
      <c r="B2828" s="1" t="s">
        <v>919</v>
      </c>
      <c r="C2828" s="2" t="s">
        <v>5</v>
      </c>
      <c r="D2828" s="2" t="s">
        <v>914</v>
      </c>
      <c r="E2828" s="3">
        <v>70</v>
      </c>
      <c r="F2828" s="3">
        <f t="shared" si="1"/>
        <v>6.666666666666667</v>
      </c>
      <c r="G2828" s="4">
        <v>45035</v>
      </c>
    </row>
    <row r="2829" spans="2:7">
      <c r="B2829" s="1" t="s">
        <v>918</v>
      </c>
      <c r="C2829" s="2" t="s">
        <v>5</v>
      </c>
      <c r="D2829" s="2" t="s">
        <v>914</v>
      </c>
      <c r="E2829" s="3">
        <v>70</v>
      </c>
      <c r="F2829" s="3">
        <f t="shared" si="1"/>
        <v>6.666666666666667</v>
      </c>
      <c r="G2829" s="4">
        <v>45035</v>
      </c>
    </row>
    <row r="2830" spans="2:7">
      <c r="B2830" s="1" t="s">
        <v>917</v>
      </c>
      <c r="C2830" s="2" t="s">
        <v>5</v>
      </c>
      <c r="D2830" s="2" t="s">
        <v>914</v>
      </c>
      <c r="E2830" s="3">
        <v>70</v>
      </c>
      <c r="F2830" s="3">
        <f t="shared" si="1"/>
        <v>6.666666666666667</v>
      </c>
      <c r="G2830" s="4">
        <v>45035</v>
      </c>
    </row>
    <row r="2831" spans="2:7">
      <c r="B2831" s="1" t="s">
        <v>916</v>
      </c>
      <c r="C2831" s="2" t="s">
        <v>5</v>
      </c>
      <c r="D2831" s="2" t="s">
        <v>914</v>
      </c>
      <c r="E2831" s="3">
        <v>70</v>
      </c>
      <c r="F2831" s="3">
        <f t="shared" si="1"/>
        <v>6.666666666666667</v>
      </c>
      <c r="G2831" s="4">
        <v>45035</v>
      </c>
    </row>
    <row r="2832" spans="2:7">
      <c r="B2832" s="1" t="s">
        <v>915</v>
      </c>
      <c r="C2832" s="2" t="s">
        <v>5</v>
      </c>
      <c r="D2832" s="2" t="s">
        <v>914</v>
      </c>
      <c r="E2832" s="3">
        <v>70</v>
      </c>
      <c r="F2832" s="3">
        <f t="shared" si="1"/>
        <v>6.666666666666667</v>
      </c>
      <c r="G2832" s="4">
        <v>45035</v>
      </c>
    </row>
    <row r="2833" spans="2:7">
      <c r="B2833" s="1" t="s">
        <v>913</v>
      </c>
      <c r="C2833" s="2" t="s">
        <v>18</v>
      </c>
      <c r="D2833" s="2" t="s">
        <v>889</v>
      </c>
      <c r="E2833" s="3">
        <v>85</v>
      </c>
      <c r="F2833" s="3">
        <v>6</v>
      </c>
      <c r="G2833" s="4">
        <v>44417</v>
      </c>
    </row>
    <row r="2834" spans="2:7">
      <c r="B2834" s="1" t="s">
        <v>912</v>
      </c>
      <c r="C2834" s="2" t="s">
        <v>4</v>
      </c>
      <c r="D2834" s="2" t="s">
        <v>860</v>
      </c>
      <c r="E2834" s="3">
        <v>16</v>
      </c>
      <c r="F2834" s="3">
        <v>6</v>
      </c>
      <c r="G2834" s="4">
        <v>44298</v>
      </c>
    </row>
    <row r="2835" spans="2:7">
      <c r="B2835" s="1" t="s">
        <v>911</v>
      </c>
      <c r="C2835" s="2" t="s">
        <v>4</v>
      </c>
      <c r="D2835" s="2" t="s">
        <v>672</v>
      </c>
      <c r="E2835" s="3">
        <v>13</v>
      </c>
      <c r="F2835" s="3">
        <v>6</v>
      </c>
      <c r="G2835" s="4">
        <v>44896</v>
      </c>
    </row>
    <row r="2836" spans="2:7">
      <c r="B2836" s="1" t="s">
        <v>910</v>
      </c>
      <c r="C2836" s="2" t="s">
        <v>5</v>
      </c>
      <c r="D2836" s="2" t="s">
        <v>822</v>
      </c>
      <c r="E2836" s="3">
        <v>11</v>
      </c>
      <c r="F2836" s="3">
        <v>6</v>
      </c>
      <c r="G2836" s="4">
        <v>44044</v>
      </c>
    </row>
    <row r="2837" spans="2:7">
      <c r="B2837" s="1" t="s">
        <v>909</v>
      </c>
      <c r="C2837" s="2" t="s">
        <v>5</v>
      </c>
      <c r="D2837" s="2" t="s">
        <v>649</v>
      </c>
      <c r="E2837" s="3">
        <v>10.6</v>
      </c>
      <c r="F2837" s="3">
        <v>5.6</v>
      </c>
      <c r="G2837" s="4">
        <v>44819</v>
      </c>
    </row>
    <row r="2838" spans="2:7">
      <c r="B2838" s="1" t="s">
        <v>908</v>
      </c>
      <c r="C2838" s="2" t="s">
        <v>7</v>
      </c>
      <c r="D2838" s="2" t="s">
        <v>907</v>
      </c>
      <c r="E2838" s="3">
        <v>40</v>
      </c>
      <c r="F2838" s="3">
        <v>5</v>
      </c>
      <c r="G2838" s="4">
        <v>44728</v>
      </c>
    </row>
    <row r="2839" spans="2:7">
      <c r="B2839" s="1" t="s">
        <v>906</v>
      </c>
      <c r="C2839" s="2" t="s">
        <v>7</v>
      </c>
      <c r="D2839" s="2" t="s">
        <v>904</v>
      </c>
      <c r="E2839" s="3">
        <v>40</v>
      </c>
      <c r="F2839" s="3">
        <v>5</v>
      </c>
      <c r="G2839" s="4">
        <v>44650</v>
      </c>
    </row>
    <row r="2840" spans="2:7">
      <c r="B2840" s="1" t="s">
        <v>903</v>
      </c>
      <c r="C2840" s="2" t="s">
        <v>5</v>
      </c>
      <c r="D2840" s="2" t="s">
        <v>831</v>
      </c>
      <c r="E2840" s="3">
        <v>20</v>
      </c>
      <c r="F2840" s="3">
        <v>5</v>
      </c>
      <c r="G2840" s="4">
        <v>44578</v>
      </c>
    </row>
    <row r="2841" spans="2:7">
      <c r="B2841" s="1" t="s">
        <v>902</v>
      </c>
      <c r="C2841" s="2" t="s">
        <v>5</v>
      </c>
      <c r="D2841" s="2" t="s">
        <v>901</v>
      </c>
      <c r="E2841" s="3">
        <v>20</v>
      </c>
      <c r="F2841" s="3">
        <v>5</v>
      </c>
      <c r="G2841" s="4">
        <v>45009</v>
      </c>
    </row>
    <row r="2842" spans="2:7">
      <c r="B2842" s="1" t="s">
        <v>900</v>
      </c>
      <c r="C2842" s="2" t="s">
        <v>4</v>
      </c>
      <c r="D2842" s="2" t="s">
        <v>899</v>
      </c>
      <c r="E2842" s="3">
        <v>20</v>
      </c>
      <c r="F2842" s="3">
        <v>5</v>
      </c>
      <c r="G2842" s="4">
        <v>44614</v>
      </c>
    </row>
    <row r="2843" spans="2:7">
      <c r="B2843" s="1" t="s">
        <v>898</v>
      </c>
      <c r="C2843" s="2" t="s">
        <v>5</v>
      </c>
      <c r="D2843" s="2" t="s">
        <v>728</v>
      </c>
      <c r="E2843" s="3">
        <v>12.5</v>
      </c>
      <c r="F2843" s="3">
        <v>5</v>
      </c>
      <c r="G2843" s="4">
        <v>44784</v>
      </c>
    </row>
    <row r="2844" spans="2:7">
      <c r="B2844" s="1" t="s">
        <v>897</v>
      </c>
      <c r="C2844" s="2" t="s">
        <v>4</v>
      </c>
      <c r="D2844" s="2" t="s">
        <v>697</v>
      </c>
      <c r="E2844" s="3">
        <v>30</v>
      </c>
      <c r="F2844" s="3">
        <v>5</v>
      </c>
      <c r="G2844" s="4">
        <v>44601</v>
      </c>
    </row>
    <row r="2845" spans="2:7">
      <c r="B2845" s="1" t="s">
        <v>896</v>
      </c>
      <c r="C2845" s="2" t="s">
        <v>7</v>
      </c>
      <c r="D2845" s="2" t="s">
        <v>895</v>
      </c>
      <c r="E2845" s="3">
        <v>75</v>
      </c>
      <c r="F2845" s="3">
        <v>5</v>
      </c>
      <c r="G2845" s="4">
        <v>43783</v>
      </c>
    </row>
    <row r="2846" spans="2:7">
      <c r="B2846" s="1" t="s">
        <v>894</v>
      </c>
      <c r="C2846" s="2" t="s">
        <v>5</v>
      </c>
      <c r="D2846" s="2" t="s">
        <v>855</v>
      </c>
      <c r="E2846" s="3">
        <v>44</v>
      </c>
      <c r="F2846" s="3">
        <f>14/3</f>
        <v>4.666666666666667</v>
      </c>
      <c r="G2846" s="4">
        <v>44671</v>
      </c>
    </row>
    <row r="2847" spans="2:7">
      <c r="B2847" s="1" t="s">
        <v>893</v>
      </c>
      <c r="C2847" s="2" t="s">
        <v>5</v>
      </c>
      <c r="D2847" s="2" t="s">
        <v>855</v>
      </c>
      <c r="E2847" s="3">
        <v>44</v>
      </c>
      <c r="F2847" s="3">
        <f>14/3</f>
        <v>4.666666666666667</v>
      </c>
      <c r="G2847" s="4">
        <v>44671</v>
      </c>
    </row>
    <row r="2848" spans="2:7">
      <c r="B2848" s="1" t="s">
        <v>892</v>
      </c>
      <c r="C2848" s="2" t="s">
        <v>5</v>
      </c>
      <c r="D2848" s="2" t="s">
        <v>855</v>
      </c>
      <c r="E2848" s="3">
        <v>44</v>
      </c>
      <c r="F2848" s="3">
        <f>14/3</f>
        <v>4.666666666666667</v>
      </c>
      <c r="G2848" s="4">
        <v>44671</v>
      </c>
    </row>
    <row r="2849" spans="2:7">
      <c r="B2849" s="1" t="s">
        <v>891</v>
      </c>
      <c r="C2849" s="2" t="s">
        <v>5</v>
      </c>
      <c r="D2849" s="2" t="s">
        <v>683</v>
      </c>
      <c r="E2849" s="3">
        <v>14.5</v>
      </c>
      <c r="F2849" s="3">
        <v>4.5</v>
      </c>
      <c r="G2849" s="4">
        <v>44389</v>
      </c>
    </row>
    <row r="2850" spans="2:7">
      <c r="B2850" s="1" t="s">
        <v>890</v>
      </c>
      <c r="C2850" s="2" t="s">
        <v>7</v>
      </c>
      <c r="D2850" s="2" t="s">
        <v>889</v>
      </c>
      <c r="E2850" s="3">
        <v>35</v>
      </c>
      <c r="F2850" s="3">
        <f>25/6</f>
        <v>4.166666666666667</v>
      </c>
      <c r="G2850" s="4">
        <v>44293</v>
      </c>
    </row>
    <row r="2851" spans="2:7">
      <c r="B2851" s="1" t="s">
        <v>888</v>
      </c>
      <c r="C2851" s="2" t="s">
        <v>5</v>
      </c>
      <c r="D2851" s="2" t="s">
        <v>655</v>
      </c>
      <c r="E2851" s="3">
        <v>12.5</v>
      </c>
      <c r="F2851" s="3">
        <f>E2851/3</f>
        <v>4.166666666666667</v>
      </c>
      <c r="G2851" s="4">
        <v>44825</v>
      </c>
    </row>
    <row r="2852" spans="2:7">
      <c r="B2852" s="1" t="s">
        <v>887</v>
      </c>
      <c r="C2852" s="2" t="s">
        <v>5</v>
      </c>
      <c r="D2852" s="2" t="s">
        <v>655</v>
      </c>
      <c r="E2852" s="3">
        <v>12.5</v>
      </c>
      <c r="F2852" s="3">
        <f>E2852/3</f>
        <v>4.166666666666667</v>
      </c>
      <c r="G2852" s="4">
        <v>44825</v>
      </c>
    </row>
    <row r="2853" spans="2:7">
      <c r="B2853" s="1" t="s">
        <v>886</v>
      </c>
      <c r="C2853" s="2" t="s">
        <v>5</v>
      </c>
      <c r="D2853" s="2" t="s">
        <v>885</v>
      </c>
      <c r="E2853" s="3">
        <v>30</v>
      </c>
      <c r="F2853" s="3">
        <v>4</v>
      </c>
      <c r="G2853" s="4">
        <v>44522</v>
      </c>
    </row>
    <row r="2854" spans="2:7">
      <c r="G2854" s="4"/>
    </row>
    <row r="2855" spans="2:7">
      <c r="B2855" s="1" t="s">
        <v>882</v>
      </c>
      <c r="C2855" s="2" t="s">
        <v>4</v>
      </c>
      <c r="D2855" s="2" t="s">
        <v>672</v>
      </c>
      <c r="E2855" s="3">
        <v>13</v>
      </c>
      <c r="F2855" s="3">
        <f>7/2</f>
        <v>3.5</v>
      </c>
      <c r="G2855" s="4">
        <v>44896</v>
      </c>
    </row>
    <row r="2856" spans="2:7">
      <c r="B2856" s="1" t="s">
        <v>881</v>
      </c>
      <c r="C2856" s="2" t="s">
        <v>4</v>
      </c>
      <c r="D2856" s="2" t="s">
        <v>783</v>
      </c>
      <c r="E2856" s="3">
        <v>10</v>
      </c>
      <c r="F2856" s="3">
        <v>3.5</v>
      </c>
      <c r="G2856" s="4">
        <v>44858</v>
      </c>
    </row>
    <row r="2857" spans="2:7">
      <c r="B2857" s="1" t="s">
        <v>880</v>
      </c>
      <c r="C2857" s="2" t="s">
        <v>4</v>
      </c>
      <c r="D2857" s="2" t="s">
        <v>783</v>
      </c>
      <c r="E2857" s="3">
        <v>10</v>
      </c>
      <c r="F2857" s="3">
        <v>3.5</v>
      </c>
      <c r="G2857" s="4">
        <v>44858</v>
      </c>
    </row>
    <row r="2858" spans="2:7">
      <c r="B2858" s="1" t="s">
        <v>879</v>
      </c>
      <c r="C2858" s="2" t="s">
        <v>5</v>
      </c>
      <c r="D2858" s="2" t="s">
        <v>876</v>
      </c>
      <c r="E2858" s="3">
        <v>10</v>
      </c>
      <c r="F2858" s="3">
        <v>3</v>
      </c>
      <c r="G2858" s="4">
        <v>44378</v>
      </c>
    </row>
    <row r="2859" spans="2:7">
      <c r="B2859" s="1" t="s">
        <v>877</v>
      </c>
      <c r="C2859" s="2" t="s">
        <v>5</v>
      </c>
      <c r="D2859" s="2" t="s">
        <v>876</v>
      </c>
      <c r="E2859" s="3">
        <v>10</v>
      </c>
      <c r="F2859" s="3">
        <v>3</v>
      </c>
      <c r="G2859" s="4">
        <v>44378</v>
      </c>
    </row>
    <row r="2860" spans="2:7">
      <c r="B2860" s="1" t="s">
        <v>875</v>
      </c>
      <c r="C2860" s="2" t="s">
        <v>7</v>
      </c>
      <c r="D2860" s="2" t="s">
        <v>747</v>
      </c>
      <c r="E2860" s="3">
        <v>25</v>
      </c>
      <c r="F2860" s="3">
        <f>15/5</f>
        <v>3</v>
      </c>
      <c r="G2860" s="4">
        <v>44755</v>
      </c>
    </row>
    <row r="2861" spans="2:7">
      <c r="B2861" s="1" t="s">
        <v>874</v>
      </c>
      <c r="C2861" s="2" t="s">
        <v>5</v>
      </c>
      <c r="D2861" s="2" t="s">
        <v>795</v>
      </c>
      <c r="E2861" s="3">
        <v>10.9</v>
      </c>
      <c r="F2861" s="3">
        <v>3</v>
      </c>
      <c r="G2861" s="4">
        <v>45070</v>
      </c>
    </row>
    <row r="2862" spans="2:7">
      <c r="B2862" s="1" t="s">
        <v>873</v>
      </c>
      <c r="C2862" s="2" t="s">
        <v>7</v>
      </c>
      <c r="D2862" s="2" t="s">
        <v>872</v>
      </c>
      <c r="E2862" s="3">
        <v>25</v>
      </c>
      <c r="F2862" s="3">
        <v>3</v>
      </c>
      <c r="G2862" s="4">
        <v>44636</v>
      </c>
    </row>
    <row r="2863" spans="2:7">
      <c r="B2863" s="1" t="s">
        <v>871</v>
      </c>
      <c r="C2863" s="2" t="s">
        <v>5</v>
      </c>
      <c r="D2863" s="2" t="s">
        <v>653</v>
      </c>
      <c r="E2863" s="3">
        <v>12</v>
      </c>
      <c r="F2863" s="3">
        <v>3</v>
      </c>
      <c r="G2863" s="4">
        <v>44860</v>
      </c>
    </row>
    <row r="2864" spans="2:7">
      <c r="B2864" s="1" t="s">
        <v>869</v>
      </c>
      <c r="C2864" s="2" t="s">
        <v>7</v>
      </c>
      <c r="D2864" s="2" t="s">
        <v>535</v>
      </c>
      <c r="E2864" s="3">
        <v>32</v>
      </c>
      <c r="F2864" s="3">
        <v>3</v>
      </c>
      <c r="G2864" s="4">
        <v>44364</v>
      </c>
    </row>
    <row r="2865" spans="2:7">
      <c r="B2865" s="1" t="s">
        <v>868</v>
      </c>
      <c r="C2865" s="2" t="s">
        <v>7</v>
      </c>
      <c r="D2865" s="2" t="s">
        <v>535</v>
      </c>
      <c r="E2865" s="3">
        <v>32</v>
      </c>
      <c r="F2865" s="3">
        <v>3</v>
      </c>
      <c r="G2865" s="4">
        <v>44364</v>
      </c>
    </row>
    <row r="2866" spans="2:7">
      <c r="B2866" s="1" t="s">
        <v>867</v>
      </c>
      <c r="C2866" s="2" t="s">
        <v>5</v>
      </c>
      <c r="D2866" s="2" t="s">
        <v>747</v>
      </c>
      <c r="E2866" s="3">
        <v>21</v>
      </c>
      <c r="F2866" s="3">
        <f>14/5</f>
        <v>2.8</v>
      </c>
      <c r="G2866" s="4">
        <v>44489</v>
      </c>
    </row>
    <row r="2867" spans="2:7">
      <c r="B2867" s="1" t="s">
        <v>866</v>
      </c>
      <c r="C2867" s="2" t="s">
        <v>5</v>
      </c>
      <c r="D2867" s="2" t="s">
        <v>742</v>
      </c>
      <c r="E2867" s="3">
        <v>25</v>
      </c>
      <c r="F2867" s="3">
        <f>18/7</f>
        <v>2.5714285714285716</v>
      </c>
      <c r="G2867" s="4">
        <v>44757</v>
      </c>
    </row>
    <row r="2868" spans="2:7">
      <c r="B2868" s="1" t="s">
        <v>865</v>
      </c>
      <c r="C2868" s="2" t="s">
        <v>5</v>
      </c>
      <c r="D2868" s="2" t="s">
        <v>742</v>
      </c>
      <c r="E2868" s="3">
        <v>25</v>
      </c>
      <c r="F2868" s="3">
        <f>18/7</f>
        <v>2.5714285714285716</v>
      </c>
      <c r="G2868" s="4">
        <v>44757</v>
      </c>
    </row>
    <row r="2869" spans="2:7">
      <c r="B2869" s="1" t="s">
        <v>864</v>
      </c>
      <c r="C2869" s="2" t="s">
        <v>4</v>
      </c>
      <c r="D2869" s="2" t="s">
        <v>860</v>
      </c>
      <c r="E2869" s="3">
        <v>16</v>
      </c>
      <c r="F2869" s="3">
        <f>10/4</f>
        <v>2.5</v>
      </c>
      <c r="G2869" s="4">
        <v>44298</v>
      </c>
    </row>
    <row r="2870" spans="2:7">
      <c r="B2870" s="1" t="s">
        <v>863</v>
      </c>
      <c r="C2870" s="2" t="s">
        <v>4</v>
      </c>
      <c r="D2870" s="2" t="s">
        <v>860</v>
      </c>
      <c r="E2870" s="3">
        <v>16</v>
      </c>
      <c r="F2870" s="3">
        <f>10/4</f>
        <v>2.5</v>
      </c>
      <c r="G2870" s="4">
        <v>44298</v>
      </c>
    </row>
    <row r="2871" spans="2:7">
      <c r="B2871" s="1" t="s">
        <v>862</v>
      </c>
      <c r="C2871" s="2" t="s">
        <v>4</v>
      </c>
      <c r="D2871" s="2" t="s">
        <v>860</v>
      </c>
      <c r="E2871" s="3">
        <v>16</v>
      </c>
      <c r="F2871" s="3">
        <f>10/4</f>
        <v>2.5</v>
      </c>
      <c r="G2871" s="4">
        <v>44298</v>
      </c>
    </row>
    <row r="2872" spans="2:7">
      <c r="B2872" s="1" t="s">
        <v>861</v>
      </c>
      <c r="C2872" s="2" t="s">
        <v>4</v>
      </c>
      <c r="D2872" s="2" t="s">
        <v>860</v>
      </c>
      <c r="E2872" s="3">
        <v>16</v>
      </c>
      <c r="F2872" s="3">
        <f>10/4</f>
        <v>2.5</v>
      </c>
      <c r="G2872" s="4">
        <v>44298</v>
      </c>
    </row>
    <row r="2873" spans="2:7">
      <c r="B2873" s="1" t="s">
        <v>859</v>
      </c>
      <c r="C2873" s="2" t="s">
        <v>5</v>
      </c>
      <c r="D2873" s="2" t="s">
        <v>712</v>
      </c>
      <c r="E2873" s="3">
        <v>50</v>
      </c>
      <c r="F2873" s="3">
        <f>30/12</f>
        <v>2.5</v>
      </c>
      <c r="G2873" s="4">
        <v>44796</v>
      </c>
    </row>
    <row r="2874" spans="2:7">
      <c r="B2874" s="1" t="s">
        <v>858</v>
      </c>
      <c r="C2874" s="2" t="s">
        <v>5</v>
      </c>
      <c r="D2874" s="2" t="s">
        <v>712</v>
      </c>
      <c r="E2874" s="3">
        <v>50</v>
      </c>
      <c r="F2874" s="3">
        <f>30/12</f>
        <v>2.5</v>
      </c>
      <c r="G2874" s="4">
        <v>44796</v>
      </c>
    </row>
    <row r="2875" spans="2:7">
      <c r="B2875" s="1" t="s">
        <v>857</v>
      </c>
      <c r="C2875" s="2" t="s">
        <v>5</v>
      </c>
      <c r="D2875" s="2" t="s">
        <v>706</v>
      </c>
      <c r="E2875" s="3">
        <v>20</v>
      </c>
      <c r="F2875" s="3">
        <v>2.5</v>
      </c>
      <c r="G2875" s="4">
        <v>44392</v>
      </c>
    </row>
    <row r="2876" spans="2:7">
      <c r="B2876" s="1" t="s">
        <v>854</v>
      </c>
      <c r="C2876" s="2" t="s">
        <v>5</v>
      </c>
      <c r="D2876" s="2" t="s">
        <v>734</v>
      </c>
      <c r="E2876" s="3">
        <v>20</v>
      </c>
      <c r="F2876" s="3">
        <f>13/6</f>
        <v>2.1666666666666665</v>
      </c>
      <c r="G2876" s="4">
        <v>44903</v>
      </c>
    </row>
    <row r="2877" spans="2:7">
      <c r="B2877" s="1" t="s">
        <v>853</v>
      </c>
      <c r="C2877" s="2" t="s">
        <v>5</v>
      </c>
      <c r="D2877" s="2" t="s">
        <v>734</v>
      </c>
      <c r="E2877" s="3">
        <v>20</v>
      </c>
      <c r="F2877" s="3">
        <f>13/6</f>
        <v>2.1666666666666665</v>
      </c>
      <c r="G2877" s="4">
        <v>44903</v>
      </c>
    </row>
    <row r="2878" spans="2:7">
      <c r="B2878" s="1" t="s">
        <v>852</v>
      </c>
      <c r="C2878" s="2" t="s">
        <v>5</v>
      </c>
      <c r="D2878" s="2" t="s">
        <v>734</v>
      </c>
      <c r="E2878" s="3">
        <v>20</v>
      </c>
      <c r="F2878" s="3">
        <f>13/6</f>
        <v>2.1666666666666665</v>
      </c>
      <c r="G2878" s="4">
        <v>44903</v>
      </c>
    </row>
    <row r="2879" spans="2:7">
      <c r="B2879" s="1" t="s">
        <v>851</v>
      </c>
      <c r="C2879" s="2" t="s">
        <v>5</v>
      </c>
      <c r="D2879" s="2" t="s">
        <v>737</v>
      </c>
      <c r="E2879" s="3">
        <v>20</v>
      </c>
      <c r="F2879" s="3">
        <f>13/6</f>
        <v>2.1666666666666665</v>
      </c>
      <c r="G2879" s="4">
        <v>44676</v>
      </c>
    </row>
    <row r="2880" spans="2:7">
      <c r="B2880" s="1" t="s">
        <v>850</v>
      </c>
      <c r="C2880" s="2" t="s">
        <v>5</v>
      </c>
      <c r="D2880" s="2" t="s">
        <v>737</v>
      </c>
      <c r="E2880" s="3">
        <v>20</v>
      </c>
      <c r="F2880" s="3">
        <f>13/6</f>
        <v>2.1666666666666665</v>
      </c>
      <c r="G2880" s="4">
        <v>44676</v>
      </c>
    </row>
    <row r="2881" spans="2:7">
      <c r="B2881" s="1" t="s">
        <v>849</v>
      </c>
      <c r="C2881" s="2" t="s">
        <v>4</v>
      </c>
      <c r="D2881" s="2" t="s">
        <v>689</v>
      </c>
      <c r="E2881" s="3">
        <v>15</v>
      </c>
      <c r="F2881" s="3">
        <f>15/7</f>
        <v>2.1428571428571428</v>
      </c>
      <c r="G2881" s="4">
        <v>44691</v>
      </c>
    </row>
    <row r="2882" spans="2:7">
      <c r="B2882" s="1" t="s">
        <v>848</v>
      </c>
      <c r="C2882" s="2" t="s">
        <v>4</v>
      </c>
      <c r="D2882" s="2" t="s">
        <v>689</v>
      </c>
      <c r="E2882" s="3">
        <v>15</v>
      </c>
      <c r="F2882" s="3">
        <f>15/7</f>
        <v>2.1428571428571428</v>
      </c>
      <c r="G2882" s="4">
        <v>44691</v>
      </c>
    </row>
    <row r="2883" spans="2:7">
      <c r="B2883" s="1" t="s">
        <v>847</v>
      </c>
      <c r="C2883" s="2" t="s">
        <v>4</v>
      </c>
      <c r="D2883" s="2" t="s">
        <v>689</v>
      </c>
      <c r="E2883" s="3">
        <v>15</v>
      </c>
      <c r="F2883" s="3">
        <f>15/7</f>
        <v>2.1428571428571428</v>
      </c>
      <c r="G2883" s="4">
        <v>44691</v>
      </c>
    </row>
    <row r="2884" spans="2:7">
      <c r="B2884" s="1" t="s">
        <v>846</v>
      </c>
      <c r="C2884" s="2" t="s">
        <v>4</v>
      </c>
      <c r="D2884" s="2" t="s">
        <v>689</v>
      </c>
      <c r="E2884" s="3">
        <v>15</v>
      </c>
      <c r="F2884" s="3">
        <f>15/7</f>
        <v>2.1428571428571428</v>
      </c>
      <c r="G2884" s="4">
        <v>44691</v>
      </c>
    </row>
    <row r="2885" spans="2:7">
      <c r="B2885" s="1" t="s">
        <v>845</v>
      </c>
      <c r="C2885" s="2" t="s">
        <v>5</v>
      </c>
      <c r="D2885" s="2" t="s">
        <v>844</v>
      </c>
      <c r="E2885" s="3">
        <v>20</v>
      </c>
      <c r="F2885" s="3">
        <f>12/6</f>
        <v>2</v>
      </c>
      <c r="G2885" s="4">
        <v>43816</v>
      </c>
    </row>
    <row r="2886" spans="2:7">
      <c r="B2886" s="1" t="s">
        <v>843</v>
      </c>
      <c r="C2886" s="2" t="s">
        <v>5</v>
      </c>
      <c r="D2886" s="2" t="s">
        <v>728</v>
      </c>
      <c r="E2886" s="3">
        <v>12.5</v>
      </c>
      <c r="F2886" s="3">
        <v>2</v>
      </c>
      <c r="G2886" s="4">
        <v>44784</v>
      </c>
    </row>
    <row r="2887" spans="2:7">
      <c r="B2887" s="1" t="s">
        <v>842</v>
      </c>
      <c r="C2887" s="2" t="s">
        <v>4</v>
      </c>
      <c r="D2887" s="2" t="s">
        <v>841</v>
      </c>
      <c r="E2887" s="3">
        <v>4.5</v>
      </c>
      <c r="F2887" s="3">
        <v>2</v>
      </c>
      <c r="G2887" s="4">
        <v>45056</v>
      </c>
    </row>
    <row r="2888" spans="2:7">
      <c r="B2888" s="1" t="s">
        <v>840</v>
      </c>
      <c r="C2888" s="2" t="s">
        <v>5</v>
      </c>
      <c r="D2888" s="2" t="s">
        <v>708</v>
      </c>
      <c r="E2888" s="3">
        <v>23.5</v>
      </c>
      <c r="F2888" s="3">
        <v>2</v>
      </c>
      <c r="G2888" s="4">
        <v>44875</v>
      </c>
    </row>
    <row r="2889" spans="2:7">
      <c r="B2889" s="1" t="s">
        <v>839</v>
      </c>
      <c r="C2889" s="2" t="s">
        <v>5</v>
      </c>
      <c r="D2889" s="2" t="s">
        <v>837</v>
      </c>
      <c r="E2889" s="3">
        <v>20</v>
      </c>
      <c r="F2889" s="3">
        <v>2</v>
      </c>
      <c r="G2889" s="4">
        <v>44602</v>
      </c>
    </row>
    <row r="2890" spans="2:7">
      <c r="B2890" s="1" t="s">
        <v>838</v>
      </c>
      <c r="C2890" s="2" t="s">
        <v>5</v>
      </c>
      <c r="D2890" s="2" t="s">
        <v>837</v>
      </c>
      <c r="E2890" s="3">
        <v>20</v>
      </c>
      <c r="F2890" s="3">
        <v>2</v>
      </c>
      <c r="G2890" s="4">
        <v>44602</v>
      </c>
    </row>
    <row r="2891" spans="2:7">
      <c r="B2891" s="1" t="s">
        <v>835</v>
      </c>
      <c r="C2891" s="2" t="s">
        <v>5</v>
      </c>
      <c r="D2891" s="2" t="s">
        <v>831</v>
      </c>
      <c r="E2891" s="3">
        <v>20</v>
      </c>
      <c r="F2891" s="3">
        <v>2</v>
      </c>
      <c r="G2891" s="4">
        <v>44578</v>
      </c>
    </row>
    <row r="2892" spans="2:7">
      <c r="B2892" s="1" t="s">
        <v>834</v>
      </c>
      <c r="C2892" s="2" t="s">
        <v>5</v>
      </c>
      <c r="D2892" s="2" t="s">
        <v>831</v>
      </c>
      <c r="E2892" s="3">
        <v>20</v>
      </c>
      <c r="F2892" s="3">
        <v>2</v>
      </c>
      <c r="G2892" s="4">
        <v>44578</v>
      </c>
    </row>
    <row r="2893" spans="2:7">
      <c r="B2893" s="1" t="s">
        <v>833</v>
      </c>
      <c r="C2893" s="2" t="s">
        <v>5</v>
      </c>
      <c r="D2893" s="2" t="s">
        <v>831</v>
      </c>
      <c r="E2893" s="3">
        <v>20</v>
      </c>
      <c r="F2893" s="3">
        <v>2</v>
      </c>
      <c r="G2893" s="4">
        <v>44578</v>
      </c>
    </row>
    <row r="2894" spans="2:7">
      <c r="B2894" s="1" t="s">
        <v>832</v>
      </c>
      <c r="C2894" s="2" t="s">
        <v>5</v>
      </c>
      <c r="D2894" s="2" t="s">
        <v>831</v>
      </c>
      <c r="E2894" s="3">
        <v>20</v>
      </c>
      <c r="F2894" s="3">
        <v>2</v>
      </c>
      <c r="G2894" s="4">
        <v>44578</v>
      </c>
    </row>
    <row r="2895" spans="2:7">
      <c r="B2895" s="1" t="s">
        <v>830</v>
      </c>
      <c r="C2895" s="2" t="s">
        <v>4</v>
      </c>
      <c r="D2895" s="2" t="s">
        <v>607</v>
      </c>
      <c r="E2895" s="3">
        <v>6</v>
      </c>
      <c r="F2895" s="3">
        <v>2</v>
      </c>
      <c r="G2895" s="4">
        <v>44781</v>
      </c>
    </row>
    <row r="2896" spans="2:7">
      <c r="B2896" s="1" t="s">
        <v>829</v>
      </c>
      <c r="C2896" s="2" t="s">
        <v>4</v>
      </c>
      <c r="D2896" s="2" t="s">
        <v>714</v>
      </c>
      <c r="E2896" s="3">
        <v>6</v>
      </c>
      <c r="F2896" s="3">
        <v>2</v>
      </c>
      <c r="G2896" s="4">
        <v>44180</v>
      </c>
    </row>
    <row r="2897" spans="2:18">
      <c r="B2897" s="1" t="s">
        <v>828</v>
      </c>
      <c r="C2897" s="2" t="s">
        <v>4</v>
      </c>
      <c r="D2897" s="2" t="s">
        <v>655</v>
      </c>
      <c r="E2897" s="3">
        <v>2</v>
      </c>
      <c r="F2897" s="3">
        <v>2</v>
      </c>
      <c r="G2897" s="4">
        <v>43685</v>
      </c>
    </row>
    <row r="2898" spans="2:18">
      <c r="B2898" s="1" t="s">
        <v>826</v>
      </c>
      <c r="C2898" s="2" t="s">
        <v>5</v>
      </c>
      <c r="D2898" s="2" t="s">
        <v>657</v>
      </c>
      <c r="E2898" s="3">
        <v>13</v>
      </c>
      <c r="F2898" s="3">
        <f>8/4</f>
        <v>2</v>
      </c>
      <c r="G2898" s="4">
        <v>44642</v>
      </c>
    </row>
    <row r="2899" spans="2:18">
      <c r="B2899" s="1" t="s">
        <v>825</v>
      </c>
      <c r="C2899" s="2" t="s">
        <v>5</v>
      </c>
      <c r="D2899" s="2" t="s">
        <v>657</v>
      </c>
      <c r="E2899" s="3">
        <v>13</v>
      </c>
      <c r="F2899" s="3">
        <f>8/4</f>
        <v>2</v>
      </c>
      <c r="G2899" s="4">
        <v>44642</v>
      </c>
    </row>
    <row r="2900" spans="2:18">
      <c r="B2900" s="1" t="s">
        <v>824</v>
      </c>
      <c r="C2900" s="2" t="s">
        <v>4</v>
      </c>
      <c r="D2900" s="2" t="s">
        <v>665</v>
      </c>
      <c r="E2900" s="3">
        <v>12.8</v>
      </c>
      <c r="F2900" s="3">
        <v>2</v>
      </c>
      <c r="G2900" s="4">
        <v>44601</v>
      </c>
    </row>
    <row r="2901" spans="2:18">
      <c r="B2901" s="1" t="s">
        <v>823</v>
      </c>
      <c r="C2901" s="2" t="s">
        <v>7</v>
      </c>
      <c r="D2901" s="2" t="s">
        <v>822</v>
      </c>
      <c r="E2901" s="3">
        <v>27</v>
      </c>
      <c r="F2901" s="3">
        <v>2</v>
      </c>
      <c r="G2901" s="4">
        <v>44882</v>
      </c>
    </row>
    <row r="2902" spans="2:18">
      <c r="B2902" s="1" t="s">
        <v>821</v>
      </c>
      <c r="C2902" s="2" t="s">
        <v>4</v>
      </c>
      <c r="D2902" s="2" t="s">
        <v>777</v>
      </c>
      <c r="E2902" s="3">
        <v>4</v>
      </c>
      <c r="F2902" s="3">
        <v>2</v>
      </c>
      <c r="G2902" s="4">
        <v>45026</v>
      </c>
    </row>
    <row r="2903" spans="2:18">
      <c r="B2903" s="1" t="s">
        <v>820</v>
      </c>
      <c r="C2903" s="2" t="s">
        <v>4</v>
      </c>
      <c r="D2903" s="2" t="s">
        <v>819</v>
      </c>
      <c r="E2903" s="3">
        <v>5</v>
      </c>
      <c r="F2903" s="3">
        <f>5/3</f>
        <v>1.6666666666666667</v>
      </c>
      <c r="G2903" s="4">
        <v>45062</v>
      </c>
    </row>
    <row r="2904" spans="2:18">
      <c r="B2904" s="1" t="s">
        <v>816</v>
      </c>
      <c r="C2904" s="2" t="s">
        <v>5</v>
      </c>
      <c r="D2904" s="2" t="s">
        <v>815</v>
      </c>
      <c r="E2904" s="3">
        <v>4.5</v>
      </c>
      <c r="F2904" s="3">
        <v>1.5</v>
      </c>
      <c r="G2904" s="4">
        <v>42858</v>
      </c>
      <c r="M2904" s="1"/>
      <c r="N2904" s="1"/>
      <c r="O2904" s="1"/>
      <c r="P2904" s="1"/>
      <c r="Q2904" s="1"/>
      <c r="R2904" s="1"/>
    </row>
    <row r="2905" spans="2:18">
      <c r="B2905" s="1" t="s">
        <v>814</v>
      </c>
      <c r="C2905" s="2" t="s">
        <v>5</v>
      </c>
      <c r="D2905" s="2" t="s">
        <v>674</v>
      </c>
      <c r="E2905" s="3">
        <v>17</v>
      </c>
      <c r="F2905" s="3">
        <v>1.5</v>
      </c>
      <c r="G2905" s="4">
        <v>44679</v>
      </c>
      <c r="M2905" s="1"/>
      <c r="N2905" s="1"/>
      <c r="O2905" s="1"/>
      <c r="P2905" s="1"/>
      <c r="Q2905" s="1"/>
      <c r="R2905" s="1"/>
    </row>
    <row r="2906" spans="2:18">
      <c r="B2906" s="1" t="s">
        <v>813</v>
      </c>
      <c r="C2906" s="2" t="s">
        <v>4</v>
      </c>
      <c r="D2906" s="2" t="s">
        <v>775</v>
      </c>
      <c r="E2906" s="3">
        <v>6</v>
      </c>
      <c r="F2906" s="3">
        <v>1</v>
      </c>
      <c r="G2906" s="4">
        <v>44352</v>
      </c>
      <c r="M2906" s="1"/>
      <c r="N2906" s="1"/>
      <c r="O2906" s="1"/>
      <c r="P2906" s="1"/>
      <c r="Q2906" s="1"/>
      <c r="R2906" s="1"/>
    </row>
    <row r="2907" spans="2:18">
      <c r="B2907" s="1" t="s">
        <v>812</v>
      </c>
      <c r="C2907" s="2" t="s">
        <v>4</v>
      </c>
      <c r="D2907" s="2" t="s">
        <v>775</v>
      </c>
      <c r="E2907" s="3">
        <v>6</v>
      </c>
      <c r="F2907" s="3">
        <v>1</v>
      </c>
      <c r="G2907" s="4">
        <v>44352</v>
      </c>
      <c r="M2907" s="1"/>
      <c r="N2907" s="1"/>
      <c r="O2907" s="1"/>
      <c r="P2907" s="1"/>
      <c r="Q2907" s="1"/>
      <c r="R2907" s="1"/>
    </row>
    <row r="2908" spans="2:18">
      <c r="B2908" s="1" t="s">
        <v>811</v>
      </c>
      <c r="C2908" s="2" t="s">
        <v>4</v>
      </c>
      <c r="D2908" s="2" t="s">
        <v>810</v>
      </c>
      <c r="E2908" s="3">
        <v>5.3</v>
      </c>
      <c r="F2908" s="3">
        <v>1</v>
      </c>
      <c r="G2908" s="4">
        <v>43628</v>
      </c>
      <c r="M2908" s="1"/>
      <c r="N2908" s="1"/>
      <c r="O2908" s="1"/>
      <c r="P2908" s="1"/>
      <c r="Q2908" s="1"/>
      <c r="R2908" s="1"/>
    </row>
    <row r="2909" spans="2:18">
      <c r="B2909" s="1" t="s">
        <v>809</v>
      </c>
      <c r="C2909" s="2" t="s">
        <v>5</v>
      </c>
      <c r="D2909" s="2" t="s">
        <v>808</v>
      </c>
      <c r="E2909" s="3">
        <v>17.5</v>
      </c>
      <c r="F2909" s="3">
        <v>1</v>
      </c>
      <c r="G2909" s="4">
        <v>44614</v>
      </c>
      <c r="M2909" s="1"/>
      <c r="N2909" s="1"/>
      <c r="O2909" s="1"/>
      <c r="P2909" s="1"/>
      <c r="Q2909" s="1"/>
      <c r="R2909" s="1"/>
    </row>
    <row r="2910" spans="2:18">
      <c r="B2910" s="1" t="s">
        <v>807</v>
      </c>
      <c r="C2910" s="2" t="s">
        <v>5</v>
      </c>
      <c r="D2910" s="2" t="s">
        <v>795</v>
      </c>
      <c r="E2910" s="3">
        <v>10.9</v>
      </c>
      <c r="F2910" s="3">
        <f>8/8</f>
        <v>1</v>
      </c>
      <c r="G2910" s="4">
        <v>45070</v>
      </c>
      <c r="M2910" s="1"/>
      <c r="N2910" s="1"/>
      <c r="O2910" s="1"/>
      <c r="P2910" s="1"/>
      <c r="Q2910" s="1"/>
      <c r="R2910" s="1"/>
    </row>
    <row r="2911" spans="2:18">
      <c r="B2911" s="1" t="s">
        <v>806</v>
      </c>
      <c r="C2911" s="2" t="s">
        <v>4</v>
      </c>
      <c r="D2911" s="2" t="s">
        <v>721</v>
      </c>
      <c r="E2911" s="3">
        <v>5.5</v>
      </c>
      <c r="F2911" s="3">
        <v>1</v>
      </c>
      <c r="G2911" s="4">
        <v>45092</v>
      </c>
      <c r="M2911" s="1"/>
      <c r="N2911" s="1"/>
      <c r="O2911" s="1"/>
      <c r="P2911" s="1"/>
      <c r="Q2911" s="1"/>
      <c r="R2911" s="1"/>
    </row>
    <row r="2912" spans="2:18">
      <c r="B2912" s="1" t="s">
        <v>805</v>
      </c>
      <c r="C2912" s="2" t="s">
        <v>4</v>
      </c>
      <c r="D2912" s="2" t="s">
        <v>710</v>
      </c>
      <c r="E2912" s="3">
        <v>2.5</v>
      </c>
      <c r="F2912" s="3">
        <v>1</v>
      </c>
      <c r="G2912" s="4">
        <v>44469</v>
      </c>
      <c r="M2912" s="1"/>
      <c r="N2912" s="1"/>
      <c r="O2912" s="1"/>
      <c r="P2912" s="1"/>
      <c r="Q2912" s="1"/>
      <c r="R2912" s="1"/>
    </row>
    <row r="2913" spans="2:18">
      <c r="B2913" s="1" t="s">
        <v>804</v>
      </c>
      <c r="C2913" s="2" t="s">
        <v>4</v>
      </c>
      <c r="D2913" s="2" t="s">
        <v>708</v>
      </c>
      <c r="E2913" s="3">
        <v>5.6</v>
      </c>
      <c r="F2913" s="3">
        <v>1</v>
      </c>
      <c r="G2913" s="4">
        <v>44292</v>
      </c>
      <c r="M2913" s="1"/>
      <c r="N2913" s="1"/>
      <c r="O2913" s="1"/>
      <c r="P2913" s="1"/>
      <c r="Q2913" s="1"/>
      <c r="R2913" s="1"/>
    </row>
    <row r="2914" spans="2:18">
      <c r="B2914" s="1" t="s">
        <v>802</v>
      </c>
      <c r="C2914" s="2" t="s">
        <v>4</v>
      </c>
      <c r="D2914" s="2" t="s">
        <v>708</v>
      </c>
      <c r="E2914" s="3">
        <v>5.6</v>
      </c>
      <c r="F2914" s="3">
        <v>1</v>
      </c>
      <c r="G2914" s="4">
        <v>44292</v>
      </c>
      <c r="M2914" s="1"/>
      <c r="N2914" s="1"/>
      <c r="O2914" s="1"/>
      <c r="P2914" s="1"/>
      <c r="Q2914" s="1"/>
      <c r="R2914" s="1"/>
    </row>
    <row r="2915" spans="2:18">
      <c r="B2915" s="1" t="s">
        <v>801</v>
      </c>
      <c r="C2915" s="2" t="s">
        <v>4</v>
      </c>
      <c r="D2915" s="2" t="s">
        <v>708</v>
      </c>
      <c r="E2915" s="3">
        <v>5.6</v>
      </c>
      <c r="F2915" s="3">
        <v>1</v>
      </c>
      <c r="G2915" s="4">
        <v>44292</v>
      </c>
      <c r="M2915" s="1"/>
      <c r="N2915" s="1"/>
      <c r="O2915" s="1"/>
      <c r="P2915" s="1"/>
      <c r="Q2915" s="1"/>
      <c r="R2915" s="1"/>
    </row>
    <row r="2916" spans="2:18">
      <c r="B2916" s="1" t="s">
        <v>800</v>
      </c>
      <c r="C2916" s="2" t="s">
        <v>5</v>
      </c>
      <c r="D2916" s="2" t="s">
        <v>795</v>
      </c>
      <c r="E2916" s="3">
        <v>10.9</v>
      </c>
      <c r="F2916" s="3">
        <f>8/8</f>
        <v>1</v>
      </c>
      <c r="G2916" s="4">
        <v>45070</v>
      </c>
      <c r="M2916" s="1"/>
      <c r="N2916" s="1"/>
      <c r="O2916" s="1"/>
      <c r="P2916" s="1"/>
      <c r="Q2916" s="1"/>
      <c r="R2916" s="1"/>
    </row>
    <row r="2917" spans="2:18">
      <c r="B2917" s="1" t="s">
        <v>799</v>
      </c>
      <c r="C2917" s="2" t="s">
        <v>5</v>
      </c>
      <c r="D2917" s="2" t="s">
        <v>795</v>
      </c>
      <c r="E2917" s="3">
        <v>10.9</v>
      </c>
      <c r="F2917" s="3">
        <f>8/8</f>
        <v>1</v>
      </c>
      <c r="G2917" s="4">
        <v>45070</v>
      </c>
      <c r="M2917" s="1"/>
      <c r="N2917" s="1"/>
      <c r="O2917" s="1"/>
      <c r="P2917" s="1"/>
      <c r="Q2917" s="1"/>
      <c r="R2917" s="1"/>
    </row>
    <row r="2918" spans="2:18">
      <c r="B2918" s="1" t="s">
        <v>798</v>
      </c>
      <c r="C2918" s="2" t="s">
        <v>5</v>
      </c>
      <c r="D2918" s="2" t="s">
        <v>795</v>
      </c>
      <c r="E2918" s="3">
        <v>10.9</v>
      </c>
      <c r="F2918" s="3">
        <f>8/8</f>
        <v>1</v>
      </c>
      <c r="G2918" s="4">
        <v>45070</v>
      </c>
      <c r="M2918" s="1"/>
      <c r="N2918" s="1"/>
      <c r="O2918" s="1"/>
      <c r="P2918" s="1"/>
      <c r="Q2918" s="1"/>
      <c r="R2918" s="1"/>
    </row>
    <row r="2919" spans="2:18">
      <c r="B2919" s="1" t="s">
        <v>797</v>
      </c>
      <c r="C2919" s="2" t="s">
        <v>5</v>
      </c>
      <c r="D2919" s="2" t="s">
        <v>795</v>
      </c>
      <c r="E2919" s="3">
        <v>10.9</v>
      </c>
      <c r="F2919" s="3">
        <f>8/8</f>
        <v>1</v>
      </c>
      <c r="G2919" s="4">
        <v>45070</v>
      </c>
      <c r="M2919" s="1"/>
      <c r="N2919" s="1"/>
      <c r="O2919" s="1"/>
      <c r="P2919" s="1"/>
      <c r="Q2919" s="1"/>
      <c r="R2919" s="1"/>
    </row>
    <row r="2920" spans="2:18">
      <c r="B2920" s="1" t="s">
        <v>796</v>
      </c>
      <c r="C2920" s="2" t="s">
        <v>5</v>
      </c>
      <c r="D2920" s="2" t="s">
        <v>795</v>
      </c>
      <c r="E2920" s="3">
        <v>10.9</v>
      </c>
      <c r="F2920" s="3">
        <f>8/8</f>
        <v>1</v>
      </c>
      <c r="G2920" s="4">
        <v>45070</v>
      </c>
      <c r="M2920" s="1"/>
      <c r="N2920" s="1"/>
      <c r="O2920" s="1"/>
      <c r="P2920" s="1"/>
      <c r="Q2920" s="1"/>
      <c r="R2920" s="1"/>
    </row>
    <row r="2921" spans="2:18">
      <c r="B2921" s="1" t="s">
        <v>794</v>
      </c>
      <c r="C2921" s="2" t="s">
        <v>4</v>
      </c>
      <c r="D2921" s="2" t="s">
        <v>712</v>
      </c>
      <c r="E2921" s="3">
        <v>7.2</v>
      </c>
      <c r="F2921" s="3">
        <v>1</v>
      </c>
      <c r="G2921" s="4">
        <v>44508</v>
      </c>
      <c r="M2921" s="1"/>
      <c r="N2921" s="1"/>
      <c r="O2921" s="1"/>
      <c r="P2921" s="1"/>
      <c r="Q2921" s="1"/>
      <c r="R2921" s="1"/>
    </row>
    <row r="2922" spans="2:18">
      <c r="B2922" s="1" t="s">
        <v>793</v>
      </c>
      <c r="C2922" s="2" t="s">
        <v>4</v>
      </c>
      <c r="D2922" s="2" t="s">
        <v>712</v>
      </c>
      <c r="E2922" s="3">
        <v>7.2</v>
      </c>
      <c r="F2922" s="3">
        <v>1</v>
      </c>
      <c r="G2922" s="4">
        <v>44508</v>
      </c>
      <c r="M2922" s="1"/>
      <c r="N2922" s="1"/>
      <c r="O2922" s="1"/>
      <c r="P2922" s="1"/>
      <c r="Q2922" s="1"/>
      <c r="R2922" s="1"/>
    </row>
    <row r="2923" spans="2:18">
      <c r="B2923" s="1" t="s">
        <v>792</v>
      </c>
      <c r="C2923" s="11" t="s">
        <v>681</v>
      </c>
      <c r="D2923" s="11" t="s">
        <v>791</v>
      </c>
      <c r="E2923" s="10">
        <v>3</v>
      </c>
      <c r="F2923" s="10">
        <v>1</v>
      </c>
      <c r="G2923" s="9">
        <v>44183</v>
      </c>
      <c r="M2923" s="1"/>
      <c r="N2923" s="1"/>
      <c r="O2923" s="1"/>
      <c r="P2923" s="1"/>
      <c r="Q2923" s="1"/>
      <c r="R2923" s="1"/>
    </row>
    <row r="2924" spans="2:18">
      <c r="B2924" s="1" t="s">
        <v>790</v>
      </c>
      <c r="C2924" s="2" t="s">
        <v>681</v>
      </c>
      <c r="D2924" s="2" t="s">
        <v>788</v>
      </c>
      <c r="E2924" s="3">
        <v>4.5</v>
      </c>
      <c r="F2924" s="3">
        <v>1</v>
      </c>
      <c r="G2924" s="4">
        <v>44691</v>
      </c>
      <c r="M2924" s="1"/>
      <c r="N2924" s="1"/>
      <c r="O2924" s="1"/>
      <c r="P2924" s="1"/>
      <c r="Q2924" s="1"/>
      <c r="R2924" s="1"/>
    </row>
    <row r="2925" spans="2:18">
      <c r="B2925" s="1" t="s">
        <v>789</v>
      </c>
      <c r="C2925" s="2" t="s">
        <v>681</v>
      </c>
      <c r="D2925" s="2" t="s">
        <v>788</v>
      </c>
      <c r="E2925" s="3">
        <v>4.5</v>
      </c>
      <c r="F2925" s="3">
        <v>1</v>
      </c>
      <c r="G2925" s="4">
        <v>44691</v>
      </c>
      <c r="M2925" s="1"/>
      <c r="N2925" s="1"/>
      <c r="O2925" s="1"/>
      <c r="P2925" s="1"/>
      <c r="Q2925" s="1"/>
      <c r="R2925" s="1"/>
    </row>
    <row r="2926" spans="2:18">
      <c r="B2926" s="1" t="s">
        <v>787</v>
      </c>
      <c r="C2926" s="2" t="s">
        <v>4</v>
      </c>
      <c r="D2926" s="2" t="s">
        <v>660</v>
      </c>
      <c r="E2926" s="3">
        <v>8</v>
      </c>
      <c r="F2926" s="3">
        <v>1</v>
      </c>
      <c r="G2926" s="4">
        <v>44677</v>
      </c>
      <c r="M2926" s="1"/>
      <c r="N2926" s="1"/>
      <c r="O2926" s="1"/>
      <c r="P2926" s="1"/>
      <c r="Q2926" s="1"/>
      <c r="R2926" s="1"/>
    </row>
    <row r="2927" spans="2:18">
      <c r="B2927" s="1" t="s">
        <v>786</v>
      </c>
      <c r="C2927" s="2" t="s">
        <v>4</v>
      </c>
      <c r="D2927" s="2" t="s">
        <v>785</v>
      </c>
      <c r="E2927" s="3">
        <v>5.5</v>
      </c>
      <c r="F2927" s="3">
        <v>1</v>
      </c>
      <c r="G2927" s="4">
        <v>44488</v>
      </c>
      <c r="M2927" s="1"/>
      <c r="N2927" s="1"/>
      <c r="O2927" s="1"/>
      <c r="P2927" s="1"/>
      <c r="Q2927" s="1"/>
      <c r="R2927" s="1"/>
    </row>
    <row r="2928" spans="2:18">
      <c r="B2928" s="1" t="s">
        <v>784</v>
      </c>
      <c r="C2928" s="2" t="s">
        <v>4</v>
      </c>
      <c r="D2928" s="2" t="s">
        <v>783</v>
      </c>
      <c r="E2928" s="3">
        <v>10</v>
      </c>
      <c r="F2928" s="3">
        <v>1</v>
      </c>
      <c r="G2928" s="4">
        <v>44858</v>
      </c>
      <c r="M2928" s="1"/>
      <c r="N2928" s="1"/>
      <c r="O2928" s="1"/>
      <c r="P2928" s="1"/>
      <c r="Q2928" s="1"/>
      <c r="R2928" s="1"/>
    </row>
    <row r="2929" spans="2:18">
      <c r="B2929" s="1" t="s">
        <v>782</v>
      </c>
      <c r="C2929" s="2" t="s">
        <v>4</v>
      </c>
      <c r="D2929" s="2" t="s">
        <v>734</v>
      </c>
      <c r="E2929" s="3">
        <v>3</v>
      </c>
      <c r="F2929" s="3">
        <v>0.75</v>
      </c>
      <c r="G2929" s="4">
        <v>44011</v>
      </c>
      <c r="M2929" s="1"/>
      <c r="N2929" s="1"/>
      <c r="O2929" s="1"/>
      <c r="P2929" s="1"/>
      <c r="Q2929" s="1"/>
      <c r="R2929" s="1"/>
    </row>
    <row r="2930" spans="2:18">
      <c r="B2930" s="1" t="s">
        <v>781</v>
      </c>
      <c r="C2930" s="2" t="s">
        <v>4</v>
      </c>
      <c r="D2930" s="2" t="s">
        <v>734</v>
      </c>
      <c r="E2930" s="3">
        <v>3</v>
      </c>
      <c r="F2930" s="3">
        <v>0.75</v>
      </c>
      <c r="G2930" s="4">
        <v>44011</v>
      </c>
      <c r="M2930" s="1"/>
      <c r="N2930" s="1"/>
      <c r="O2930" s="1"/>
      <c r="P2930" s="1"/>
      <c r="Q2930" s="1"/>
      <c r="R2930" s="1"/>
    </row>
    <row r="2931" spans="2:18">
      <c r="B2931" s="1" t="s">
        <v>780</v>
      </c>
      <c r="C2931" s="2" t="s">
        <v>4</v>
      </c>
      <c r="D2931" s="2" t="s">
        <v>777</v>
      </c>
      <c r="E2931" s="3">
        <v>4</v>
      </c>
      <c r="F2931" s="3">
        <f>2/3</f>
        <v>0.66666666666666663</v>
      </c>
      <c r="G2931" s="4">
        <v>45026</v>
      </c>
      <c r="M2931" s="1"/>
      <c r="N2931" s="1"/>
      <c r="O2931" s="1"/>
      <c r="P2931" s="1"/>
      <c r="Q2931" s="1"/>
      <c r="R2931" s="1"/>
    </row>
    <row r="2932" spans="2:18">
      <c r="B2932" s="1" t="s">
        <v>779</v>
      </c>
      <c r="C2932" s="2" t="s">
        <v>4</v>
      </c>
      <c r="D2932" s="2" t="s">
        <v>777</v>
      </c>
      <c r="E2932" s="3">
        <v>4</v>
      </c>
      <c r="F2932" s="3">
        <f>2/3</f>
        <v>0.66666666666666663</v>
      </c>
      <c r="G2932" s="4">
        <v>45026</v>
      </c>
      <c r="M2932" s="1"/>
      <c r="N2932" s="1"/>
      <c r="O2932" s="1"/>
      <c r="P2932" s="1"/>
      <c r="Q2932" s="1"/>
      <c r="R2932" s="1"/>
    </row>
    <row r="2933" spans="2:18">
      <c r="B2933" s="1" t="s">
        <v>778</v>
      </c>
      <c r="C2933" s="2" t="s">
        <v>4</v>
      </c>
      <c r="D2933" s="2" t="s">
        <v>777</v>
      </c>
      <c r="E2933" s="3">
        <v>4</v>
      </c>
      <c r="F2933" s="3">
        <f>2/3</f>
        <v>0.66666666666666663</v>
      </c>
      <c r="G2933" s="4">
        <v>45026</v>
      </c>
      <c r="M2933" s="1"/>
      <c r="N2933" s="1"/>
      <c r="O2933" s="1"/>
      <c r="P2933" s="1"/>
      <c r="Q2933" s="1"/>
      <c r="R2933" s="1"/>
    </row>
    <row r="2934" spans="2:18">
      <c r="B2934" s="1" t="s">
        <v>774</v>
      </c>
      <c r="C2934" s="2" t="s">
        <v>4</v>
      </c>
      <c r="D2934" s="2" t="s">
        <v>674</v>
      </c>
      <c r="E2934" s="3">
        <v>4.5</v>
      </c>
      <c r="F2934" s="3">
        <v>0.5</v>
      </c>
      <c r="G2934" s="4">
        <v>44415</v>
      </c>
      <c r="M2934" s="1"/>
      <c r="N2934" s="1"/>
      <c r="O2934" s="1"/>
      <c r="P2934" s="1"/>
      <c r="Q2934" s="1"/>
      <c r="R2934" s="1"/>
    </row>
    <row r="2935" spans="2:18">
      <c r="B2935" s="1" t="s">
        <v>773</v>
      </c>
      <c r="C2935" s="2" t="s">
        <v>4</v>
      </c>
      <c r="D2935" s="2" t="s">
        <v>732</v>
      </c>
      <c r="E2935" s="3">
        <v>2.1</v>
      </c>
      <c r="F2935" s="3">
        <v>0.5</v>
      </c>
      <c r="G2935" s="4">
        <v>44455</v>
      </c>
      <c r="M2935" s="1"/>
      <c r="N2935" s="1"/>
      <c r="O2935" s="1"/>
      <c r="P2935" s="1"/>
      <c r="Q2935" s="1"/>
      <c r="R2935" s="1"/>
    </row>
    <row r="2936" spans="2:18">
      <c r="B2936" s="1" t="s">
        <v>772</v>
      </c>
      <c r="C2936" s="2" t="s">
        <v>4</v>
      </c>
      <c r="D2936" s="2" t="s">
        <v>742</v>
      </c>
      <c r="E2936" s="3">
        <v>4</v>
      </c>
      <c r="F2936" s="3">
        <v>0.5</v>
      </c>
      <c r="G2936" s="4">
        <v>44340</v>
      </c>
      <c r="M2936" s="1"/>
      <c r="N2936" s="1"/>
      <c r="O2936" s="1"/>
      <c r="P2936" s="1"/>
      <c r="Q2936" s="1"/>
      <c r="R2936" s="1"/>
    </row>
    <row r="2937" spans="2:18">
      <c r="B2937" s="1" t="s">
        <v>770</v>
      </c>
      <c r="C2937" s="2" t="s">
        <v>4</v>
      </c>
      <c r="D2937" s="2" t="s">
        <v>687</v>
      </c>
      <c r="E2937" s="3">
        <v>4.5</v>
      </c>
      <c r="F2937" s="3">
        <v>0.5</v>
      </c>
      <c r="G2937" s="4">
        <v>44362</v>
      </c>
      <c r="M2937" s="1"/>
      <c r="N2937" s="1"/>
      <c r="O2937" s="1"/>
      <c r="P2937" s="1"/>
      <c r="Q2937" s="1"/>
      <c r="R2937" s="1"/>
    </row>
    <row r="2938" spans="2:18">
      <c r="B2938" s="1" t="s">
        <v>769</v>
      </c>
      <c r="C2938" s="2" t="s">
        <v>4</v>
      </c>
      <c r="D2938" s="2" t="s">
        <v>683</v>
      </c>
      <c r="E2938" s="3">
        <v>3</v>
      </c>
      <c r="F2938" s="3">
        <v>0.5</v>
      </c>
      <c r="G2938" s="4">
        <v>43993</v>
      </c>
      <c r="M2938" s="1"/>
      <c r="N2938" s="1"/>
      <c r="O2938" s="1"/>
      <c r="P2938" s="1"/>
      <c r="Q2938" s="1"/>
      <c r="R2938" s="1"/>
    </row>
    <row r="2939" spans="2:18">
      <c r="B2939" s="1" t="s">
        <v>768</v>
      </c>
      <c r="C2939" s="2" t="s">
        <v>4</v>
      </c>
      <c r="D2939" s="2" t="s">
        <v>683</v>
      </c>
      <c r="E2939" s="3">
        <v>3</v>
      </c>
      <c r="F2939" s="3">
        <v>0.5</v>
      </c>
      <c r="G2939" s="4">
        <v>43993</v>
      </c>
      <c r="M2939" s="1"/>
      <c r="N2939" s="1"/>
      <c r="O2939" s="1"/>
      <c r="P2939" s="1"/>
      <c r="Q2939" s="1"/>
      <c r="R2939" s="1"/>
    </row>
    <row r="2940" spans="2:18">
      <c r="B2940" s="1" t="s">
        <v>766</v>
      </c>
      <c r="C2940" s="2" t="s">
        <v>4</v>
      </c>
      <c r="D2940" s="2" t="s">
        <v>651</v>
      </c>
      <c r="E2940" s="3">
        <v>2.2000000000000002</v>
      </c>
      <c r="F2940" s="3">
        <v>0.5</v>
      </c>
      <c r="G2940" s="4">
        <v>44959</v>
      </c>
      <c r="M2940" s="1"/>
      <c r="N2940" s="1"/>
      <c r="O2940" s="1"/>
      <c r="P2940" s="1"/>
      <c r="Q2940" s="1"/>
      <c r="R2940" s="1"/>
    </row>
    <row r="2941" spans="2:18">
      <c r="B2941" s="1" t="s">
        <v>765</v>
      </c>
      <c r="C2941" s="2" t="s">
        <v>4</v>
      </c>
      <c r="D2941" s="2" t="s">
        <v>651</v>
      </c>
      <c r="E2941" s="3">
        <v>2.2000000000000002</v>
      </c>
      <c r="F2941" s="3">
        <v>0.5</v>
      </c>
      <c r="G2941" s="4">
        <v>44959</v>
      </c>
      <c r="M2941" s="1"/>
      <c r="N2941" s="1"/>
      <c r="O2941" s="1"/>
      <c r="P2941" s="1"/>
      <c r="Q2941" s="1"/>
      <c r="R2941" s="1"/>
    </row>
    <row r="2942" spans="2:18">
      <c r="B2942" s="1" t="s">
        <v>764</v>
      </c>
      <c r="C2942" s="2" t="s">
        <v>4</v>
      </c>
      <c r="D2942" s="2" t="s">
        <v>731</v>
      </c>
      <c r="E2942" s="3">
        <v>2.9</v>
      </c>
      <c r="F2942" s="3">
        <v>0.5</v>
      </c>
      <c r="G2942" s="4">
        <v>44272</v>
      </c>
      <c r="M2942" s="1"/>
      <c r="N2942" s="1"/>
      <c r="O2942" s="1"/>
      <c r="P2942" s="1"/>
      <c r="Q2942" s="1"/>
      <c r="R2942" s="1"/>
    </row>
    <row r="2943" spans="2:18">
      <c r="B2943" s="1" t="s">
        <v>763</v>
      </c>
      <c r="C2943" s="2" t="s">
        <v>4</v>
      </c>
      <c r="D2943" s="2" t="s">
        <v>649</v>
      </c>
      <c r="E2943" s="3">
        <v>1.5</v>
      </c>
      <c r="F2943" s="3">
        <v>0.5</v>
      </c>
      <c r="G2943" s="4">
        <v>44098</v>
      </c>
      <c r="M2943" s="1"/>
      <c r="N2943" s="1"/>
      <c r="O2943" s="1"/>
      <c r="P2943" s="1"/>
      <c r="Q2943" s="1"/>
      <c r="R2943" s="1"/>
    </row>
    <row r="2944" spans="2:18">
      <c r="B2944" s="1" t="s">
        <v>762</v>
      </c>
      <c r="C2944" s="2" t="s">
        <v>4</v>
      </c>
      <c r="D2944" s="2" t="s">
        <v>411</v>
      </c>
      <c r="E2944" s="3">
        <v>3.1</v>
      </c>
      <c r="F2944" s="3">
        <v>0.5</v>
      </c>
      <c r="G2944" s="4">
        <v>43580</v>
      </c>
      <c r="M2944" s="1"/>
      <c r="N2944" s="1"/>
      <c r="O2944" s="1"/>
      <c r="P2944" s="1"/>
      <c r="Q2944" s="1"/>
      <c r="R2944" s="1"/>
    </row>
    <row r="2945" spans="2:18">
      <c r="B2945" s="1" t="s">
        <v>760</v>
      </c>
      <c r="C2945" s="2" t="s">
        <v>4</v>
      </c>
      <c r="D2945" s="2" t="s">
        <v>757</v>
      </c>
      <c r="E2945" s="3">
        <v>2.6</v>
      </c>
      <c r="F2945" s="3">
        <f>1.6/4</f>
        <v>0.4</v>
      </c>
      <c r="G2945" s="4">
        <v>44147</v>
      </c>
      <c r="M2945" s="1"/>
      <c r="N2945" s="1"/>
      <c r="O2945" s="1"/>
      <c r="P2945" s="1"/>
      <c r="Q2945" s="1"/>
      <c r="R2945" s="1"/>
    </row>
    <row r="2946" spans="2:18">
      <c r="B2946" s="1" t="s">
        <v>759</v>
      </c>
      <c r="C2946" s="2" t="s">
        <v>4</v>
      </c>
      <c r="D2946" s="2" t="s">
        <v>757</v>
      </c>
      <c r="E2946" s="3">
        <v>2.6</v>
      </c>
      <c r="F2946" s="3">
        <f>1.6/4</f>
        <v>0.4</v>
      </c>
      <c r="G2946" s="4">
        <v>44147</v>
      </c>
      <c r="M2946" s="1"/>
      <c r="N2946" s="1"/>
      <c r="O2946" s="1"/>
      <c r="P2946" s="1"/>
      <c r="Q2946" s="1"/>
      <c r="R2946" s="1"/>
    </row>
    <row r="2947" spans="2:18">
      <c r="B2947" s="1" t="s">
        <v>758</v>
      </c>
      <c r="C2947" s="2" t="s">
        <v>4</v>
      </c>
      <c r="D2947" s="2" t="s">
        <v>757</v>
      </c>
      <c r="E2947" s="3">
        <v>2.6</v>
      </c>
      <c r="F2947" s="3">
        <f>1.6/4</f>
        <v>0.4</v>
      </c>
      <c r="G2947" s="4">
        <v>44147</v>
      </c>
      <c r="M2947" s="1"/>
      <c r="N2947" s="1"/>
      <c r="O2947" s="1"/>
      <c r="P2947" s="1"/>
      <c r="Q2947" s="1"/>
      <c r="R2947" s="1"/>
    </row>
    <row r="2948" spans="2:18">
      <c r="B2948" s="1" t="s">
        <v>756</v>
      </c>
      <c r="C2948" s="2" t="s">
        <v>4</v>
      </c>
      <c r="D2948" s="2" t="s">
        <v>710</v>
      </c>
      <c r="E2948" s="3">
        <v>2.5</v>
      </c>
      <c r="F2948" s="3">
        <f>2/6</f>
        <v>0.33333333333333331</v>
      </c>
      <c r="G2948" s="4">
        <v>44469</v>
      </c>
      <c r="M2948" s="1"/>
      <c r="N2948" s="1"/>
      <c r="O2948" s="1"/>
      <c r="P2948" s="1"/>
      <c r="Q2948" s="1"/>
      <c r="R2948" s="1"/>
    </row>
    <row r="2949" spans="2:18">
      <c r="B2949" s="1" t="s">
        <v>755</v>
      </c>
      <c r="C2949" s="2" t="s">
        <v>4</v>
      </c>
      <c r="D2949" s="2" t="s">
        <v>710</v>
      </c>
      <c r="E2949" s="3">
        <v>2.5</v>
      </c>
      <c r="F2949" s="3">
        <f>2/6</f>
        <v>0.33333333333333331</v>
      </c>
      <c r="G2949" s="4">
        <v>44469</v>
      </c>
      <c r="M2949" s="1"/>
      <c r="N2949" s="1"/>
      <c r="O2949" s="1"/>
      <c r="P2949" s="1"/>
      <c r="Q2949" s="1"/>
      <c r="R2949" s="1"/>
    </row>
    <row r="2950" spans="2:18">
      <c r="B2950" s="1" t="s">
        <v>754</v>
      </c>
      <c r="C2950" s="2" t="s">
        <v>4</v>
      </c>
      <c r="D2950" s="2" t="s">
        <v>710</v>
      </c>
      <c r="E2950" s="3">
        <v>2.5</v>
      </c>
      <c r="F2950" s="3">
        <f>2/6</f>
        <v>0.33333333333333331</v>
      </c>
      <c r="G2950" s="4">
        <v>44469</v>
      </c>
      <c r="M2950" s="1"/>
      <c r="N2950" s="1"/>
      <c r="O2950" s="1"/>
      <c r="P2950" s="1"/>
      <c r="Q2950" s="1"/>
      <c r="R2950" s="1"/>
    </row>
    <row r="2951" spans="2:18">
      <c r="B2951" s="1" t="s">
        <v>753</v>
      </c>
      <c r="C2951" s="2" t="s">
        <v>4</v>
      </c>
      <c r="D2951" s="2" t="s">
        <v>710</v>
      </c>
      <c r="E2951" s="3">
        <v>2.5</v>
      </c>
      <c r="F2951" s="3">
        <f>2/6</f>
        <v>0.33333333333333331</v>
      </c>
      <c r="G2951" s="4">
        <v>44469</v>
      </c>
      <c r="I2951" s="5"/>
      <c r="M2951" s="1"/>
      <c r="N2951" s="1"/>
      <c r="O2951" s="1"/>
      <c r="P2951" s="1"/>
      <c r="Q2951" s="1"/>
      <c r="R2951" s="1"/>
    </row>
    <row r="2952" spans="2:18">
      <c r="B2952" s="1" t="s">
        <v>692</v>
      </c>
      <c r="C2952" s="2" t="s">
        <v>4</v>
      </c>
      <c r="D2952" s="2" t="s">
        <v>691</v>
      </c>
      <c r="E2952" s="3">
        <v>5.3</v>
      </c>
      <c r="F2952" s="3">
        <v>3.3</v>
      </c>
      <c r="G2952" s="4">
        <v>45069</v>
      </c>
    </row>
    <row r="2953" spans="2:18">
      <c r="B2953" s="1" t="s">
        <v>690</v>
      </c>
      <c r="C2953" s="2" t="s">
        <v>4</v>
      </c>
      <c r="D2953" s="2" t="s">
        <v>689</v>
      </c>
      <c r="E2953" s="3">
        <v>15</v>
      </c>
      <c r="F2953" s="3">
        <f>15/7</f>
        <v>2.1428571428571428</v>
      </c>
      <c r="G2953" s="4">
        <v>44691</v>
      </c>
    </row>
    <row r="2954" spans="2:18">
      <c r="B2954" s="1" t="s">
        <v>647</v>
      </c>
      <c r="C2954" s="2" t="s">
        <v>4</v>
      </c>
      <c r="D2954" s="2" t="s">
        <v>646</v>
      </c>
      <c r="E2954" s="3">
        <v>10.6</v>
      </c>
      <c r="F2954" s="3">
        <v>5.6</v>
      </c>
      <c r="G2954" s="4">
        <v>45007</v>
      </c>
      <c r="M2954" s="1"/>
      <c r="N2954" s="1"/>
      <c r="O2954" s="1"/>
      <c r="P2954" s="1"/>
      <c r="Q2954" s="1"/>
      <c r="R2954" s="1"/>
    </row>
    <row r="2955" spans="2:18">
      <c r="B2955" s="1" t="s">
        <v>644</v>
      </c>
      <c r="C2955" s="2" t="s">
        <v>4</v>
      </c>
      <c r="D2955" s="2" t="s">
        <v>643</v>
      </c>
      <c r="E2955" s="3">
        <v>3</v>
      </c>
      <c r="F2955" s="3">
        <v>1</v>
      </c>
      <c r="G2955" s="4">
        <v>44539</v>
      </c>
      <c r="M2955" s="1"/>
      <c r="N2955" s="1"/>
      <c r="O2955" s="1"/>
      <c r="P2955" s="1"/>
      <c r="Q2955" s="1"/>
      <c r="R2955" s="1"/>
    </row>
    <row r="2956" spans="2:18">
      <c r="B2956" s="1" t="s">
        <v>642</v>
      </c>
      <c r="C2956" s="2" t="s">
        <v>5</v>
      </c>
      <c r="D2956" s="2" t="s">
        <v>641</v>
      </c>
      <c r="E2956" s="3">
        <v>10</v>
      </c>
      <c r="F2956" s="3">
        <v>10</v>
      </c>
      <c r="G2956" s="4">
        <v>44013</v>
      </c>
      <c r="M2956" s="1"/>
      <c r="N2956" s="1"/>
      <c r="O2956" s="1"/>
      <c r="P2956" s="1"/>
      <c r="Q2956" s="1"/>
      <c r="R2956" s="1"/>
    </row>
    <row r="2957" spans="2:18">
      <c r="B2957" s="1" t="s">
        <v>638</v>
      </c>
      <c r="C2957" s="2" t="s">
        <v>5</v>
      </c>
      <c r="D2957" s="2" t="s">
        <v>635</v>
      </c>
      <c r="E2957" s="3">
        <v>10</v>
      </c>
      <c r="F2957" s="3">
        <v>2</v>
      </c>
      <c r="G2957" s="4">
        <v>44930</v>
      </c>
      <c r="M2957" s="1"/>
      <c r="N2957" s="1"/>
      <c r="O2957" s="1"/>
      <c r="P2957" s="1"/>
      <c r="Q2957" s="1"/>
      <c r="R2957" s="1"/>
    </row>
    <row r="2958" spans="2:18">
      <c r="B2958" s="1" t="s">
        <v>637</v>
      </c>
      <c r="C2958" s="2" t="s">
        <v>5</v>
      </c>
      <c r="D2958" s="2" t="s">
        <v>635</v>
      </c>
      <c r="E2958" s="3">
        <v>10</v>
      </c>
      <c r="F2958" s="3">
        <v>2</v>
      </c>
      <c r="G2958" s="4">
        <v>44930</v>
      </c>
      <c r="M2958" s="1"/>
      <c r="N2958" s="1"/>
      <c r="O2958" s="1"/>
      <c r="P2958" s="1"/>
      <c r="Q2958" s="1"/>
      <c r="R2958" s="1"/>
    </row>
    <row r="2959" spans="2:18">
      <c r="B2959" s="1" t="s">
        <v>625</v>
      </c>
      <c r="C2959" s="2" t="s">
        <v>9</v>
      </c>
      <c r="D2959" s="2" t="s">
        <v>617</v>
      </c>
      <c r="E2959" s="3">
        <v>132</v>
      </c>
      <c r="F2959" s="3">
        <f>72/10</f>
        <v>7.2</v>
      </c>
      <c r="G2959" s="4">
        <v>44215</v>
      </c>
      <c r="M2959" s="1"/>
      <c r="N2959" s="1"/>
      <c r="O2959" s="1"/>
      <c r="P2959" s="1"/>
      <c r="Q2959" s="1"/>
      <c r="R2959" s="1"/>
    </row>
    <row r="2960" spans="2:18">
      <c r="B2960" s="1" t="s">
        <v>624</v>
      </c>
      <c r="C2960" s="2" t="s">
        <v>9</v>
      </c>
      <c r="D2960" s="2" t="s">
        <v>617</v>
      </c>
      <c r="E2960" s="3">
        <v>132</v>
      </c>
      <c r="F2960" s="3">
        <f>72/10</f>
        <v>7.2</v>
      </c>
      <c r="G2960" s="4">
        <v>44215</v>
      </c>
      <c r="M2960" s="1"/>
      <c r="N2960" s="1"/>
      <c r="O2960" s="1"/>
      <c r="P2960" s="1"/>
      <c r="Q2960" s="1"/>
      <c r="R2960" s="1"/>
    </row>
    <row r="2961" spans="2:18">
      <c r="B2961" s="1" t="s">
        <v>623</v>
      </c>
      <c r="C2961" s="2" t="s">
        <v>9</v>
      </c>
      <c r="D2961" s="2" t="s">
        <v>617</v>
      </c>
      <c r="E2961" s="3">
        <v>132</v>
      </c>
      <c r="F2961" s="3">
        <f>72/10</f>
        <v>7.2</v>
      </c>
      <c r="G2961" s="4">
        <v>44215</v>
      </c>
      <c r="M2961" s="1"/>
      <c r="N2961" s="1"/>
      <c r="O2961" s="1"/>
      <c r="P2961" s="1"/>
      <c r="Q2961" s="1"/>
      <c r="R2961" s="1"/>
    </row>
    <row r="2962" spans="2:18">
      <c r="B2962" s="1" t="s">
        <v>621</v>
      </c>
      <c r="C2962" s="2" t="s">
        <v>9</v>
      </c>
      <c r="D2962" s="2" t="s">
        <v>617</v>
      </c>
      <c r="E2962" s="3">
        <v>132</v>
      </c>
      <c r="F2962" s="3">
        <f>72/10</f>
        <v>7.2</v>
      </c>
      <c r="G2962" s="4">
        <v>44215</v>
      </c>
      <c r="M2962" s="1"/>
      <c r="N2962" s="1"/>
      <c r="O2962" s="1"/>
      <c r="P2962" s="1"/>
      <c r="Q2962" s="1"/>
      <c r="R2962" s="1"/>
    </row>
    <row r="2963" spans="2:18">
      <c r="B2963" s="1" t="s">
        <v>618</v>
      </c>
      <c r="C2963" s="2" t="s">
        <v>18</v>
      </c>
      <c r="D2963" s="2" t="s">
        <v>617</v>
      </c>
      <c r="E2963" s="3">
        <v>48</v>
      </c>
      <c r="F2963" s="3">
        <v>4</v>
      </c>
      <c r="G2963" s="4">
        <v>43888</v>
      </c>
      <c r="M2963" s="1"/>
      <c r="N2963" s="1"/>
      <c r="O2963" s="1"/>
      <c r="P2963" s="1"/>
      <c r="Q2963" s="1"/>
      <c r="R2963" s="1"/>
    </row>
    <row r="2964" spans="2:18">
      <c r="B2964" s="1" t="s">
        <v>613</v>
      </c>
      <c r="C2964" s="2" t="s">
        <v>5</v>
      </c>
      <c r="D2964" s="2" t="s">
        <v>610</v>
      </c>
      <c r="E2964" s="3">
        <v>26</v>
      </c>
      <c r="F2964" s="3">
        <v>4</v>
      </c>
      <c r="G2964" s="4">
        <v>43809</v>
      </c>
      <c r="M2964" s="1"/>
      <c r="N2964" s="1"/>
      <c r="O2964" s="1"/>
      <c r="P2964" s="1"/>
      <c r="Q2964" s="1"/>
      <c r="R2964" s="1"/>
    </row>
    <row r="2965" spans="2:18">
      <c r="B2965" s="1" t="s">
        <v>612</v>
      </c>
      <c r="C2965" s="2" t="s">
        <v>5</v>
      </c>
      <c r="D2965" s="2" t="s">
        <v>610</v>
      </c>
      <c r="E2965" s="3">
        <v>8</v>
      </c>
      <c r="F2965" s="3">
        <v>1</v>
      </c>
      <c r="G2965" s="4">
        <v>43249</v>
      </c>
      <c r="M2965" s="1"/>
      <c r="N2965" s="1"/>
      <c r="O2965" s="1"/>
      <c r="P2965" s="1"/>
      <c r="Q2965" s="1"/>
      <c r="R2965" s="1"/>
    </row>
    <row r="2966" spans="2:18">
      <c r="B2966" s="1" t="s">
        <v>611</v>
      </c>
      <c r="C2966" s="2" t="s">
        <v>5</v>
      </c>
      <c r="D2966" s="2" t="s">
        <v>610</v>
      </c>
      <c r="E2966" s="3">
        <v>8</v>
      </c>
      <c r="F2966" s="3">
        <v>1</v>
      </c>
      <c r="G2966" s="4">
        <v>43249</v>
      </c>
      <c r="M2966" s="1"/>
      <c r="N2966" s="1"/>
      <c r="O2966" s="1"/>
      <c r="P2966" s="1"/>
      <c r="Q2966" s="1"/>
      <c r="R2966" s="1"/>
    </row>
    <row r="2967" spans="2:18">
      <c r="B2967" s="1" t="s">
        <v>609</v>
      </c>
      <c r="C2967" s="2" t="s">
        <v>4</v>
      </c>
      <c r="D2967" s="2" t="s">
        <v>607</v>
      </c>
      <c r="E2967" s="3">
        <v>6</v>
      </c>
      <c r="F2967" s="3">
        <v>1</v>
      </c>
      <c r="G2967" s="4">
        <v>44781</v>
      </c>
      <c r="M2967" s="1"/>
      <c r="N2967" s="1"/>
      <c r="O2967" s="1"/>
      <c r="P2967" s="1"/>
      <c r="Q2967" s="1"/>
      <c r="R2967" s="1"/>
    </row>
    <row r="2968" spans="2:18">
      <c r="B2968" s="1" t="s">
        <v>608</v>
      </c>
      <c r="C2968" s="2" t="s">
        <v>285</v>
      </c>
      <c r="D2968" s="2" t="s">
        <v>607</v>
      </c>
      <c r="E2968" s="3">
        <v>1</v>
      </c>
      <c r="F2968" s="3">
        <v>0.5</v>
      </c>
      <c r="G2968" s="4">
        <v>44415</v>
      </c>
      <c r="M2968" s="1"/>
      <c r="N2968" s="1"/>
      <c r="O2968" s="1"/>
      <c r="P2968" s="1"/>
      <c r="Q2968" s="1"/>
      <c r="R2968" s="1"/>
    </row>
    <row r="2969" spans="2:18">
      <c r="B2969" s="1" t="s">
        <v>605</v>
      </c>
      <c r="C2969" s="2" t="s">
        <v>4</v>
      </c>
      <c r="D2969" s="2" t="s">
        <v>604</v>
      </c>
      <c r="E2969" s="3">
        <v>6.8</v>
      </c>
      <c r="F2969" s="3">
        <v>1.5</v>
      </c>
      <c r="G2969" s="4">
        <v>44964</v>
      </c>
      <c r="M2969" s="1"/>
      <c r="N2969" s="1"/>
      <c r="O2969" s="1"/>
      <c r="P2969" s="1"/>
      <c r="Q2969" s="1"/>
      <c r="R2969" s="1"/>
    </row>
    <row r="2970" spans="2:18">
      <c r="B2970" s="1" t="s">
        <v>603</v>
      </c>
      <c r="C2970" s="2" t="s">
        <v>4</v>
      </c>
      <c r="D2970" s="2" t="s">
        <v>602</v>
      </c>
      <c r="E2970" s="3">
        <v>6</v>
      </c>
      <c r="F2970" s="3">
        <v>6</v>
      </c>
      <c r="G2970" s="4">
        <v>44852</v>
      </c>
      <c r="M2970" s="1"/>
      <c r="N2970" s="1"/>
      <c r="O2970" s="1"/>
      <c r="P2970" s="1"/>
      <c r="Q2970" s="1"/>
      <c r="R2970" s="1"/>
    </row>
    <row r="2971" spans="2:18">
      <c r="B2971" s="1" t="s">
        <v>601</v>
      </c>
      <c r="C2971" s="2" t="s">
        <v>5</v>
      </c>
      <c r="D2971" s="2" t="s">
        <v>595</v>
      </c>
      <c r="E2971" s="3">
        <v>20</v>
      </c>
      <c r="F2971" s="3">
        <v>5</v>
      </c>
      <c r="G2971" s="4">
        <v>44801</v>
      </c>
      <c r="M2971" s="1"/>
      <c r="N2971" s="1"/>
      <c r="O2971" s="1"/>
      <c r="P2971" s="1"/>
      <c r="Q2971" s="1"/>
      <c r="R2971" s="1"/>
    </row>
    <row r="2972" spans="2:18">
      <c r="B2972" s="1" t="s">
        <v>600</v>
      </c>
      <c r="C2972" s="2" t="s">
        <v>5</v>
      </c>
      <c r="D2972" s="2" t="s">
        <v>595</v>
      </c>
      <c r="E2972" s="3">
        <v>20</v>
      </c>
      <c r="F2972" s="3">
        <f>15/6</f>
        <v>2.5</v>
      </c>
      <c r="G2972" s="4">
        <v>44801</v>
      </c>
      <c r="M2972" s="1"/>
      <c r="N2972" s="1"/>
      <c r="O2972" s="1"/>
      <c r="P2972" s="1"/>
      <c r="Q2972" s="1"/>
      <c r="R2972" s="1"/>
    </row>
    <row r="2973" spans="2:18">
      <c r="B2973" s="1" t="s">
        <v>599</v>
      </c>
      <c r="C2973" s="2" t="s">
        <v>5</v>
      </c>
      <c r="D2973" s="2" t="s">
        <v>595</v>
      </c>
      <c r="E2973" s="3">
        <v>20</v>
      </c>
      <c r="F2973" s="3">
        <f>15/6</f>
        <v>2.5</v>
      </c>
      <c r="G2973" s="4">
        <v>44801</v>
      </c>
      <c r="M2973" s="1"/>
      <c r="N2973" s="1"/>
      <c r="O2973" s="1"/>
      <c r="P2973" s="1"/>
      <c r="Q2973" s="1"/>
      <c r="R2973" s="1"/>
    </row>
    <row r="2974" spans="2:18">
      <c r="B2974" s="1" t="s">
        <v>598</v>
      </c>
      <c r="C2974" s="2" t="s">
        <v>5</v>
      </c>
      <c r="D2974" s="2" t="s">
        <v>595</v>
      </c>
      <c r="E2974" s="3">
        <v>20</v>
      </c>
      <c r="F2974" s="3">
        <f>15/6</f>
        <v>2.5</v>
      </c>
      <c r="G2974" s="4">
        <v>44801</v>
      </c>
      <c r="M2974" s="1"/>
      <c r="N2974" s="1"/>
      <c r="O2974" s="1"/>
      <c r="P2974" s="1"/>
      <c r="Q2974" s="1"/>
      <c r="R2974" s="1"/>
    </row>
    <row r="2975" spans="2:18">
      <c r="B2975" s="1" t="s">
        <v>597</v>
      </c>
      <c r="C2975" s="2" t="s">
        <v>5</v>
      </c>
      <c r="D2975" s="2" t="s">
        <v>595</v>
      </c>
      <c r="E2975" s="3">
        <v>20</v>
      </c>
      <c r="F2975" s="3">
        <f>15/6</f>
        <v>2.5</v>
      </c>
      <c r="G2975" s="4">
        <v>44801</v>
      </c>
      <c r="M2975" s="1"/>
      <c r="N2975" s="1"/>
      <c r="O2975" s="1"/>
      <c r="P2975" s="1"/>
      <c r="Q2975" s="1"/>
      <c r="R2975" s="1"/>
    </row>
    <row r="2976" spans="2:18">
      <c r="B2976" s="1" t="s">
        <v>596</v>
      </c>
      <c r="C2976" s="2" t="s">
        <v>5</v>
      </c>
      <c r="D2976" s="2" t="s">
        <v>595</v>
      </c>
      <c r="E2976" s="3">
        <v>20</v>
      </c>
      <c r="F2976" s="3">
        <f>15/6</f>
        <v>2.5</v>
      </c>
      <c r="G2976" s="4">
        <v>44801</v>
      </c>
      <c r="M2976" s="1"/>
      <c r="N2976" s="1"/>
      <c r="O2976" s="1"/>
      <c r="P2976" s="1"/>
      <c r="Q2976" s="1"/>
      <c r="R2976" s="1"/>
    </row>
    <row r="2977" spans="2:18">
      <c r="B2977" s="1" t="s">
        <v>594</v>
      </c>
      <c r="C2977" s="2" t="s">
        <v>285</v>
      </c>
      <c r="D2977" s="2" t="s">
        <v>593</v>
      </c>
      <c r="E2977" s="3">
        <v>2</v>
      </c>
      <c r="F2977" s="3">
        <v>1</v>
      </c>
      <c r="G2977" s="4">
        <v>44223</v>
      </c>
      <c r="M2977" s="1"/>
      <c r="N2977" s="1"/>
      <c r="O2977" s="1"/>
      <c r="P2977" s="1"/>
      <c r="Q2977" s="1"/>
      <c r="R2977" s="1"/>
    </row>
    <row r="2978" spans="2:18">
      <c r="B2978" s="1" t="s">
        <v>592</v>
      </c>
      <c r="C2978" s="2" t="s">
        <v>4</v>
      </c>
      <c r="D2978" s="2" t="s">
        <v>591</v>
      </c>
      <c r="E2978" s="3">
        <v>8</v>
      </c>
      <c r="F2978" s="3">
        <v>8</v>
      </c>
      <c r="G2978" s="4">
        <v>44711</v>
      </c>
      <c r="M2978" s="1"/>
      <c r="N2978" s="1"/>
      <c r="O2978" s="1"/>
      <c r="P2978" s="1"/>
      <c r="Q2978" s="1"/>
      <c r="R2978" s="1"/>
    </row>
    <row r="2979" spans="2:18">
      <c r="B2979" s="1" t="s">
        <v>590</v>
      </c>
      <c r="C2979" s="2" t="s">
        <v>4</v>
      </c>
      <c r="D2979" s="2" t="s">
        <v>584</v>
      </c>
      <c r="E2979" s="3">
        <v>10</v>
      </c>
      <c r="F2979" s="3">
        <v>1</v>
      </c>
      <c r="G2979" s="4">
        <v>44887</v>
      </c>
      <c r="M2979" s="1"/>
      <c r="N2979" s="1"/>
      <c r="O2979" s="1"/>
      <c r="P2979" s="1"/>
      <c r="Q2979" s="1"/>
      <c r="R2979" s="1"/>
    </row>
    <row r="2980" spans="2:18">
      <c r="B2980" s="1" t="s">
        <v>589</v>
      </c>
      <c r="C2980" s="2" t="s">
        <v>4</v>
      </c>
      <c r="D2980" s="2" t="s">
        <v>584</v>
      </c>
      <c r="E2980" s="3">
        <v>10</v>
      </c>
      <c r="F2980" s="3">
        <v>1</v>
      </c>
      <c r="G2980" s="4">
        <v>44887</v>
      </c>
      <c r="M2980" s="1"/>
      <c r="N2980" s="1"/>
      <c r="O2980" s="1"/>
      <c r="P2980" s="1"/>
      <c r="Q2980" s="1"/>
      <c r="R2980" s="1"/>
    </row>
    <row r="2981" spans="2:18">
      <c r="B2981" s="1" t="s">
        <v>587</v>
      </c>
      <c r="C2981" s="2" t="s">
        <v>4</v>
      </c>
      <c r="D2981" s="2" t="s">
        <v>584</v>
      </c>
      <c r="E2981" s="3">
        <v>10</v>
      </c>
      <c r="F2981" s="3">
        <v>1</v>
      </c>
      <c r="G2981" s="4">
        <v>44887</v>
      </c>
      <c r="M2981" s="1"/>
      <c r="N2981" s="1"/>
      <c r="O2981" s="1"/>
      <c r="P2981" s="1"/>
      <c r="Q2981" s="1"/>
      <c r="R2981" s="1"/>
    </row>
    <row r="2982" spans="2:18">
      <c r="B2982" s="1" t="s">
        <v>586</v>
      </c>
      <c r="C2982" s="2" t="s">
        <v>4</v>
      </c>
      <c r="D2982" s="2" t="s">
        <v>584</v>
      </c>
      <c r="E2982" s="3">
        <v>10</v>
      </c>
      <c r="F2982" s="3">
        <v>1</v>
      </c>
      <c r="G2982" s="4">
        <v>44887</v>
      </c>
      <c r="M2982" s="1"/>
      <c r="N2982" s="1"/>
      <c r="O2982" s="1"/>
      <c r="P2982" s="1"/>
      <c r="Q2982" s="1"/>
      <c r="R2982" s="1"/>
    </row>
    <row r="2983" spans="2:18">
      <c r="B2983" s="1" t="s">
        <v>585</v>
      </c>
      <c r="C2983" s="2" t="s">
        <v>4</v>
      </c>
      <c r="D2983" s="2" t="s">
        <v>584</v>
      </c>
      <c r="E2983" s="3">
        <v>10</v>
      </c>
      <c r="F2983" s="3">
        <v>1</v>
      </c>
      <c r="G2983" s="4">
        <v>44887</v>
      </c>
      <c r="M2983" s="1"/>
      <c r="N2983" s="1"/>
      <c r="O2983" s="1"/>
      <c r="P2983" s="1"/>
      <c r="Q2983" s="1"/>
      <c r="R2983" s="1"/>
    </row>
    <row r="2984" spans="2:18">
      <c r="B2984" s="1" t="s">
        <v>583</v>
      </c>
      <c r="C2984" s="2" t="s">
        <v>4</v>
      </c>
      <c r="D2984" s="2" t="s">
        <v>576</v>
      </c>
      <c r="E2984" s="3">
        <v>9</v>
      </c>
      <c r="F2984" s="3">
        <v>2</v>
      </c>
      <c r="G2984" s="4">
        <v>44859</v>
      </c>
      <c r="M2984" s="1"/>
      <c r="N2984" s="1"/>
      <c r="O2984" s="1"/>
      <c r="P2984" s="1"/>
      <c r="Q2984" s="1"/>
      <c r="R2984" s="1"/>
    </row>
    <row r="2985" spans="2:18">
      <c r="B2985" s="1" t="s">
        <v>582</v>
      </c>
      <c r="C2985" s="2" t="s">
        <v>4</v>
      </c>
      <c r="D2985" s="2" t="s">
        <v>576</v>
      </c>
      <c r="E2985" s="3">
        <v>9</v>
      </c>
      <c r="F2985" s="3">
        <f t="shared" ref="F2985:F2990" si="2">5/6</f>
        <v>0.83333333333333337</v>
      </c>
      <c r="G2985" s="4">
        <v>44859</v>
      </c>
      <c r="M2985" s="1"/>
      <c r="N2985" s="1"/>
      <c r="O2985" s="1"/>
      <c r="P2985" s="1"/>
      <c r="Q2985" s="1"/>
      <c r="R2985" s="1"/>
    </row>
    <row r="2986" spans="2:18">
      <c r="B2986" s="1" t="s">
        <v>581</v>
      </c>
      <c r="C2986" s="2" t="s">
        <v>4</v>
      </c>
      <c r="D2986" s="2" t="s">
        <v>576</v>
      </c>
      <c r="E2986" s="3">
        <v>9</v>
      </c>
      <c r="F2986" s="3">
        <f t="shared" si="2"/>
        <v>0.83333333333333337</v>
      </c>
      <c r="G2986" s="4">
        <v>44859</v>
      </c>
      <c r="M2986" s="1"/>
      <c r="N2986" s="1"/>
      <c r="O2986" s="1"/>
      <c r="P2986" s="1"/>
      <c r="Q2986" s="1"/>
      <c r="R2986" s="1"/>
    </row>
    <row r="2987" spans="2:18">
      <c r="B2987" s="1" t="s">
        <v>580</v>
      </c>
      <c r="C2987" s="2" t="s">
        <v>4</v>
      </c>
      <c r="D2987" s="2" t="s">
        <v>576</v>
      </c>
      <c r="E2987" s="3">
        <v>9</v>
      </c>
      <c r="F2987" s="3">
        <f t="shared" si="2"/>
        <v>0.83333333333333337</v>
      </c>
      <c r="G2987" s="4">
        <v>44859</v>
      </c>
      <c r="M2987" s="1"/>
      <c r="N2987" s="1"/>
      <c r="O2987" s="1"/>
      <c r="P2987" s="1"/>
      <c r="Q2987" s="1"/>
      <c r="R2987" s="1"/>
    </row>
    <row r="2988" spans="2:18">
      <c r="B2988" s="1" t="s">
        <v>579</v>
      </c>
      <c r="C2988" s="2" t="s">
        <v>4</v>
      </c>
      <c r="D2988" s="2" t="s">
        <v>576</v>
      </c>
      <c r="E2988" s="3">
        <v>9</v>
      </c>
      <c r="F2988" s="3">
        <f t="shared" si="2"/>
        <v>0.83333333333333337</v>
      </c>
      <c r="G2988" s="4">
        <v>44859</v>
      </c>
      <c r="M2988" s="1"/>
      <c r="N2988" s="1"/>
      <c r="O2988" s="1"/>
      <c r="P2988" s="1"/>
      <c r="Q2988" s="1"/>
      <c r="R2988" s="1"/>
    </row>
    <row r="2989" spans="2:18">
      <c r="B2989" s="1" t="s">
        <v>578</v>
      </c>
      <c r="C2989" s="2" t="s">
        <v>4</v>
      </c>
      <c r="D2989" s="2" t="s">
        <v>576</v>
      </c>
      <c r="E2989" s="3">
        <v>9</v>
      </c>
      <c r="F2989" s="3">
        <f t="shared" si="2"/>
        <v>0.83333333333333337</v>
      </c>
      <c r="G2989" s="4">
        <v>44859</v>
      </c>
      <c r="M2989" s="1"/>
      <c r="N2989" s="1"/>
      <c r="O2989" s="1"/>
      <c r="P2989" s="1"/>
      <c r="Q2989" s="1"/>
      <c r="R2989" s="1"/>
    </row>
    <row r="2990" spans="2:18">
      <c r="B2990" s="1" t="s">
        <v>577</v>
      </c>
      <c r="C2990" s="2" t="s">
        <v>4</v>
      </c>
      <c r="D2990" s="2" t="s">
        <v>576</v>
      </c>
      <c r="E2990" s="3">
        <v>9</v>
      </c>
      <c r="F2990" s="3">
        <f t="shared" si="2"/>
        <v>0.83333333333333337</v>
      </c>
      <c r="G2990" s="4">
        <v>44859</v>
      </c>
      <c r="M2990" s="1"/>
      <c r="N2990" s="1"/>
      <c r="O2990" s="1"/>
      <c r="P2990" s="1"/>
      <c r="Q2990" s="1"/>
      <c r="R2990" s="1"/>
    </row>
    <row r="2991" spans="2:18">
      <c r="B2991" s="1" t="s">
        <v>575</v>
      </c>
      <c r="C2991" s="2" t="s">
        <v>4</v>
      </c>
      <c r="D2991" s="2" t="s">
        <v>573</v>
      </c>
      <c r="E2991" s="3">
        <v>5.6</v>
      </c>
      <c r="F2991" s="3">
        <f>E2991/3</f>
        <v>1.8666666666666665</v>
      </c>
      <c r="G2991" s="4">
        <v>45048</v>
      </c>
      <c r="M2991" s="1"/>
      <c r="N2991" s="1"/>
      <c r="O2991" s="1"/>
      <c r="P2991" s="1"/>
      <c r="Q2991" s="1"/>
      <c r="R2991" s="1"/>
    </row>
    <row r="2992" spans="2:18">
      <c r="B2992" s="1" t="s">
        <v>574</v>
      </c>
      <c r="C2992" s="2" t="s">
        <v>4</v>
      </c>
      <c r="D2992" s="2" t="s">
        <v>573</v>
      </c>
      <c r="E2992" s="3">
        <v>5.6</v>
      </c>
      <c r="F2992" s="3">
        <f>E2992/3</f>
        <v>1.8666666666666665</v>
      </c>
      <c r="G2992" s="4">
        <v>45048</v>
      </c>
      <c r="M2992" s="1"/>
      <c r="N2992" s="1"/>
      <c r="O2992" s="1"/>
      <c r="P2992" s="1"/>
      <c r="Q2992" s="1"/>
      <c r="R2992" s="1"/>
    </row>
    <row r="2993" spans="2:18">
      <c r="B2993" s="1" t="s">
        <v>572</v>
      </c>
      <c r="C2993" s="2" t="s">
        <v>5</v>
      </c>
      <c r="D2993" s="2" t="s">
        <v>570</v>
      </c>
      <c r="E2993" s="3">
        <v>20</v>
      </c>
      <c r="F2993" s="3">
        <v>10</v>
      </c>
      <c r="G2993" s="4">
        <v>44671</v>
      </c>
      <c r="M2993" s="1"/>
      <c r="N2993" s="1"/>
      <c r="O2993" s="1"/>
      <c r="P2993" s="1"/>
      <c r="Q2993" s="1"/>
      <c r="R2993" s="1"/>
    </row>
    <row r="2994" spans="2:18">
      <c r="B2994" s="1" t="s">
        <v>571</v>
      </c>
      <c r="C2994" s="2" t="s">
        <v>5</v>
      </c>
      <c r="D2994" s="2" t="s">
        <v>570</v>
      </c>
      <c r="E2994" s="3">
        <v>20</v>
      </c>
      <c r="F2994" s="3">
        <v>5</v>
      </c>
      <c r="G2994" s="4">
        <v>44671</v>
      </c>
      <c r="M2994" s="1"/>
      <c r="N2994" s="1"/>
      <c r="O2994" s="1"/>
      <c r="P2994" s="1"/>
      <c r="Q2994" s="1"/>
      <c r="R2994" s="1"/>
    </row>
    <row r="2995" spans="2:18">
      <c r="B2995" s="1" t="s">
        <v>566</v>
      </c>
      <c r="C2995" s="2" t="s">
        <v>7</v>
      </c>
      <c r="D2995" s="2" t="s">
        <v>558</v>
      </c>
      <c r="E2995" s="3">
        <v>20</v>
      </c>
      <c r="F2995" s="3">
        <f>12/6</f>
        <v>2</v>
      </c>
      <c r="G2995" s="4">
        <v>45077</v>
      </c>
      <c r="M2995" s="1"/>
      <c r="N2995" s="1"/>
      <c r="O2995" s="1"/>
      <c r="P2995" s="1"/>
      <c r="Q2995" s="1"/>
      <c r="R2995" s="1"/>
    </row>
    <row r="2996" spans="2:18">
      <c r="B2996" s="1" t="s">
        <v>563</v>
      </c>
      <c r="C2996" s="2" t="s">
        <v>7</v>
      </c>
      <c r="D2996" s="2" t="s">
        <v>558</v>
      </c>
      <c r="E2996" s="3">
        <v>20</v>
      </c>
      <c r="F2996" s="3">
        <f>12/6</f>
        <v>2</v>
      </c>
      <c r="G2996" s="4">
        <v>45077</v>
      </c>
      <c r="M2996" s="1"/>
      <c r="N2996" s="1"/>
      <c r="O2996" s="1"/>
      <c r="P2996" s="1"/>
      <c r="Q2996" s="1"/>
      <c r="R2996" s="1"/>
    </row>
    <row r="2997" spans="2:18">
      <c r="B2997" s="1" t="s">
        <v>559</v>
      </c>
      <c r="C2997" s="2" t="s">
        <v>285</v>
      </c>
      <c r="D2997" s="2" t="s">
        <v>558</v>
      </c>
      <c r="E2997" s="3">
        <v>0.5</v>
      </c>
      <c r="F2997" s="3">
        <v>0.3</v>
      </c>
      <c r="G2997" s="4">
        <v>43262</v>
      </c>
      <c r="M2997" s="1"/>
      <c r="N2997" s="1"/>
      <c r="O2997" s="1"/>
      <c r="P2997" s="1"/>
      <c r="Q2997" s="1"/>
      <c r="R2997" s="1"/>
    </row>
    <row r="2998" spans="2:18">
      <c r="B2998" s="1" t="s">
        <v>557</v>
      </c>
      <c r="C2998" s="2" t="s">
        <v>5</v>
      </c>
      <c r="D2998" s="2" t="s">
        <v>556</v>
      </c>
      <c r="E2998" s="3">
        <v>58</v>
      </c>
      <c r="F2998" s="3">
        <v>25</v>
      </c>
      <c r="G2998" s="4">
        <v>45104</v>
      </c>
      <c r="M2998" s="1"/>
      <c r="N2998" s="1"/>
      <c r="O2998" s="1"/>
      <c r="P2998" s="1"/>
      <c r="Q2998" s="1"/>
      <c r="R2998" s="1"/>
    </row>
    <row r="2999" spans="2:18">
      <c r="B2999" s="1" t="s">
        <v>555</v>
      </c>
      <c r="C2999" s="2" t="s">
        <v>7</v>
      </c>
      <c r="D2999" s="2" t="s">
        <v>552</v>
      </c>
      <c r="E2999" s="3">
        <v>40</v>
      </c>
      <c r="F2999" s="3">
        <v>15</v>
      </c>
      <c r="G2999" s="4">
        <v>44811</v>
      </c>
      <c r="M2999" s="1"/>
      <c r="N2999" s="1"/>
      <c r="O2999" s="1"/>
      <c r="P2999" s="1"/>
      <c r="Q2999" s="1"/>
      <c r="R2999" s="1"/>
    </row>
    <row r="3000" spans="2:18">
      <c r="B3000" s="1" t="s">
        <v>550</v>
      </c>
      <c r="C3000" s="2" t="s">
        <v>18</v>
      </c>
      <c r="D3000" s="2" t="s">
        <v>543</v>
      </c>
      <c r="E3000" s="3">
        <v>45</v>
      </c>
      <c r="F3000" s="3">
        <v>15</v>
      </c>
      <c r="G3000" s="4">
        <v>44159</v>
      </c>
      <c r="M3000" s="1"/>
      <c r="N3000" s="1"/>
      <c r="O3000" s="1"/>
      <c r="P3000" s="1"/>
      <c r="Q3000" s="1"/>
      <c r="R3000" s="1"/>
    </row>
    <row r="3001" spans="2:18">
      <c r="B3001" s="1" t="s">
        <v>549</v>
      </c>
      <c r="C3001" s="2" t="s">
        <v>18</v>
      </c>
      <c r="D3001" s="2" t="s">
        <v>543</v>
      </c>
      <c r="E3001" s="3">
        <v>45</v>
      </c>
      <c r="F3001" s="3">
        <v>5</v>
      </c>
      <c r="G3001" s="4">
        <v>44159</v>
      </c>
      <c r="M3001" s="1"/>
      <c r="N3001" s="1"/>
      <c r="O3001" s="1"/>
      <c r="P3001" s="1"/>
      <c r="Q3001" s="1"/>
      <c r="R3001" s="1"/>
    </row>
    <row r="3002" spans="2:18">
      <c r="B3002" s="1" t="s">
        <v>548</v>
      </c>
      <c r="C3002" s="2" t="s">
        <v>18</v>
      </c>
      <c r="D3002" s="2" t="s">
        <v>543</v>
      </c>
      <c r="E3002" s="3">
        <v>45</v>
      </c>
      <c r="F3002" s="3">
        <v>5</v>
      </c>
      <c r="G3002" s="4">
        <v>44159</v>
      </c>
      <c r="M3002" s="1"/>
      <c r="N3002" s="1"/>
      <c r="O3002" s="1"/>
      <c r="P3002" s="1"/>
      <c r="Q3002" s="1"/>
      <c r="R3002" s="1"/>
    </row>
    <row r="3003" spans="2:18">
      <c r="B3003" s="1" t="s">
        <v>547</v>
      </c>
      <c r="C3003" s="2" t="s">
        <v>18</v>
      </c>
      <c r="D3003" s="2" t="s">
        <v>543</v>
      </c>
      <c r="E3003" s="3">
        <v>45</v>
      </c>
      <c r="F3003" s="3">
        <v>5</v>
      </c>
      <c r="G3003" s="4">
        <v>44159</v>
      </c>
      <c r="M3003" s="1"/>
      <c r="N3003" s="1"/>
      <c r="O3003" s="1"/>
      <c r="P3003" s="1"/>
      <c r="Q3003" s="1"/>
      <c r="R3003" s="1"/>
    </row>
    <row r="3004" spans="2:18">
      <c r="B3004" s="1" t="s">
        <v>546</v>
      </c>
      <c r="C3004" s="2" t="s">
        <v>18</v>
      </c>
      <c r="D3004" s="2" t="s">
        <v>543</v>
      </c>
      <c r="E3004" s="3">
        <v>45</v>
      </c>
      <c r="F3004" s="3">
        <v>5</v>
      </c>
      <c r="G3004" s="4">
        <v>44159</v>
      </c>
      <c r="M3004" s="1"/>
      <c r="N3004" s="1"/>
      <c r="O3004" s="1"/>
      <c r="P3004" s="1"/>
      <c r="Q3004" s="1"/>
      <c r="R3004" s="1"/>
    </row>
    <row r="3005" spans="2:18">
      <c r="B3005" s="1" t="s">
        <v>545</v>
      </c>
      <c r="C3005" s="2" t="s">
        <v>18</v>
      </c>
      <c r="D3005" s="2" t="s">
        <v>543</v>
      </c>
      <c r="E3005" s="3">
        <v>45</v>
      </c>
      <c r="F3005" s="3">
        <v>5</v>
      </c>
      <c r="G3005" s="4">
        <v>44159</v>
      </c>
      <c r="M3005" s="1"/>
      <c r="N3005" s="1"/>
      <c r="O3005" s="1"/>
      <c r="P3005" s="1"/>
      <c r="Q3005" s="1"/>
      <c r="R3005" s="1"/>
    </row>
    <row r="3006" spans="2:18">
      <c r="B3006" s="1" t="s">
        <v>544</v>
      </c>
      <c r="C3006" s="2" t="s">
        <v>18</v>
      </c>
      <c r="D3006" s="2" t="s">
        <v>543</v>
      </c>
      <c r="E3006" s="3">
        <v>45</v>
      </c>
      <c r="F3006" s="3">
        <v>5</v>
      </c>
      <c r="G3006" s="4">
        <v>44159</v>
      </c>
      <c r="M3006" s="1"/>
      <c r="N3006" s="1"/>
      <c r="O3006" s="1"/>
      <c r="P3006" s="1"/>
      <c r="Q3006" s="1"/>
      <c r="R3006" s="1"/>
    </row>
    <row r="3007" spans="2:18">
      <c r="B3007" s="1" t="s">
        <v>542</v>
      </c>
      <c r="C3007" s="2" t="s">
        <v>8</v>
      </c>
      <c r="D3007" s="2" t="s">
        <v>530</v>
      </c>
      <c r="E3007" s="3">
        <v>100</v>
      </c>
      <c r="F3007" s="3">
        <v>25</v>
      </c>
      <c r="G3007" s="4">
        <v>44419</v>
      </c>
      <c r="M3007" s="1"/>
      <c r="N3007" s="1"/>
      <c r="O3007" s="1"/>
      <c r="P3007" s="1"/>
      <c r="Q3007" s="1"/>
      <c r="R3007" s="1"/>
    </row>
    <row r="3008" spans="2:18">
      <c r="B3008" s="1" t="s">
        <v>541</v>
      </c>
      <c r="C3008" s="2" t="s">
        <v>8</v>
      </c>
      <c r="D3008" s="2" t="s">
        <v>530</v>
      </c>
      <c r="E3008" s="3">
        <v>100</v>
      </c>
      <c r="F3008" s="3">
        <f>50/4</f>
        <v>12.5</v>
      </c>
      <c r="G3008" s="4">
        <v>44419</v>
      </c>
      <c r="M3008" s="1"/>
      <c r="N3008" s="1"/>
      <c r="O3008" s="1"/>
      <c r="P3008" s="1"/>
      <c r="Q3008" s="1"/>
      <c r="R3008" s="1"/>
    </row>
    <row r="3009" spans="2:18">
      <c r="B3009" s="1" t="s">
        <v>540</v>
      </c>
      <c r="C3009" s="2" t="s">
        <v>18</v>
      </c>
      <c r="D3009" s="2" t="s">
        <v>530</v>
      </c>
      <c r="E3009" s="3">
        <v>60</v>
      </c>
      <c r="F3009" s="3">
        <v>5</v>
      </c>
      <c r="G3009" s="4">
        <v>43606</v>
      </c>
      <c r="M3009" s="1"/>
      <c r="N3009" s="1"/>
      <c r="O3009" s="1"/>
      <c r="P3009" s="1"/>
      <c r="Q3009" s="1"/>
      <c r="R3009" s="1"/>
    </row>
    <row r="3010" spans="2:18">
      <c r="B3010" s="1" t="s">
        <v>539</v>
      </c>
      <c r="C3010" s="2" t="s">
        <v>18</v>
      </c>
      <c r="D3010" s="2" t="s">
        <v>530</v>
      </c>
      <c r="E3010" s="3">
        <v>60</v>
      </c>
      <c r="F3010" s="3">
        <v>5</v>
      </c>
      <c r="G3010" s="4">
        <v>43606</v>
      </c>
      <c r="M3010" s="1"/>
      <c r="N3010" s="1"/>
      <c r="O3010" s="1"/>
      <c r="P3010" s="1"/>
      <c r="Q3010" s="1"/>
      <c r="R3010" s="1"/>
    </row>
    <row r="3011" spans="2:18">
      <c r="B3011" s="1" t="s">
        <v>538</v>
      </c>
      <c r="C3011" s="2" t="s">
        <v>5</v>
      </c>
      <c r="D3011" s="2" t="s">
        <v>530</v>
      </c>
      <c r="E3011" s="3">
        <v>7</v>
      </c>
      <c r="F3011" s="3">
        <v>0.5</v>
      </c>
      <c r="G3011" s="4">
        <v>42885</v>
      </c>
      <c r="M3011" s="1"/>
      <c r="N3011" s="1"/>
      <c r="O3011" s="1"/>
      <c r="P3011" s="1"/>
      <c r="Q3011" s="1"/>
      <c r="R3011" s="1"/>
    </row>
    <row r="3012" spans="2:18">
      <c r="B3012" s="1" t="s">
        <v>537</v>
      </c>
      <c r="C3012" s="2" t="s">
        <v>4</v>
      </c>
      <c r="D3012" s="2" t="s">
        <v>530</v>
      </c>
      <c r="E3012" s="3">
        <v>3</v>
      </c>
      <c r="F3012" s="3">
        <v>0.5</v>
      </c>
      <c r="G3012" s="4">
        <v>42606</v>
      </c>
      <c r="M3012" s="1"/>
      <c r="N3012" s="1"/>
      <c r="O3012" s="1"/>
      <c r="P3012" s="1"/>
      <c r="Q3012" s="1"/>
      <c r="R3012" s="1"/>
    </row>
    <row r="3013" spans="2:18">
      <c r="B3013" s="1" t="s">
        <v>534</v>
      </c>
      <c r="C3013" s="2" t="s">
        <v>4</v>
      </c>
      <c r="D3013" s="2" t="s">
        <v>530</v>
      </c>
      <c r="E3013" s="3">
        <v>3</v>
      </c>
      <c r="F3013" s="3">
        <v>0.5</v>
      </c>
      <c r="G3013" s="4">
        <v>42606</v>
      </c>
      <c r="M3013" s="1"/>
      <c r="N3013" s="1"/>
      <c r="O3013" s="1"/>
      <c r="P3013" s="1"/>
      <c r="Q3013" s="1"/>
      <c r="R3013" s="1"/>
    </row>
    <row r="3014" spans="2:18">
      <c r="B3014" s="1" t="s">
        <v>533</v>
      </c>
      <c r="C3014" s="2" t="s">
        <v>4</v>
      </c>
      <c r="D3014" s="2" t="s">
        <v>530</v>
      </c>
      <c r="E3014" s="3">
        <v>3</v>
      </c>
      <c r="F3014" s="3">
        <v>0.5</v>
      </c>
      <c r="G3014" s="4">
        <v>42606</v>
      </c>
      <c r="M3014" s="1"/>
      <c r="N3014" s="1"/>
      <c r="O3014" s="1"/>
      <c r="P3014" s="1"/>
      <c r="Q3014" s="1"/>
      <c r="R3014" s="1"/>
    </row>
    <row r="3015" spans="2:18">
      <c r="B3015" s="1" t="s">
        <v>532</v>
      </c>
      <c r="C3015" s="2" t="s">
        <v>4</v>
      </c>
      <c r="D3015" s="2" t="s">
        <v>530</v>
      </c>
      <c r="E3015" s="3">
        <v>3</v>
      </c>
      <c r="F3015" s="3">
        <v>0.5</v>
      </c>
      <c r="G3015" s="4">
        <v>42606</v>
      </c>
      <c r="M3015" s="1"/>
      <c r="N3015" s="1"/>
      <c r="O3015" s="1"/>
      <c r="P3015" s="1"/>
      <c r="Q3015" s="1"/>
      <c r="R3015" s="1"/>
    </row>
    <row r="3016" spans="2:18">
      <c r="B3016" s="1" t="s">
        <v>531</v>
      </c>
      <c r="C3016" s="2" t="s">
        <v>4</v>
      </c>
      <c r="D3016" s="2" t="s">
        <v>530</v>
      </c>
      <c r="E3016" s="3">
        <v>3</v>
      </c>
      <c r="F3016" s="3">
        <v>0.5</v>
      </c>
      <c r="G3016" s="4">
        <v>42606</v>
      </c>
      <c r="M3016" s="1"/>
      <c r="N3016" s="1"/>
      <c r="O3016" s="1"/>
      <c r="P3016" s="1"/>
      <c r="Q3016" s="1"/>
      <c r="R3016" s="1"/>
    </row>
    <row r="3017" spans="2:18">
      <c r="B3017" s="1" t="s">
        <v>529</v>
      </c>
      <c r="C3017" s="2" t="s">
        <v>5</v>
      </c>
      <c r="D3017" s="2" t="s">
        <v>526</v>
      </c>
      <c r="E3017" s="3">
        <v>14.5</v>
      </c>
      <c r="F3017" s="3">
        <v>3</v>
      </c>
      <c r="G3017" s="4">
        <v>43389</v>
      </c>
      <c r="M3017" s="1"/>
      <c r="N3017" s="1"/>
      <c r="O3017" s="1"/>
      <c r="P3017" s="1"/>
      <c r="Q3017" s="1"/>
      <c r="R3017" s="1"/>
    </row>
    <row r="3018" spans="2:18">
      <c r="B3018" s="1" t="s">
        <v>528</v>
      </c>
      <c r="C3018" s="2" t="s">
        <v>5</v>
      </c>
      <c r="D3018" s="2" t="s">
        <v>526</v>
      </c>
      <c r="E3018" s="3">
        <v>14.5</v>
      </c>
      <c r="F3018" s="3">
        <v>1.5</v>
      </c>
      <c r="G3018" s="4">
        <v>43389</v>
      </c>
      <c r="M3018" s="1"/>
      <c r="N3018" s="1"/>
      <c r="O3018" s="1"/>
      <c r="P3018" s="1"/>
      <c r="Q3018" s="1"/>
      <c r="R3018" s="1"/>
    </row>
    <row r="3019" spans="2:18">
      <c r="B3019" s="1" t="s">
        <v>527</v>
      </c>
      <c r="C3019" s="2" t="s">
        <v>4</v>
      </c>
      <c r="D3019" s="2" t="s">
        <v>526</v>
      </c>
      <c r="E3019" s="3">
        <v>4</v>
      </c>
      <c r="F3019" s="3">
        <f>4/3</f>
        <v>1.3333333333333333</v>
      </c>
      <c r="G3019" s="4">
        <v>42647</v>
      </c>
      <c r="M3019" s="1"/>
      <c r="N3019" s="1"/>
      <c r="O3019" s="1"/>
      <c r="P3019" s="1"/>
      <c r="Q3019" s="1"/>
      <c r="R3019" s="1"/>
    </row>
    <row r="3020" spans="2:18">
      <c r="B3020" s="1" t="s">
        <v>522</v>
      </c>
      <c r="C3020" s="2" t="s">
        <v>285</v>
      </c>
      <c r="D3020" s="2" t="s">
        <v>518</v>
      </c>
      <c r="E3020" s="3">
        <v>1.2</v>
      </c>
      <c r="F3020" s="3">
        <v>0.3</v>
      </c>
      <c r="G3020" s="4">
        <v>44545</v>
      </c>
      <c r="M3020" s="1"/>
      <c r="N3020" s="1"/>
      <c r="O3020" s="1"/>
      <c r="P3020" s="1"/>
      <c r="Q3020" s="1"/>
      <c r="R3020" s="1"/>
    </row>
    <row r="3021" spans="2:18">
      <c r="B3021" s="1" t="s">
        <v>521</v>
      </c>
      <c r="C3021" s="2" t="s">
        <v>285</v>
      </c>
      <c r="D3021" s="2" t="s">
        <v>518</v>
      </c>
      <c r="E3021" s="3">
        <v>1.2</v>
      </c>
      <c r="F3021" s="3">
        <v>0.3</v>
      </c>
      <c r="G3021" s="4">
        <v>44545</v>
      </c>
      <c r="M3021" s="1"/>
      <c r="N3021" s="1"/>
      <c r="O3021" s="1"/>
      <c r="P3021" s="1"/>
      <c r="Q3021" s="1"/>
      <c r="R3021" s="1"/>
    </row>
    <row r="3022" spans="2:18">
      <c r="B3022" s="1" t="s">
        <v>520</v>
      </c>
      <c r="C3022" s="2" t="s">
        <v>285</v>
      </c>
      <c r="D3022" s="2" t="s">
        <v>518</v>
      </c>
      <c r="E3022" s="3">
        <v>1.2</v>
      </c>
      <c r="F3022" s="3">
        <v>0.3</v>
      </c>
      <c r="G3022" s="4">
        <v>44545</v>
      </c>
      <c r="M3022" s="1"/>
      <c r="N3022" s="1"/>
      <c r="O3022" s="1"/>
      <c r="P3022" s="1"/>
      <c r="Q3022" s="1"/>
      <c r="R3022" s="1"/>
    </row>
    <row r="3023" spans="2:18">
      <c r="B3023" s="1" t="s">
        <v>519</v>
      </c>
      <c r="C3023" s="2" t="s">
        <v>285</v>
      </c>
      <c r="D3023" s="2" t="s">
        <v>518</v>
      </c>
      <c r="E3023" s="3">
        <v>1.2</v>
      </c>
      <c r="F3023" s="3">
        <v>0.3</v>
      </c>
      <c r="G3023" s="4">
        <v>44545</v>
      </c>
      <c r="M3023" s="1"/>
      <c r="N3023" s="1"/>
      <c r="O3023" s="1"/>
      <c r="P3023" s="1"/>
      <c r="Q3023" s="1"/>
      <c r="R3023" s="1"/>
    </row>
    <row r="3024" spans="2:18">
      <c r="B3024" s="1" t="s">
        <v>516</v>
      </c>
      <c r="C3024" s="2" t="s">
        <v>513</v>
      </c>
      <c r="D3024" s="2" t="s">
        <v>498</v>
      </c>
      <c r="E3024" s="3">
        <v>250</v>
      </c>
      <c r="F3024" s="3">
        <f>150/5</f>
        <v>30</v>
      </c>
      <c r="G3024" s="4">
        <v>44376</v>
      </c>
      <c r="M3024" s="1"/>
      <c r="N3024" s="1"/>
      <c r="O3024" s="1"/>
      <c r="P3024" s="1"/>
      <c r="Q3024" s="1"/>
      <c r="R3024" s="1"/>
    </row>
    <row r="3025" spans="2:18">
      <c r="B3025" s="1" t="s">
        <v>515</v>
      </c>
      <c r="C3025" s="2" t="s">
        <v>513</v>
      </c>
      <c r="D3025" s="2" t="s">
        <v>498</v>
      </c>
      <c r="E3025" s="3">
        <v>250</v>
      </c>
      <c r="F3025" s="3">
        <f>150/5</f>
        <v>30</v>
      </c>
      <c r="G3025" s="4">
        <v>44376</v>
      </c>
      <c r="M3025" s="1"/>
      <c r="N3025" s="1"/>
      <c r="O3025" s="1"/>
      <c r="P3025" s="1"/>
      <c r="Q3025" s="1"/>
      <c r="R3025" s="1"/>
    </row>
    <row r="3026" spans="2:18">
      <c r="B3026" s="1" t="s">
        <v>514</v>
      </c>
      <c r="C3026" s="2" t="s">
        <v>513</v>
      </c>
      <c r="D3026" s="2" t="s">
        <v>498</v>
      </c>
      <c r="E3026" s="3">
        <v>250</v>
      </c>
      <c r="F3026" s="3">
        <f>150/5</f>
        <v>30</v>
      </c>
      <c r="G3026" s="4">
        <v>44376</v>
      </c>
      <c r="M3026" s="1"/>
      <c r="N3026" s="1"/>
      <c r="O3026" s="1"/>
      <c r="P3026" s="1"/>
      <c r="Q3026" s="1"/>
      <c r="R3026" s="1"/>
    </row>
    <row r="3027" spans="2:18">
      <c r="B3027" s="1" t="s">
        <v>510</v>
      </c>
      <c r="C3027" s="2" t="s">
        <v>55</v>
      </c>
      <c r="D3027" s="2" t="s">
        <v>498</v>
      </c>
      <c r="E3027" s="3">
        <v>270</v>
      </c>
      <c r="F3027" s="3">
        <v>22</v>
      </c>
      <c r="G3027" s="4">
        <v>44152</v>
      </c>
      <c r="M3027" s="1"/>
      <c r="N3027" s="1"/>
      <c r="O3027" s="1"/>
      <c r="P3027" s="1"/>
      <c r="Q3027" s="1"/>
      <c r="R3027" s="1"/>
    </row>
    <row r="3028" spans="2:18">
      <c r="B3028" s="1" t="s">
        <v>509</v>
      </c>
      <c r="C3028" s="2" t="s">
        <v>55</v>
      </c>
      <c r="D3028" s="2" t="s">
        <v>498</v>
      </c>
      <c r="E3028" s="3">
        <v>50</v>
      </c>
      <c r="F3028" s="3">
        <v>10</v>
      </c>
      <c r="G3028" s="4">
        <v>44174</v>
      </c>
      <c r="M3028" s="1"/>
      <c r="N3028" s="1"/>
      <c r="O3028" s="1"/>
      <c r="P3028" s="1"/>
      <c r="Q3028" s="1"/>
      <c r="R3028" s="1"/>
    </row>
    <row r="3029" spans="2:18">
      <c r="B3029" s="1" t="s">
        <v>503</v>
      </c>
      <c r="C3029" s="2" t="s">
        <v>9</v>
      </c>
      <c r="D3029" s="2" t="s">
        <v>498</v>
      </c>
      <c r="E3029" s="3">
        <v>206</v>
      </c>
      <c r="F3029" s="3">
        <v>14</v>
      </c>
      <c r="G3029" s="4">
        <v>43725</v>
      </c>
      <c r="M3029" s="1"/>
      <c r="N3029" s="1"/>
      <c r="O3029" s="1"/>
      <c r="P3029" s="1"/>
      <c r="Q3029" s="1"/>
      <c r="R3029" s="1"/>
    </row>
    <row r="3030" spans="2:18">
      <c r="B3030" s="1" t="s">
        <v>501</v>
      </c>
      <c r="C3030" s="2" t="s">
        <v>9</v>
      </c>
      <c r="D3030" s="2" t="s">
        <v>498</v>
      </c>
      <c r="E3030" s="3">
        <v>206</v>
      </c>
      <c r="F3030" s="3">
        <v>14</v>
      </c>
      <c r="G3030" s="4">
        <v>43725</v>
      </c>
      <c r="M3030" s="1"/>
      <c r="N3030" s="1"/>
      <c r="O3030" s="1"/>
      <c r="P3030" s="1"/>
      <c r="Q3030" s="1"/>
      <c r="R3030" s="1"/>
    </row>
    <row r="3031" spans="2:18">
      <c r="B3031" s="1" t="s">
        <v>500</v>
      </c>
      <c r="C3031" s="2" t="s">
        <v>18</v>
      </c>
      <c r="D3031" s="2" t="s">
        <v>498</v>
      </c>
      <c r="E3031" s="3">
        <v>67.2</v>
      </c>
      <c r="F3031" s="3">
        <v>10</v>
      </c>
      <c r="G3031" s="4">
        <v>42943</v>
      </c>
      <c r="M3031" s="1"/>
      <c r="N3031" s="1"/>
      <c r="O3031" s="1"/>
      <c r="P3031" s="1"/>
      <c r="Q3031" s="1"/>
      <c r="R3031" s="1"/>
    </row>
    <row r="3032" spans="2:18">
      <c r="B3032" s="1" t="s">
        <v>499</v>
      </c>
      <c r="C3032" s="2" t="s">
        <v>18</v>
      </c>
      <c r="D3032" s="2" t="s">
        <v>498</v>
      </c>
      <c r="E3032" s="3">
        <v>67.2</v>
      </c>
      <c r="F3032" s="3">
        <v>10</v>
      </c>
      <c r="G3032" s="4">
        <v>42943</v>
      </c>
      <c r="M3032" s="1"/>
      <c r="N3032" s="1"/>
      <c r="O3032" s="1"/>
      <c r="P3032" s="1"/>
      <c r="Q3032" s="1"/>
      <c r="R3032" s="1"/>
    </row>
    <row r="3033" spans="2:18">
      <c r="B3033" s="1" t="s">
        <v>497</v>
      </c>
      <c r="C3033" s="2" t="s">
        <v>5</v>
      </c>
      <c r="D3033" s="2" t="s">
        <v>492</v>
      </c>
      <c r="E3033" s="3">
        <v>13</v>
      </c>
      <c r="F3033" s="3">
        <v>4</v>
      </c>
      <c r="G3033" s="4">
        <v>44516</v>
      </c>
      <c r="M3033" s="1"/>
      <c r="N3033" s="1"/>
      <c r="O3033" s="1"/>
      <c r="P3033" s="1"/>
      <c r="Q3033" s="1"/>
      <c r="R3033" s="1"/>
    </row>
    <row r="3034" spans="2:18">
      <c r="G3034" s="4"/>
      <c r="M3034" s="1"/>
      <c r="N3034" s="1"/>
      <c r="O3034" s="1"/>
      <c r="P3034" s="1"/>
      <c r="Q3034" s="1"/>
      <c r="R3034" s="1"/>
    </row>
    <row r="3035" spans="2:18">
      <c r="B3035" s="1" t="s">
        <v>495</v>
      </c>
      <c r="C3035" s="2" t="s">
        <v>5</v>
      </c>
      <c r="D3035" s="2" t="s">
        <v>492</v>
      </c>
      <c r="E3035" s="3">
        <v>13</v>
      </c>
      <c r="F3035" s="3">
        <v>1.4</v>
      </c>
      <c r="G3035" s="4">
        <v>44516</v>
      </c>
      <c r="M3035" s="1"/>
      <c r="N3035" s="1"/>
      <c r="O3035" s="1"/>
      <c r="P3035" s="1"/>
      <c r="Q3035" s="1"/>
      <c r="R3035" s="1"/>
    </row>
    <row r="3036" spans="2:18">
      <c r="C3036" s="96" t="s">
        <v>5</v>
      </c>
      <c r="D3036" s="96" t="s">
        <v>5209</v>
      </c>
      <c r="E3036" s="3">
        <v>3</v>
      </c>
      <c r="F3036" s="3">
        <f>2/3</f>
        <v>0.66666666666666663</v>
      </c>
      <c r="G3036" s="4">
        <v>42220</v>
      </c>
      <c r="M3036" s="1"/>
      <c r="N3036" s="1"/>
      <c r="O3036" s="1"/>
      <c r="P3036" s="1"/>
      <c r="Q3036" s="1"/>
      <c r="R3036" s="1"/>
    </row>
    <row r="3037" spans="2:18">
      <c r="G3037" s="4"/>
      <c r="M3037" s="1"/>
      <c r="N3037" s="1"/>
      <c r="O3037" s="1"/>
      <c r="P3037" s="1"/>
      <c r="Q3037" s="1"/>
      <c r="R3037" s="1"/>
    </row>
    <row r="3038" spans="2:18">
      <c r="B3038" s="1" t="s">
        <v>493</v>
      </c>
      <c r="C3038" s="2" t="s">
        <v>4</v>
      </c>
      <c r="D3038" s="2" t="s">
        <v>492</v>
      </c>
      <c r="E3038" s="3">
        <v>2.5</v>
      </c>
      <c r="F3038" s="3">
        <v>1</v>
      </c>
      <c r="G3038" s="4">
        <v>44305</v>
      </c>
      <c r="M3038" s="1"/>
      <c r="N3038" s="1"/>
      <c r="O3038" s="1"/>
      <c r="P3038" s="1"/>
      <c r="Q3038" s="1"/>
      <c r="R3038" s="1"/>
    </row>
    <row r="3039" spans="2:18">
      <c r="B3039" s="1" t="s">
        <v>491</v>
      </c>
      <c r="C3039" s="2" t="s">
        <v>4</v>
      </c>
      <c r="D3039" s="2" t="s">
        <v>490</v>
      </c>
      <c r="E3039" s="3">
        <v>2</v>
      </c>
      <c r="F3039" s="3">
        <v>0.5</v>
      </c>
      <c r="G3039" s="4">
        <v>43876</v>
      </c>
      <c r="M3039" s="1"/>
      <c r="N3039" s="1"/>
      <c r="O3039" s="1"/>
      <c r="P3039" s="1"/>
      <c r="Q3039" s="1"/>
      <c r="R3039" s="1"/>
    </row>
    <row r="3040" spans="2:18">
      <c r="B3040" s="1" t="s">
        <v>487</v>
      </c>
      <c r="C3040" s="2" t="s">
        <v>7</v>
      </c>
      <c r="D3040" s="2" t="s">
        <v>484</v>
      </c>
      <c r="E3040" s="3">
        <v>90</v>
      </c>
      <c r="F3040" s="3">
        <v>6</v>
      </c>
      <c r="G3040" s="4">
        <v>44398</v>
      </c>
      <c r="M3040" s="1"/>
      <c r="N3040" s="1"/>
      <c r="O3040" s="1"/>
      <c r="P3040" s="1"/>
      <c r="Q3040" s="1"/>
      <c r="R3040" s="1"/>
    </row>
    <row r="3041" spans="2:18">
      <c r="B3041" s="1" t="s">
        <v>486</v>
      </c>
      <c r="C3041" s="2" t="s">
        <v>7</v>
      </c>
      <c r="D3041" s="2" t="s">
        <v>484</v>
      </c>
      <c r="E3041" s="3">
        <v>90</v>
      </c>
      <c r="F3041" s="3">
        <v>6</v>
      </c>
      <c r="G3041" s="4">
        <v>44398</v>
      </c>
      <c r="M3041" s="1"/>
      <c r="N3041" s="1"/>
      <c r="O3041" s="1"/>
      <c r="P3041" s="1"/>
      <c r="Q3041" s="1"/>
      <c r="R3041" s="1"/>
    </row>
    <row r="3042" spans="2:18">
      <c r="B3042" s="1" t="s">
        <v>485</v>
      </c>
      <c r="C3042" s="2" t="s">
        <v>5</v>
      </c>
      <c r="D3042" s="2" t="s">
        <v>484</v>
      </c>
      <c r="E3042" s="3">
        <v>22.8</v>
      </c>
      <c r="F3042" s="3">
        <v>3.3</v>
      </c>
      <c r="G3042" s="4">
        <v>43160</v>
      </c>
      <c r="H3042" s="8"/>
      <c r="M3042" s="1"/>
      <c r="N3042" s="1"/>
      <c r="O3042" s="1"/>
      <c r="P3042" s="1"/>
      <c r="Q3042" s="1"/>
      <c r="R3042" s="1"/>
    </row>
    <row r="3043" spans="2:18">
      <c r="B3043" s="1" t="s">
        <v>483</v>
      </c>
      <c r="C3043" s="2" t="s">
        <v>4</v>
      </c>
      <c r="D3043" s="2" t="s">
        <v>478</v>
      </c>
      <c r="E3043" s="3">
        <v>6</v>
      </c>
      <c r="F3043" s="3">
        <v>1</v>
      </c>
      <c r="G3043" s="4">
        <v>45104</v>
      </c>
      <c r="M3043" s="1"/>
      <c r="N3043" s="1"/>
      <c r="O3043" s="1"/>
      <c r="P3043" s="1"/>
      <c r="Q3043" s="1"/>
      <c r="R3043" s="1"/>
    </row>
    <row r="3044" spans="2:18">
      <c r="B3044" s="1" t="s">
        <v>482</v>
      </c>
      <c r="C3044" s="2" t="s">
        <v>4</v>
      </c>
      <c r="D3044" s="2" t="s">
        <v>478</v>
      </c>
      <c r="E3044" s="3">
        <v>6</v>
      </c>
      <c r="F3044" s="3">
        <v>1</v>
      </c>
      <c r="G3044" s="4">
        <v>45104</v>
      </c>
      <c r="M3044" s="1"/>
      <c r="N3044" s="1"/>
      <c r="O3044" s="1"/>
      <c r="P3044" s="1"/>
      <c r="Q3044" s="1"/>
      <c r="R3044" s="1"/>
    </row>
    <row r="3045" spans="2:18">
      <c r="B3045" s="1" t="s">
        <v>480</v>
      </c>
      <c r="C3045" s="2" t="s">
        <v>4</v>
      </c>
      <c r="D3045" s="2" t="s">
        <v>478</v>
      </c>
      <c r="E3045" s="3">
        <v>6</v>
      </c>
      <c r="F3045" s="3">
        <v>1</v>
      </c>
      <c r="G3045" s="4">
        <v>45104</v>
      </c>
      <c r="M3045" s="1"/>
      <c r="N3045" s="1"/>
      <c r="O3045" s="1"/>
      <c r="P3045" s="1"/>
      <c r="Q3045" s="1"/>
      <c r="R3045" s="1"/>
    </row>
    <row r="3046" spans="2:18">
      <c r="B3046" s="1" t="s">
        <v>479</v>
      </c>
      <c r="C3046" s="2" t="s">
        <v>4</v>
      </c>
      <c r="D3046" s="2" t="s">
        <v>478</v>
      </c>
      <c r="E3046" s="3">
        <v>6</v>
      </c>
      <c r="F3046" s="3">
        <v>1</v>
      </c>
      <c r="G3046" s="4">
        <v>45104</v>
      </c>
      <c r="M3046" s="1"/>
      <c r="N3046" s="1"/>
      <c r="O3046" s="1"/>
      <c r="P3046" s="1"/>
      <c r="Q3046" s="1"/>
      <c r="R3046" s="1"/>
    </row>
    <row r="3047" spans="2:18">
      <c r="B3047" s="1" t="s">
        <v>473</v>
      </c>
      <c r="C3047" s="2" t="s">
        <v>7</v>
      </c>
      <c r="D3047" s="2" t="s">
        <v>470</v>
      </c>
      <c r="E3047" s="3">
        <v>25.7</v>
      </c>
      <c r="F3047" s="3">
        <v>5</v>
      </c>
      <c r="G3047" s="4">
        <v>43837</v>
      </c>
      <c r="M3047" s="1"/>
      <c r="N3047" s="1"/>
      <c r="O3047" s="1"/>
      <c r="P3047" s="1"/>
      <c r="Q3047" s="1"/>
      <c r="R3047" s="1"/>
    </row>
    <row r="3048" spans="2:18">
      <c r="B3048" s="1" t="s">
        <v>472</v>
      </c>
      <c r="C3048" s="2" t="s">
        <v>7</v>
      </c>
      <c r="D3048" s="2" t="s">
        <v>470</v>
      </c>
      <c r="E3048" s="3">
        <v>25.7</v>
      </c>
      <c r="F3048" s="3">
        <v>15.7</v>
      </c>
      <c r="G3048" s="4">
        <v>43837</v>
      </c>
      <c r="M3048" s="1"/>
      <c r="N3048" s="1"/>
      <c r="O3048" s="1"/>
      <c r="P3048" s="1"/>
      <c r="Q3048" s="1"/>
      <c r="R3048" s="1"/>
    </row>
    <row r="3049" spans="2:18">
      <c r="B3049" s="1" t="s">
        <v>471</v>
      </c>
      <c r="C3049" s="2" t="s">
        <v>7</v>
      </c>
      <c r="D3049" s="2" t="s">
        <v>470</v>
      </c>
      <c r="E3049" s="3">
        <v>25.7</v>
      </c>
      <c r="F3049" s="3">
        <v>5</v>
      </c>
      <c r="G3049" s="4">
        <v>43837</v>
      </c>
      <c r="M3049" s="1"/>
      <c r="N3049" s="1"/>
      <c r="O3049" s="1"/>
      <c r="P3049" s="1"/>
      <c r="Q3049" s="1"/>
      <c r="R3049" s="1"/>
    </row>
    <row r="3050" spans="2:18">
      <c r="B3050" s="1" t="s">
        <v>468</v>
      </c>
      <c r="C3050" s="2" t="s">
        <v>7</v>
      </c>
      <c r="D3050" s="2" t="s">
        <v>464</v>
      </c>
      <c r="E3050" s="3">
        <v>26.8</v>
      </c>
      <c r="F3050" s="3">
        <v>4</v>
      </c>
      <c r="G3050" s="4">
        <v>44600</v>
      </c>
      <c r="M3050" s="1"/>
      <c r="N3050" s="1"/>
      <c r="O3050" s="1"/>
      <c r="P3050" s="1"/>
      <c r="Q3050" s="1"/>
      <c r="R3050" s="1"/>
    </row>
    <row r="3051" spans="2:18">
      <c r="B3051" s="1" t="s">
        <v>465</v>
      </c>
      <c r="C3051" s="2" t="s">
        <v>5</v>
      </c>
      <c r="D3051" s="2" t="s">
        <v>464</v>
      </c>
      <c r="E3051" s="3">
        <v>8.3000000000000007</v>
      </c>
      <c r="F3051" s="3">
        <v>2</v>
      </c>
      <c r="G3051" s="4">
        <v>44053</v>
      </c>
      <c r="M3051" s="1"/>
      <c r="N3051" s="1"/>
      <c r="O3051" s="1"/>
      <c r="P3051" s="1"/>
      <c r="Q3051" s="1"/>
      <c r="R3051" s="1"/>
    </row>
    <row r="3052" spans="2:18">
      <c r="B3052" s="1" t="s">
        <v>463</v>
      </c>
      <c r="C3052" s="2" t="s">
        <v>7</v>
      </c>
      <c r="D3052" s="2" t="s">
        <v>462</v>
      </c>
      <c r="E3052" s="3">
        <v>25</v>
      </c>
      <c r="F3052" s="3">
        <v>15</v>
      </c>
      <c r="G3052" s="4">
        <v>43972</v>
      </c>
      <c r="M3052" s="1"/>
      <c r="N3052" s="1"/>
      <c r="O3052" s="1"/>
      <c r="P3052" s="1"/>
      <c r="Q3052" s="1"/>
      <c r="R3052" s="1"/>
    </row>
    <row r="3053" spans="2:18">
      <c r="B3053" s="1" t="s">
        <v>453</v>
      </c>
      <c r="C3053" s="2" t="s">
        <v>4</v>
      </c>
      <c r="D3053" s="2" t="s">
        <v>447</v>
      </c>
      <c r="E3053" s="3">
        <v>7</v>
      </c>
      <c r="F3053" s="3">
        <v>1.5</v>
      </c>
      <c r="G3053" s="4">
        <v>44602</v>
      </c>
      <c r="M3053" s="1"/>
      <c r="N3053" s="1"/>
      <c r="O3053" s="1"/>
      <c r="P3053" s="1"/>
      <c r="Q3053" s="1"/>
      <c r="R3053" s="1"/>
    </row>
    <row r="3054" spans="2:18">
      <c r="B3054" s="1" t="s">
        <v>452</v>
      </c>
      <c r="C3054" s="2" t="s">
        <v>4</v>
      </c>
      <c r="D3054" s="2" t="s">
        <v>447</v>
      </c>
      <c r="E3054" s="3">
        <v>7</v>
      </c>
      <c r="F3054" s="3">
        <v>1.5</v>
      </c>
      <c r="G3054" s="4">
        <v>44602</v>
      </c>
      <c r="M3054" s="1"/>
      <c r="N3054" s="1"/>
      <c r="O3054" s="1"/>
      <c r="P3054" s="1"/>
      <c r="Q3054" s="1"/>
      <c r="R3054" s="1"/>
    </row>
    <row r="3055" spans="2:18">
      <c r="B3055" s="1" t="s">
        <v>451</v>
      </c>
      <c r="C3055" s="2" t="s">
        <v>4</v>
      </c>
      <c r="D3055" s="2" t="s">
        <v>447</v>
      </c>
      <c r="E3055" s="3">
        <v>7</v>
      </c>
      <c r="F3055" s="3">
        <v>0.5</v>
      </c>
      <c r="G3055" s="4">
        <v>44602</v>
      </c>
      <c r="M3055" s="1"/>
      <c r="N3055" s="1"/>
      <c r="O3055" s="1"/>
      <c r="P3055" s="1"/>
      <c r="Q3055" s="1"/>
      <c r="R3055" s="1"/>
    </row>
    <row r="3056" spans="2:18">
      <c r="B3056" s="1" t="s">
        <v>450</v>
      </c>
      <c r="C3056" s="2" t="s">
        <v>4</v>
      </c>
      <c r="D3056" s="2" t="s">
        <v>447</v>
      </c>
      <c r="E3056" s="3">
        <v>7</v>
      </c>
      <c r="F3056" s="3">
        <v>0.5</v>
      </c>
      <c r="G3056" s="4">
        <v>44602</v>
      </c>
      <c r="M3056" s="1"/>
      <c r="N3056" s="1"/>
      <c r="O3056" s="1"/>
      <c r="P3056" s="1"/>
      <c r="Q3056" s="1"/>
      <c r="R3056" s="1"/>
    </row>
    <row r="3057" spans="2:18">
      <c r="B3057" s="1" t="s">
        <v>449</v>
      </c>
      <c r="C3057" s="2" t="s">
        <v>4</v>
      </c>
      <c r="D3057" s="2" t="s">
        <v>447</v>
      </c>
      <c r="E3057" s="3">
        <v>7</v>
      </c>
      <c r="F3057" s="3">
        <v>0.5</v>
      </c>
      <c r="G3057" s="4">
        <v>44602</v>
      </c>
      <c r="M3057" s="1"/>
      <c r="N3057" s="1"/>
      <c r="O3057" s="1"/>
      <c r="P3057" s="1"/>
      <c r="Q3057" s="1"/>
      <c r="R3057" s="1"/>
    </row>
    <row r="3058" spans="2:18">
      <c r="B3058" s="1" t="s">
        <v>446</v>
      </c>
      <c r="C3058" s="2" t="s">
        <v>7</v>
      </c>
      <c r="D3058" s="2" t="s">
        <v>443</v>
      </c>
      <c r="E3058" s="3">
        <v>1.8</v>
      </c>
      <c r="F3058" s="3">
        <v>0.6</v>
      </c>
      <c r="G3058" s="4">
        <v>43661</v>
      </c>
      <c r="M3058" s="1"/>
      <c r="N3058" s="1"/>
      <c r="O3058" s="1"/>
      <c r="P3058" s="1"/>
      <c r="Q3058" s="1"/>
      <c r="R3058" s="1"/>
    </row>
    <row r="3059" spans="2:18">
      <c r="B3059" s="1" t="s">
        <v>445</v>
      </c>
      <c r="C3059" s="2" t="s">
        <v>7</v>
      </c>
      <c r="D3059" s="2" t="s">
        <v>443</v>
      </c>
      <c r="E3059" s="3">
        <v>1.8</v>
      </c>
      <c r="F3059" s="3">
        <v>0.6</v>
      </c>
      <c r="G3059" s="4">
        <v>43661</v>
      </c>
      <c r="M3059" s="1"/>
      <c r="N3059" s="1"/>
      <c r="O3059" s="1"/>
      <c r="P3059" s="1"/>
      <c r="Q3059" s="1"/>
      <c r="R3059" s="1"/>
    </row>
    <row r="3060" spans="2:18">
      <c r="B3060" s="1" t="s">
        <v>444</v>
      </c>
      <c r="C3060" s="2" t="s">
        <v>7</v>
      </c>
      <c r="D3060" s="2" t="s">
        <v>443</v>
      </c>
      <c r="E3060" s="3">
        <v>1.8</v>
      </c>
      <c r="F3060" s="3">
        <v>0.4</v>
      </c>
      <c r="G3060" s="4">
        <v>43661</v>
      </c>
      <c r="M3060" s="1"/>
      <c r="N3060" s="1"/>
      <c r="O3060" s="1"/>
      <c r="P3060" s="1"/>
      <c r="Q3060" s="1"/>
      <c r="R3060" s="1"/>
    </row>
    <row r="3061" spans="2:18">
      <c r="B3061" s="1" t="s">
        <v>441</v>
      </c>
      <c r="C3061" s="2" t="s">
        <v>5</v>
      </c>
      <c r="D3061" s="2" t="s">
        <v>439</v>
      </c>
      <c r="E3061" s="3">
        <v>15</v>
      </c>
      <c r="F3061" s="3">
        <v>3</v>
      </c>
      <c r="G3061" s="4">
        <v>42690</v>
      </c>
      <c r="M3061" s="1"/>
      <c r="N3061" s="1"/>
      <c r="O3061" s="1"/>
      <c r="P3061" s="1"/>
      <c r="Q3061" s="1"/>
      <c r="R3061" s="1"/>
    </row>
    <row r="3062" spans="2:18">
      <c r="B3062" s="1" t="s">
        <v>437</v>
      </c>
      <c r="C3062" s="2" t="s">
        <v>5</v>
      </c>
      <c r="D3062" s="2" t="s">
        <v>436</v>
      </c>
      <c r="E3062" s="3">
        <v>8.5</v>
      </c>
      <c r="F3062" s="3">
        <v>8.5</v>
      </c>
      <c r="G3062" s="4">
        <v>44307</v>
      </c>
      <c r="M3062" s="1"/>
      <c r="N3062" s="1"/>
      <c r="O3062" s="1"/>
      <c r="P3062" s="1"/>
      <c r="Q3062" s="1"/>
      <c r="R3062" s="1"/>
    </row>
    <row r="3063" spans="2:18">
      <c r="B3063" s="1" t="s">
        <v>435</v>
      </c>
      <c r="C3063" s="2" t="s">
        <v>18</v>
      </c>
      <c r="D3063" s="2" t="s">
        <v>432</v>
      </c>
      <c r="E3063" s="3">
        <v>75</v>
      </c>
      <c r="F3063" s="3">
        <f>35/5</f>
        <v>7</v>
      </c>
      <c r="G3063" s="4">
        <v>45020</v>
      </c>
      <c r="M3063" s="1"/>
      <c r="N3063" s="1"/>
      <c r="O3063" s="1"/>
      <c r="P3063" s="1"/>
      <c r="Q3063" s="1"/>
      <c r="R3063" s="1"/>
    </row>
    <row r="3064" spans="2:18">
      <c r="B3064" s="1" t="s">
        <v>434</v>
      </c>
      <c r="C3064" s="2" t="s">
        <v>18</v>
      </c>
      <c r="D3064" s="2" t="s">
        <v>432</v>
      </c>
      <c r="E3064" s="3">
        <v>75</v>
      </c>
      <c r="F3064" s="3">
        <f>35/5</f>
        <v>7</v>
      </c>
      <c r="G3064" s="4">
        <v>45020</v>
      </c>
      <c r="M3064" s="1"/>
      <c r="N3064" s="1"/>
      <c r="O3064" s="1"/>
      <c r="P3064" s="1"/>
      <c r="Q3064" s="1"/>
      <c r="R3064" s="1"/>
    </row>
    <row r="3065" spans="2:18">
      <c r="B3065" s="1" t="s">
        <v>433</v>
      </c>
      <c r="C3065" s="2" t="s">
        <v>4</v>
      </c>
      <c r="D3065" s="2" t="s">
        <v>432</v>
      </c>
      <c r="E3065" s="3">
        <v>7</v>
      </c>
      <c r="F3065" s="3">
        <v>0.7142857142857143</v>
      </c>
      <c r="G3065" s="4">
        <v>43046</v>
      </c>
      <c r="M3065" s="1"/>
      <c r="N3065" s="1"/>
      <c r="O3065" s="1"/>
      <c r="P3065" s="1"/>
      <c r="Q3065" s="1"/>
      <c r="R3065" s="1"/>
    </row>
    <row r="3066" spans="2:18">
      <c r="B3066" s="1" t="s">
        <v>431</v>
      </c>
      <c r="C3066" s="2" t="s">
        <v>18</v>
      </c>
      <c r="D3066" s="2" t="s">
        <v>424</v>
      </c>
      <c r="E3066" s="3">
        <v>23</v>
      </c>
      <c r="F3066" s="3">
        <v>7</v>
      </c>
      <c r="G3066" s="4">
        <v>44328</v>
      </c>
      <c r="I3066" s="5"/>
      <c r="M3066" s="1"/>
      <c r="N3066" s="1"/>
      <c r="O3066" s="1"/>
      <c r="P3066" s="1"/>
      <c r="Q3066" s="1"/>
      <c r="R3066" s="1"/>
    </row>
    <row r="3067" spans="2:18">
      <c r="B3067" s="1" t="s">
        <v>430</v>
      </c>
      <c r="C3067" s="2" t="s">
        <v>18</v>
      </c>
      <c r="D3067" s="2" t="s">
        <v>424</v>
      </c>
      <c r="E3067" s="3">
        <v>23</v>
      </c>
      <c r="F3067" s="3">
        <f>16/6</f>
        <v>2.6666666666666665</v>
      </c>
      <c r="G3067" s="4">
        <v>44328</v>
      </c>
      <c r="M3067" s="1"/>
      <c r="N3067" s="1"/>
      <c r="O3067" s="1"/>
      <c r="P3067" s="1"/>
      <c r="Q3067" s="1"/>
      <c r="R3067" s="1"/>
    </row>
    <row r="3068" spans="2:18">
      <c r="B3068" s="1" t="s">
        <v>429</v>
      </c>
      <c r="C3068" s="2" t="s">
        <v>18</v>
      </c>
      <c r="D3068" s="2" t="s">
        <v>424</v>
      </c>
      <c r="E3068" s="3">
        <v>23</v>
      </c>
      <c r="F3068" s="3">
        <f>16/6</f>
        <v>2.6666666666666665</v>
      </c>
      <c r="G3068" s="4">
        <v>44328</v>
      </c>
      <c r="M3068" s="1"/>
      <c r="N3068" s="1"/>
      <c r="O3068" s="1"/>
      <c r="P3068" s="1"/>
      <c r="Q3068" s="1"/>
      <c r="R3068" s="1"/>
    </row>
    <row r="3069" spans="2:18">
      <c r="B3069" s="1" t="s">
        <v>428</v>
      </c>
      <c r="C3069" s="2" t="s">
        <v>18</v>
      </c>
      <c r="D3069" s="2" t="s">
        <v>424</v>
      </c>
      <c r="E3069" s="3">
        <v>23</v>
      </c>
      <c r="F3069" s="3">
        <f>16/6</f>
        <v>2.6666666666666665</v>
      </c>
      <c r="G3069" s="4">
        <v>44328</v>
      </c>
      <c r="M3069" s="1"/>
      <c r="N3069" s="1"/>
      <c r="O3069" s="1"/>
      <c r="P3069" s="1"/>
      <c r="Q3069" s="1"/>
      <c r="R3069" s="1"/>
    </row>
    <row r="3070" spans="2:18">
      <c r="B3070" s="1" t="s">
        <v>427</v>
      </c>
      <c r="C3070" s="2" t="s">
        <v>18</v>
      </c>
      <c r="D3070" s="2" t="s">
        <v>424</v>
      </c>
      <c r="E3070" s="3">
        <v>23</v>
      </c>
      <c r="F3070" s="3">
        <f>16/6</f>
        <v>2.6666666666666665</v>
      </c>
      <c r="G3070" s="4">
        <v>44328</v>
      </c>
      <c r="M3070" s="1"/>
      <c r="N3070" s="1"/>
      <c r="O3070" s="1"/>
      <c r="P3070" s="1"/>
      <c r="Q3070" s="1"/>
      <c r="R3070" s="1"/>
    </row>
    <row r="3071" spans="2:18">
      <c r="B3071" s="1" t="s">
        <v>426</v>
      </c>
      <c r="C3071" s="2" t="s">
        <v>18</v>
      </c>
      <c r="D3071" s="2" t="s">
        <v>424</v>
      </c>
      <c r="E3071" s="3">
        <v>23</v>
      </c>
      <c r="F3071" s="3">
        <f>16/6</f>
        <v>2.6666666666666665</v>
      </c>
      <c r="G3071" s="4">
        <v>44328</v>
      </c>
      <c r="M3071" s="1"/>
      <c r="N3071" s="1"/>
      <c r="O3071" s="1"/>
      <c r="P3071" s="1"/>
      <c r="Q3071" s="1"/>
      <c r="R3071" s="1"/>
    </row>
    <row r="3072" spans="2:18">
      <c r="B3072" s="1" t="s">
        <v>425</v>
      </c>
      <c r="C3072" s="2" t="s">
        <v>5</v>
      </c>
      <c r="D3072" s="2" t="s">
        <v>424</v>
      </c>
      <c r="E3072" s="3">
        <v>8</v>
      </c>
      <c r="F3072" s="3">
        <v>2</v>
      </c>
      <c r="G3072" s="4">
        <v>42416</v>
      </c>
      <c r="M3072" s="1"/>
      <c r="N3072" s="1"/>
      <c r="O3072" s="1"/>
      <c r="P3072" s="1"/>
      <c r="Q3072" s="1"/>
      <c r="R3072" s="1"/>
    </row>
    <row r="3073" spans="2:18">
      <c r="B3073" s="1" t="s">
        <v>423</v>
      </c>
      <c r="C3073" s="2" t="s">
        <v>18</v>
      </c>
      <c r="D3073" s="2" t="s">
        <v>422</v>
      </c>
      <c r="E3073" s="3">
        <v>65</v>
      </c>
      <c r="F3073" s="3">
        <v>32.5</v>
      </c>
      <c r="G3073" s="4">
        <v>43789</v>
      </c>
      <c r="M3073" s="1"/>
      <c r="N3073" s="1"/>
      <c r="O3073" s="1"/>
      <c r="P3073" s="1"/>
      <c r="Q3073" s="1"/>
      <c r="R3073" s="1"/>
    </row>
    <row r="3074" spans="2:18">
      <c r="B3074" s="1" t="s">
        <v>420</v>
      </c>
      <c r="C3074" s="2" t="s">
        <v>5</v>
      </c>
      <c r="D3074" s="2" t="s">
        <v>416</v>
      </c>
      <c r="E3074" s="3">
        <v>10</v>
      </c>
      <c r="F3074" s="3">
        <f>7/4</f>
        <v>1.75</v>
      </c>
      <c r="G3074" s="4">
        <v>44740</v>
      </c>
      <c r="M3074" s="1"/>
      <c r="N3074" s="1"/>
      <c r="O3074" s="1"/>
      <c r="P3074" s="1"/>
      <c r="Q3074" s="1"/>
      <c r="R3074" s="1"/>
    </row>
    <row r="3075" spans="2:18">
      <c r="B3075" s="1" t="s">
        <v>419</v>
      </c>
      <c r="C3075" s="2" t="s">
        <v>5</v>
      </c>
      <c r="D3075" s="2" t="s">
        <v>416</v>
      </c>
      <c r="E3075" s="3">
        <v>10</v>
      </c>
      <c r="F3075" s="3">
        <f>7/4</f>
        <v>1.75</v>
      </c>
      <c r="G3075" s="4">
        <v>44740</v>
      </c>
      <c r="M3075" s="1"/>
      <c r="N3075" s="1"/>
      <c r="O3075" s="1"/>
      <c r="P3075" s="1"/>
      <c r="Q3075" s="1"/>
      <c r="R3075" s="1"/>
    </row>
    <row r="3076" spans="2:18">
      <c r="B3076" s="1" t="s">
        <v>418</v>
      </c>
      <c r="C3076" s="2" t="s">
        <v>5</v>
      </c>
      <c r="D3076" s="2" t="s">
        <v>416</v>
      </c>
      <c r="E3076" s="3">
        <v>10</v>
      </c>
      <c r="F3076" s="3">
        <f>7/4</f>
        <v>1.75</v>
      </c>
      <c r="G3076" s="4">
        <v>44740</v>
      </c>
      <c r="M3076" s="1"/>
      <c r="N3076" s="1"/>
      <c r="O3076" s="1"/>
      <c r="P3076" s="1"/>
      <c r="Q3076" s="1"/>
      <c r="R3076" s="1"/>
    </row>
    <row r="3077" spans="2:18">
      <c r="B3077" s="1" t="s">
        <v>417</v>
      </c>
      <c r="C3077" s="2" t="s">
        <v>4</v>
      </c>
      <c r="D3077" s="2" t="s">
        <v>416</v>
      </c>
      <c r="E3077" s="3">
        <v>4</v>
      </c>
      <c r="F3077" s="3">
        <v>4</v>
      </c>
      <c r="G3077" s="4">
        <v>43389</v>
      </c>
      <c r="M3077" s="1"/>
      <c r="N3077" s="1"/>
      <c r="O3077" s="1"/>
      <c r="P3077" s="1"/>
      <c r="Q3077" s="1"/>
      <c r="R3077" s="1"/>
    </row>
    <row r="3078" spans="2:18">
      <c r="B3078" s="1" t="s">
        <v>415</v>
      </c>
      <c r="C3078" s="2" t="s">
        <v>18</v>
      </c>
      <c r="D3078" s="2" t="s">
        <v>411</v>
      </c>
      <c r="E3078" s="3">
        <v>90</v>
      </c>
      <c r="F3078" s="3">
        <v>15</v>
      </c>
      <c r="G3078" s="4">
        <v>45090</v>
      </c>
      <c r="M3078" s="1"/>
      <c r="N3078" s="1"/>
      <c r="O3078" s="1"/>
      <c r="P3078" s="1"/>
      <c r="Q3078" s="1"/>
      <c r="R3078" s="1"/>
    </row>
    <row r="3079" spans="2:18">
      <c r="B3079" s="1" t="s">
        <v>414</v>
      </c>
      <c r="C3079" s="2" t="s">
        <v>7</v>
      </c>
      <c r="D3079" s="2" t="s">
        <v>411</v>
      </c>
      <c r="E3079" s="3">
        <v>50</v>
      </c>
      <c r="F3079" s="3">
        <f>30/6</f>
        <v>5</v>
      </c>
      <c r="G3079" s="4">
        <v>44538</v>
      </c>
      <c r="M3079" s="1"/>
      <c r="N3079" s="1"/>
      <c r="O3079" s="1"/>
      <c r="P3079" s="1"/>
      <c r="Q3079" s="1"/>
      <c r="R3079" s="1"/>
    </row>
    <row r="3080" spans="2:18">
      <c r="B3080" s="1" t="s">
        <v>409</v>
      </c>
      <c r="C3080" s="2" t="s">
        <v>7</v>
      </c>
      <c r="D3080" s="2" t="s">
        <v>406</v>
      </c>
      <c r="E3080" s="3">
        <v>37</v>
      </c>
      <c r="F3080" s="3">
        <v>4</v>
      </c>
      <c r="G3080" s="4">
        <v>44860</v>
      </c>
      <c r="M3080" s="1"/>
      <c r="N3080" s="1"/>
      <c r="O3080" s="1"/>
      <c r="P3080" s="1"/>
      <c r="Q3080" s="1"/>
      <c r="R3080" s="1"/>
    </row>
    <row r="3081" spans="2:18">
      <c r="B3081" s="1" t="s">
        <v>408</v>
      </c>
      <c r="C3081" s="2" t="s">
        <v>7</v>
      </c>
      <c r="D3081" s="2" t="s">
        <v>406</v>
      </c>
      <c r="E3081" s="3">
        <v>80</v>
      </c>
      <c r="F3081" s="3">
        <v>10</v>
      </c>
      <c r="G3081" s="4">
        <v>44327</v>
      </c>
      <c r="M3081" s="1"/>
      <c r="N3081" s="1"/>
      <c r="O3081" s="1"/>
      <c r="P3081" s="1"/>
      <c r="Q3081" s="1"/>
      <c r="R3081" s="1"/>
    </row>
    <row r="3082" spans="2:18">
      <c r="B3082" s="1" t="s">
        <v>407</v>
      </c>
      <c r="C3082" s="2" t="s">
        <v>7</v>
      </c>
      <c r="D3082" s="2" t="s">
        <v>406</v>
      </c>
      <c r="E3082" s="3">
        <v>80</v>
      </c>
      <c r="F3082" s="3">
        <v>10</v>
      </c>
      <c r="G3082" s="4">
        <v>44327</v>
      </c>
      <c r="M3082" s="1"/>
      <c r="N3082" s="1"/>
      <c r="O3082" s="1"/>
      <c r="P3082" s="1"/>
      <c r="Q3082" s="1"/>
      <c r="R3082" s="1"/>
    </row>
    <row r="3083" spans="2:18">
      <c r="B3083" s="1" t="s">
        <v>403</v>
      </c>
      <c r="C3083" s="2" t="s">
        <v>8</v>
      </c>
      <c r="D3083" s="2" t="s">
        <v>393</v>
      </c>
      <c r="E3083" s="3">
        <v>140</v>
      </c>
      <c r="F3083" s="3">
        <v>10</v>
      </c>
      <c r="G3083" s="4">
        <v>44286</v>
      </c>
      <c r="M3083" s="1"/>
      <c r="N3083" s="1"/>
      <c r="O3083" s="1"/>
      <c r="P3083" s="1"/>
      <c r="Q3083" s="1"/>
      <c r="R3083" s="1"/>
    </row>
    <row r="3084" spans="2:18">
      <c r="B3084" s="1" t="s">
        <v>399</v>
      </c>
      <c r="C3084" s="2" t="s">
        <v>18</v>
      </c>
      <c r="D3084" s="2" t="s">
        <v>393</v>
      </c>
      <c r="E3084" s="3">
        <v>110</v>
      </c>
      <c r="F3084" s="3">
        <v>20</v>
      </c>
      <c r="G3084" s="4">
        <v>43690</v>
      </c>
      <c r="M3084" s="1"/>
      <c r="N3084" s="1"/>
      <c r="O3084" s="1"/>
      <c r="P3084" s="1"/>
      <c r="Q3084" s="1"/>
      <c r="R3084" s="1"/>
    </row>
    <row r="3085" spans="2:18">
      <c r="B3085" s="1" t="s">
        <v>398</v>
      </c>
      <c r="C3085" s="2" t="s">
        <v>18</v>
      </c>
      <c r="D3085" s="2" t="s">
        <v>393</v>
      </c>
      <c r="E3085" s="3">
        <v>110</v>
      </c>
      <c r="F3085" s="3">
        <v>10</v>
      </c>
      <c r="G3085" s="4">
        <v>43690</v>
      </c>
      <c r="M3085" s="1"/>
      <c r="N3085" s="1"/>
      <c r="O3085" s="1"/>
      <c r="P3085" s="1"/>
      <c r="Q3085" s="1"/>
      <c r="R3085" s="1"/>
    </row>
    <row r="3086" spans="2:18">
      <c r="B3086" s="1" t="s">
        <v>397</v>
      </c>
      <c r="C3086" s="2" t="s">
        <v>7</v>
      </c>
      <c r="D3086" s="2" t="s">
        <v>393</v>
      </c>
      <c r="E3086" s="3">
        <v>9.4</v>
      </c>
      <c r="F3086" s="3">
        <f>E3086/2</f>
        <v>4.7</v>
      </c>
      <c r="G3086" s="4">
        <v>42968</v>
      </c>
      <c r="M3086" s="1"/>
      <c r="N3086" s="1"/>
      <c r="O3086" s="1"/>
      <c r="P3086" s="1"/>
      <c r="Q3086" s="1"/>
      <c r="R3086" s="1"/>
    </row>
    <row r="3087" spans="2:18">
      <c r="B3087" s="1" t="s">
        <v>396</v>
      </c>
      <c r="C3087" s="2" t="s">
        <v>7</v>
      </c>
      <c r="D3087" s="2" t="s">
        <v>393</v>
      </c>
      <c r="E3087" s="3">
        <v>9.4</v>
      </c>
      <c r="F3087" s="3">
        <f>E3087/2</f>
        <v>4.7</v>
      </c>
      <c r="G3087" s="4">
        <v>42968</v>
      </c>
      <c r="M3087" s="1"/>
      <c r="N3087" s="1"/>
      <c r="O3087" s="1"/>
      <c r="P3087" s="1"/>
      <c r="Q3087" s="1"/>
      <c r="R3087" s="1"/>
    </row>
    <row r="3088" spans="2:18">
      <c r="B3088" s="1" t="s">
        <v>394</v>
      </c>
      <c r="C3088" s="2" t="s">
        <v>4</v>
      </c>
      <c r="D3088" s="2" t="s">
        <v>393</v>
      </c>
      <c r="E3088" s="3">
        <v>0.71</v>
      </c>
      <c r="F3088" s="3">
        <f>+E3088/2</f>
        <v>0.35499999999999998</v>
      </c>
      <c r="G3088" s="4">
        <v>41730</v>
      </c>
      <c r="M3088" s="1"/>
      <c r="N3088" s="1"/>
      <c r="O3088" s="1"/>
      <c r="P3088" s="1"/>
      <c r="Q3088" s="1"/>
      <c r="R3088" s="1"/>
    </row>
    <row r="3089" spans="2:18">
      <c r="B3089" s="1" t="s">
        <v>392</v>
      </c>
      <c r="C3089" s="2" t="s">
        <v>5</v>
      </c>
      <c r="D3089" s="2" t="s">
        <v>388</v>
      </c>
      <c r="E3089" s="3">
        <v>86</v>
      </c>
      <c r="F3089" s="3">
        <v>10</v>
      </c>
      <c r="G3089" s="4">
        <v>44488</v>
      </c>
      <c r="M3089" s="1"/>
      <c r="N3089" s="1"/>
      <c r="O3089" s="1"/>
      <c r="P3089" s="1"/>
      <c r="Q3089" s="1"/>
      <c r="R3089" s="1"/>
    </row>
    <row r="3090" spans="2:18">
      <c r="B3090" s="1" t="s">
        <v>390</v>
      </c>
      <c r="C3090" s="2" t="s">
        <v>5</v>
      </c>
      <c r="D3090" s="2" t="s">
        <v>388</v>
      </c>
      <c r="E3090" s="3">
        <v>86</v>
      </c>
      <c r="F3090" s="3">
        <v>10</v>
      </c>
      <c r="G3090" s="4">
        <v>44488</v>
      </c>
      <c r="M3090" s="1"/>
      <c r="N3090" s="1"/>
      <c r="O3090" s="1"/>
      <c r="P3090" s="1"/>
      <c r="Q3090" s="1"/>
      <c r="R3090" s="1"/>
    </row>
    <row r="3091" spans="2:18">
      <c r="B3091" s="1" t="s">
        <v>384</v>
      </c>
      <c r="C3091" s="2" t="s">
        <v>7</v>
      </c>
      <c r="D3091" s="2" t="s">
        <v>381</v>
      </c>
      <c r="E3091" s="3">
        <v>44</v>
      </c>
      <c r="F3091" s="3">
        <f>30/6</f>
        <v>5</v>
      </c>
      <c r="G3091" s="4">
        <v>43909</v>
      </c>
      <c r="M3091" s="1"/>
      <c r="N3091" s="1"/>
      <c r="O3091" s="1"/>
      <c r="P3091" s="1"/>
      <c r="Q3091" s="1"/>
      <c r="R3091" s="1"/>
    </row>
    <row r="3092" spans="2:18">
      <c r="B3092" s="1" t="s">
        <v>382</v>
      </c>
      <c r="C3092" s="2" t="s">
        <v>4</v>
      </c>
      <c r="D3092" s="2" t="s">
        <v>381</v>
      </c>
      <c r="E3092" s="3">
        <v>2.5</v>
      </c>
      <c r="F3092" s="3">
        <v>0.5</v>
      </c>
      <c r="G3092" s="4">
        <v>42936</v>
      </c>
      <c r="M3092" s="1"/>
      <c r="N3092" s="1"/>
      <c r="O3092" s="1"/>
      <c r="P3092" s="1"/>
      <c r="Q3092" s="1"/>
      <c r="R3092" s="1"/>
    </row>
    <row r="3093" spans="2:18">
      <c r="B3093" s="1" t="s">
        <v>380</v>
      </c>
      <c r="C3093" s="2" t="s">
        <v>7</v>
      </c>
      <c r="D3093" s="2" t="s">
        <v>370</v>
      </c>
      <c r="E3093" s="3">
        <v>120</v>
      </c>
      <c r="F3093" s="3">
        <v>30</v>
      </c>
      <c r="G3093" s="4">
        <v>44602</v>
      </c>
      <c r="M3093" s="1"/>
      <c r="N3093" s="1"/>
      <c r="O3093" s="1"/>
      <c r="P3093" s="1"/>
      <c r="Q3093" s="1"/>
      <c r="R3093" s="1"/>
    </row>
    <row r="3094" spans="2:18">
      <c r="B3094" s="1" t="s">
        <v>379</v>
      </c>
      <c r="C3094" s="2" t="s">
        <v>7</v>
      </c>
      <c r="D3094" s="2" t="s">
        <v>370</v>
      </c>
      <c r="E3094" s="3">
        <v>120</v>
      </c>
      <c r="F3094" s="3">
        <f>90/8</f>
        <v>11.25</v>
      </c>
      <c r="G3094" s="4">
        <v>44602</v>
      </c>
      <c r="M3094" s="1"/>
      <c r="N3094" s="1"/>
      <c r="O3094" s="1"/>
      <c r="P3094" s="1"/>
      <c r="Q3094" s="1"/>
      <c r="R3094" s="1"/>
    </row>
    <row r="3095" spans="2:18">
      <c r="B3095" s="1" t="s">
        <v>378</v>
      </c>
      <c r="C3095" s="2" t="s">
        <v>7</v>
      </c>
      <c r="D3095" s="2" t="s">
        <v>370</v>
      </c>
      <c r="E3095" s="3">
        <v>120</v>
      </c>
      <c r="F3095" s="3">
        <f>90/8</f>
        <v>11.25</v>
      </c>
      <c r="G3095" s="4">
        <v>44602</v>
      </c>
      <c r="M3095" s="1"/>
      <c r="N3095" s="1"/>
      <c r="O3095" s="1"/>
      <c r="P3095" s="1"/>
      <c r="Q3095" s="1"/>
      <c r="R3095" s="1"/>
    </row>
    <row r="3096" spans="2:18">
      <c r="B3096" s="1" t="s">
        <v>377</v>
      </c>
      <c r="C3096" s="2" t="s">
        <v>7</v>
      </c>
      <c r="D3096" s="2" t="s">
        <v>370</v>
      </c>
      <c r="E3096" s="3">
        <v>120</v>
      </c>
      <c r="F3096" s="3">
        <f>90/8</f>
        <v>11.25</v>
      </c>
      <c r="G3096" s="4">
        <v>44602</v>
      </c>
      <c r="M3096" s="1"/>
      <c r="N3096" s="1"/>
      <c r="O3096" s="1"/>
      <c r="P3096" s="1"/>
      <c r="Q3096" s="1"/>
      <c r="R3096" s="1"/>
    </row>
    <row r="3097" spans="2:18">
      <c r="B3097" s="1" t="s">
        <v>375</v>
      </c>
      <c r="C3097" s="2" t="s">
        <v>5</v>
      </c>
      <c r="D3097" s="2" t="s">
        <v>370</v>
      </c>
      <c r="E3097" s="3">
        <v>50</v>
      </c>
      <c r="F3097" s="3">
        <f>25/2</f>
        <v>12.5</v>
      </c>
      <c r="G3097" s="4">
        <v>43039</v>
      </c>
      <c r="M3097" s="1"/>
      <c r="N3097" s="1"/>
      <c r="O3097" s="1"/>
      <c r="P3097" s="1"/>
      <c r="Q3097" s="1"/>
      <c r="R3097" s="1"/>
    </row>
    <row r="3098" spans="2:18">
      <c r="B3098" s="1" t="s">
        <v>374</v>
      </c>
      <c r="C3098" s="2" t="s">
        <v>5</v>
      </c>
      <c r="D3098" s="2" t="s">
        <v>370</v>
      </c>
      <c r="E3098" s="3">
        <v>50</v>
      </c>
      <c r="F3098" s="3">
        <f>25/2</f>
        <v>12.5</v>
      </c>
      <c r="G3098" s="4">
        <v>43039</v>
      </c>
      <c r="M3098" s="1"/>
      <c r="N3098" s="1"/>
      <c r="O3098" s="1"/>
      <c r="P3098" s="1"/>
      <c r="Q3098" s="1"/>
      <c r="R3098" s="1"/>
    </row>
    <row r="3099" spans="2:18">
      <c r="B3099" s="1" t="s">
        <v>373</v>
      </c>
      <c r="C3099" s="2" t="s">
        <v>7</v>
      </c>
      <c r="D3099" s="2" t="s">
        <v>370</v>
      </c>
      <c r="E3099" s="3">
        <v>120</v>
      </c>
      <c r="F3099" s="3">
        <f>90/8</f>
        <v>11.25</v>
      </c>
      <c r="G3099" s="4">
        <v>44602</v>
      </c>
      <c r="M3099" s="1"/>
      <c r="N3099" s="1"/>
      <c r="O3099" s="1"/>
      <c r="P3099" s="1"/>
      <c r="Q3099" s="1"/>
      <c r="R3099" s="1"/>
    </row>
    <row r="3100" spans="2:18">
      <c r="B3100" s="1" t="s">
        <v>372</v>
      </c>
      <c r="C3100" s="2" t="s">
        <v>7</v>
      </c>
      <c r="D3100" s="2" t="s">
        <v>370</v>
      </c>
      <c r="E3100" s="3">
        <v>120</v>
      </c>
      <c r="F3100" s="3">
        <f>90/8</f>
        <v>11.25</v>
      </c>
      <c r="G3100" s="4">
        <v>44602</v>
      </c>
      <c r="M3100" s="1"/>
      <c r="N3100" s="1"/>
      <c r="O3100" s="1"/>
      <c r="P3100" s="1"/>
      <c r="Q3100" s="1"/>
      <c r="R3100" s="1"/>
    </row>
    <row r="3101" spans="2:18">
      <c r="B3101" s="1" t="s">
        <v>371</v>
      </c>
      <c r="C3101" s="2" t="s">
        <v>7</v>
      </c>
      <c r="D3101" s="2" t="s">
        <v>370</v>
      </c>
      <c r="E3101" s="3">
        <v>120</v>
      </c>
      <c r="F3101" s="3">
        <f>90/8</f>
        <v>11.25</v>
      </c>
      <c r="G3101" s="4">
        <v>44602</v>
      </c>
      <c r="M3101" s="1"/>
      <c r="N3101" s="1"/>
      <c r="O3101" s="1"/>
      <c r="P3101" s="1"/>
      <c r="Q3101" s="1"/>
      <c r="R3101" s="1"/>
    </row>
    <row r="3102" spans="2:18">
      <c r="B3102" s="1" t="s">
        <v>368</v>
      </c>
      <c r="C3102" s="2" t="s">
        <v>5</v>
      </c>
      <c r="D3102" s="2" t="s">
        <v>367</v>
      </c>
      <c r="E3102" s="3">
        <v>10.7</v>
      </c>
      <c r="F3102" s="3">
        <f>+E3102-8</f>
        <v>2.6999999999999993</v>
      </c>
      <c r="G3102" s="4">
        <v>43250</v>
      </c>
      <c r="M3102" s="1"/>
      <c r="N3102" s="1"/>
      <c r="O3102" s="1"/>
      <c r="P3102" s="1"/>
      <c r="Q3102" s="1"/>
      <c r="R3102" s="1"/>
    </row>
    <row r="3103" spans="2:18">
      <c r="B3103" s="1" t="s">
        <v>365</v>
      </c>
      <c r="C3103" s="2" t="s">
        <v>5</v>
      </c>
      <c r="D3103" s="2" t="s">
        <v>362</v>
      </c>
      <c r="E3103" s="3">
        <v>16</v>
      </c>
      <c r="F3103" s="3">
        <v>6</v>
      </c>
      <c r="G3103" s="4">
        <v>44663</v>
      </c>
      <c r="M3103" s="1"/>
      <c r="N3103" s="1"/>
      <c r="O3103" s="1"/>
      <c r="P3103" s="1"/>
      <c r="Q3103" s="1"/>
      <c r="R3103" s="1"/>
    </row>
    <row r="3104" spans="2:18">
      <c r="B3104" s="1" t="s">
        <v>364</v>
      </c>
      <c r="C3104" s="2" t="s">
        <v>4</v>
      </c>
      <c r="D3104" s="2" t="s">
        <v>362</v>
      </c>
      <c r="E3104" s="3">
        <v>12</v>
      </c>
      <c r="F3104" s="3">
        <v>6</v>
      </c>
      <c r="G3104" s="4">
        <v>44271</v>
      </c>
      <c r="M3104" s="1"/>
      <c r="N3104" s="1"/>
      <c r="O3104" s="1"/>
      <c r="P3104" s="1"/>
      <c r="Q3104" s="1"/>
      <c r="R3104" s="1"/>
    </row>
    <row r="3105" spans="2:18">
      <c r="B3105" s="1" t="s">
        <v>363</v>
      </c>
      <c r="C3105" s="2" t="s">
        <v>4</v>
      </c>
      <c r="D3105" s="2" t="s">
        <v>362</v>
      </c>
      <c r="E3105" s="3">
        <v>12</v>
      </c>
      <c r="F3105" s="3">
        <v>3</v>
      </c>
      <c r="G3105" s="4">
        <v>44271</v>
      </c>
      <c r="M3105" s="1"/>
      <c r="N3105" s="1"/>
      <c r="O3105" s="1"/>
      <c r="P3105" s="1"/>
      <c r="Q3105" s="1"/>
      <c r="R3105" s="1"/>
    </row>
    <row r="3106" spans="2:18">
      <c r="B3106" s="1" t="s">
        <v>361</v>
      </c>
      <c r="C3106" s="2" t="s">
        <v>7</v>
      </c>
      <c r="D3106" s="2" t="s">
        <v>358</v>
      </c>
      <c r="E3106" s="3">
        <v>22</v>
      </c>
      <c r="F3106" s="3">
        <v>12</v>
      </c>
      <c r="G3106" s="4">
        <v>44861</v>
      </c>
      <c r="M3106" s="1"/>
      <c r="N3106" s="1"/>
      <c r="O3106" s="1"/>
      <c r="P3106" s="1"/>
      <c r="Q3106" s="1"/>
      <c r="R3106" s="1"/>
    </row>
    <row r="3107" spans="2:18">
      <c r="B3107" s="1" t="s">
        <v>357</v>
      </c>
      <c r="C3107" s="2" t="s">
        <v>4</v>
      </c>
      <c r="D3107" s="2" t="s">
        <v>354</v>
      </c>
      <c r="E3107" s="3">
        <v>3.5</v>
      </c>
      <c r="F3107" s="3">
        <f>E3107/10</f>
        <v>0.35</v>
      </c>
      <c r="G3107" s="4">
        <v>43046</v>
      </c>
      <c r="L3107" s="1">
        <v>0</v>
      </c>
      <c r="M3107" s="1"/>
      <c r="N3107" s="1"/>
      <c r="O3107" s="1"/>
      <c r="P3107" s="1"/>
      <c r="Q3107" s="1"/>
      <c r="R3107" s="1"/>
    </row>
    <row r="3108" spans="2:18">
      <c r="B3108" s="1" t="s">
        <v>356</v>
      </c>
      <c r="C3108" s="2" t="s">
        <v>4</v>
      </c>
      <c r="D3108" s="2" t="s">
        <v>354</v>
      </c>
      <c r="E3108" s="3">
        <v>3.5</v>
      </c>
      <c r="F3108" s="3">
        <f>E3108/10</f>
        <v>0.35</v>
      </c>
      <c r="G3108" s="4">
        <v>43046</v>
      </c>
      <c r="L3108" s="1">
        <v>0</v>
      </c>
      <c r="M3108" s="1"/>
      <c r="N3108" s="1"/>
      <c r="O3108" s="1"/>
      <c r="P3108" s="1"/>
      <c r="Q3108" s="1"/>
      <c r="R3108" s="1"/>
    </row>
    <row r="3109" spans="2:18">
      <c r="B3109" s="1" t="s">
        <v>355</v>
      </c>
      <c r="C3109" s="2" t="s">
        <v>4</v>
      </c>
      <c r="D3109" s="2" t="s">
        <v>354</v>
      </c>
      <c r="E3109" s="3">
        <v>3.5</v>
      </c>
      <c r="F3109" s="3">
        <f>E3109/10</f>
        <v>0.35</v>
      </c>
      <c r="G3109" s="4">
        <v>43046</v>
      </c>
      <c r="L3109" s="1">
        <v>0</v>
      </c>
      <c r="M3109" s="1"/>
      <c r="N3109" s="1"/>
      <c r="O3109" s="1"/>
      <c r="P3109" s="1"/>
      <c r="Q3109" s="1"/>
      <c r="R3109" s="1"/>
    </row>
    <row r="3110" spans="2:18">
      <c r="B3110" s="1" t="s">
        <v>353</v>
      </c>
      <c r="C3110" s="2" t="s">
        <v>4</v>
      </c>
      <c r="D3110" s="2" t="s">
        <v>348</v>
      </c>
      <c r="E3110" s="3">
        <v>3.5</v>
      </c>
      <c r="F3110" s="3">
        <v>1.25</v>
      </c>
      <c r="G3110" s="4">
        <v>44636</v>
      </c>
      <c r="M3110" s="1"/>
      <c r="N3110" s="1"/>
      <c r="O3110" s="1"/>
      <c r="P3110" s="1"/>
      <c r="Q3110" s="1"/>
      <c r="R3110" s="1"/>
    </row>
    <row r="3111" spans="2:18">
      <c r="B3111" s="1" t="s">
        <v>352</v>
      </c>
      <c r="C3111" s="2" t="s">
        <v>4</v>
      </c>
      <c r="D3111" s="2" t="s">
        <v>348</v>
      </c>
      <c r="E3111" s="3">
        <v>3.5</v>
      </c>
      <c r="F3111" s="3">
        <v>0.5</v>
      </c>
      <c r="G3111" s="4">
        <v>44636</v>
      </c>
      <c r="M3111" s="1"/>
      <c r="N3111" s="1"/>
      <c r="O3111" s="1"/>
      <c r="P3111" s="1"/>
      <c r="Q3111" s="1"/>
      <c r="R3111" s="1"/>
    </row>
    <row r="3112" spans="2:18">
      <c r="B3112" s="1" t="s">
        <v>351</v>
      </c>
      <c r="C3112" s="2" t="s">
        <v>4</v>
      </c>
      <c r="D3112" s="2" t="s">
        <v>348</v>
      </c>
      <c r="E3112" s="3">
        <v>3.5</v>
      </c>
      <c r="F3112" s="3">
        <v>0.5</v>
      </c>
      <c r="G3112" s="4">
        <v>44636</v>
      </c>
      <c r="M3112" s="1"/>
      <c r="N3112" s="1"/>
      <c r="O3112" s="1"/>
      <c r="P3112" s="1"/>
      <c r="Q3112" s="1"/>
      <c r="R3112" s="1"/>
    </row>
    <row r="3113" spans="2:18">
      <c r="B3113" s="1" t="s">
        <v>350</v>
      </c>
      <c r="C3113" s="2" t="s">
        <v>285</v>
      </c>
      <c r="D3113" s="2" t="s">
        <v>348</v>
      </c>
      <c r="E3113" s="3">
        <v>0.75</v>
      </c>
      <c r="F3113" s="3">
        <f>+E3113/3</f>
        <v>0.25</v>
      </c>
      <c r="G3113" s="4">
        <v>44043</v>
      </c>
      <c r="M3113" s="1"/>
      <c r="N3113" s="1"/>
      <c r="O3113" s="1"/>
      <c r="P3113" s="1"/>
      <c r="Q3113" s="1"/>
      <c r="R3113" s="1"/>
    </row>
    <row r="3114" spans="2:18">
      <c r="B3114" s="1" t="s">
        <v>349</v>
      </c>
      <c r="C3114" s="2" t="s">
        <v>285</v>
      </c>
      <c r="D3114" s="2" t="s">
        <v>348</v>
      </c>
      <c r="E3114" s="3">
        <v>0.75</v>
      </c>
      <c r="F3114" s="3">
        <f>+E3114/3</f>
        <v>0.25</v>
      </c>
      <c r="G3114" s="4">
        <v>44043</v>
      </c>
      <c r="M3114" s="1"/>
      <c r="N3114" s="1"/>
      <c r="O3114" s="1"/>
      <c r="P3114" s="1"/>
      <c r="Q3114" s="1"/>
      <c r="R3114" s="1"/>
    </row>
    <row r="3115" spans="2:18">
      <c r="B3115" s="1" t="s">
        <v>347</v>
      </c>
      <c r="C3115" s="2" t="s">
        <v>4</v>
      </c>
      <c r="D3115" s="2" t="s">
        <v>343</v>
      </c>
      <c r="E3115" s="3">
        <v>3</v>
      </c>
      <c r="F3115" s="3">
        <v>0.75</v>
      </c>
      <c r="G3115" s="4">
        <v>44327</v>
      </c>
      <c r="M3115" s="1"/>
      <c r="N3115" s="1"/>
      <c r="O3115" s="1"/>
      <c r="P3115" s="1"/>
      <c r="Q3115" s="1"/>
      <c r="R3115" s="1"/>
    </row>
    <row r="3116" spans="2:18">
      <c r="B3116" s="1" t="s">
        <v>346</v>
      </c>
      <c r="C3116" s="2" t="s">
        <v>4</v>
      </c>
      <c r="D3116" s="2" t="s">
        <v>343</v>
      </c>
      <c r="E3116" s="3">
        <v>3</v>
      </c>
      <c r="F3116" s="3">
        <v>0.75</v>
      </c>
      <c r="G3116" s="4">
        <v>44327</v>
      </c>
      <c r="M3116" s="1"/>
      <c r="N3116" s="1"/>
      <c r="O3116" s="1"/>
      <c r="P3116" s="1"/>
      <c r="Q3116" s="1"/>
      <c r="R3116" s="1"/>
    </row>
    <row r="3117" spans="2:18">
      <c r="B3117" s="1" t="s">
        <v>345</v>
      </c>
      <c r="C3117" s="2" t="s">
        <v>4</v>
      </c>
      <c r="D3117" s="2" t="s">
        <v>343</v>
      </c>
      <c r="E3117" s="3">
        <v>3</v>
      </c>
      <c r="F3117" s="3">
        <f>1.5/4</f>
        <v>0.375</v>
      </c>
      <c r="G3117" s="4">
        <v>44327</v>
      </c>
      <c r="M3117" s="1"/>
      <c r="N3117" s="1"/>
      <c r="O3117" s="1"/>
      <c r="P3117" s="1"/>
      <c r="Q3117" s="1"/>
      <c r="R3117" s="1"/>
    </row>
    <row r="3118" spans="2:18">
      <c r="B3118" s="1" t="s">
        <v>344</v>
      </c>
      <c r="C3118" s="2" t="s">
        <v>4</v>
      </c>
      <c r="D3118" s="2" t="s">
        <v>343</v>
      </c>
      <c r="E3118" s="3">
        <v>3</v>
      </c>
      <c r="F3118" s="3">
        <f>1.5/4</f>
        <v>0.375</v>
      </c>
      <c r="G3118" s="4">
        <v>44327</v>
      </c>
      <c r="M3118" s="1"/>
      <c r="N3118" s="1"/>
      <c r="O3118" s="1"/>
      <c r="P3118" s="1"/>
      <c r="Q3118" s="1"/>
      <c r="R3118" s="1"/>
    </row>
    <row r="3119" spans="2:18">
      <c r="B3119" s="1" t="s">
        <v>341</v>
      </c>
      <c r="C3119" s="2" t="s">
        <v>4</v>
      </c>
      <c r="D3119" s="2" t="s">
        <v>339</v>
      </c>
      <c r="E3119" s="3">
        <v>5.0999999999999996</v>
      </c>
      <c r="F3119" s="3">
        <f>E3119/5</f>
        <v>1.02</v>
      </c>
      <c r="G3119" s="4">
        <v>43990</v>
      </c>
      <c r="M3119" s="1"/>
      <c r="N3119" s="1"/>
      <c r="O3119" s="1"/>
      <c r="P3119" s="1"/>
      <c r="Q3119" s="1"/>
      <c r="R3119" s="1"/>
    </row>
    <row r="3120" spans="2:18">
      <c r="B3120" s="1" t="s">
        <v>340</v>
      </c>
      <c r="C3120" s="2" t="s">
        <v>4</v>
      </c>
      <c r="D3120" s="2" t="s">
        <v>339</v>
      </c>
      <c r="E3120" s="3">
        <v>5.0999999999999996</v>
      </c>
      <c r="F3120" s="3">
        <f>E3120/5</f>
        <v>1.02</v>
      </c>
      <c r="G3120" s="4">
        <v>43990</v>
      </c>
      <c r="M3120" s="1"/>
      <c r="N3120" s="1"/>
      <c r="O3120" s="1"/>
      <c r="P3120" s="1"/>
      <c r="Q3120" s="1"/>
      <c r="R3120" s="1"/>
    </row>
    <row r="3121" spans="2:18">
      <c r="B3121" s="1" t="s">
        <v>338</v>
      </c>
      <c r="C3121" s="2" t="s">
        <v>4</v>
      </c>
      <c r="D3121" s="2" t="s">
        <v>336</v>
      </c>
      <c r="E3121" s="3">
        <v>5</v>
      </c>
      <c r="F3121" s="3">
        <v>3</v>
      </c>
      <c r="G3121" s="4">
        <v>43224</v>
      </c>
      <c r="L3121" s="1">
        <v>0</v>
      </c>
      <c r="M3121" s="1"/>
      <c r="N3121" s="1"/>
      <c r="O3121" s="1"/>
      <c r="P3121" s="1"/>
      <c r="Q3121" s="1"/>
      <c r="R3121" s="1"/>
    </row>
    <row r="3122" spans="2:18">
      <c r="B3122" s="1" t="s">
        <v>337</v>
      </c>
      <c r="C3122" s="2" t="s">
        <v>4</v>
      </c>
      <c r="D3122" s="2" t="s">
        <v>336</v>
      </c>
      <c r="E3122" s="3">
        <v>5</v>
      </c>
      <c r="F3122" s="3">
        <v>1</v>
      </c>
      <c r="G3122" s="4">
        <v>43224</v>
      </c>
      <c r="L3122" s="1">
        <v>0</v>
      </c>
      <c r="M3122" s="1"/>
      <c r="N3122" s="1"/>
      <c r="O3122" s="1"/>
      <c r="P3122" s="1"/>
      <c r="Q3122" s="1"/>
      <c r="R3122" s="1"/>
    </row>
    <row r="3123" spans="2:18">
      <c r="B3123" s="1" t="s">
        <v>333</v>
      </c>
      <c r="C3123" s="2" t="s">
        <v>5</v>
      </c>
      <c r="D3123" s="2" t="s">
        <v>325</v>
      </c>
      <c r="E3123" s="3">
        <v>16</v>
      </c>
      <c r="F3123" s="3">
        <v>2</v>
      </c>
      <c r="G3123" s="4">
        <v>43783</v>
      </c>
      <c r="L3123" s="1">
        <f>+F3123*5</f>
        <v>10</v>
      </c>
      <c r="M3123" s="1"/>
      <c r="N3123" s="1"/>
      <c r="O3123" s="1"/>
      <c r="P3123" s="1"/>
      <c r="Q3123" s="1"/>
      <c r="R3123" s="1"/>
    </row>
    <row r="3124" spans="2:18">
      <c r="B3124" s="1" t="s">
        <v>330</v>
      </c>
      <c r="C3124" s="2" t="s">
        <v>5</v>
      </c>
      <c r="D3124" s="2" t="s">
        <v>325</v>
      </c>
      <c r="E3124" s="3">
        <v>16</v>
      </c>
      <c r="F3124" s="3">
        <v>2</v>
      </c>
      <c r="G3124" s="4">
        <v>43783</v>
      </c>
      <c r="L3124" s="1">
        <f>+F3124*5</f>
        <v>10</v>
      </c>
      <c r="M3124" s="1"/>
      <c r="N3124" s="1"/>
      <c r="O3124" s="1"/>
      <c r="P3124" s="1"/>
      <c r="Q3124" s="1"/>
      <c r="R3124" s="1"/>
    </row>
    <row r="3125" spans="2:18">
      <c r="B3125" s="1" t="s">
        <v>328</v>
      </c>
      <c r="C3125" s="2" t="s">
        <v>18</v>
      </c>
      <c r="D3125" s="2" t="s">
        <v>325</v>
      </c>
      <c r="E3125" s="3">
        <v>91</v>
      </c>
      <c r="F3125" s="3">
        <f>70/8</f>
        <v>8.75</v>
      </c>
      <c r="G3125" s="4">
        <v>44867</v>
      </c>
      <c r="M3125" s="1"/>
      <c r="N3125" s="1"/>
      <c r="O3125" s="1"/>
      <c r="P3125" s="1"/>
      <c r="Q3125" s="1"/>
      <c r="R3125" s="1"/>
    </row>
    <row r="3126" spans="2:18">
      <c r="B3126" s="1" t="s">
        <v>327</v>
      </c>
      <c r="C3126" s="2" t="s">
        <v>18</v>
      </c>
      <c r="D3126" s="2" t="s">
        <v>325</v>
      </c>
      <c r="E3126" s="3">
        <v>91</v>
      </c>
      <c r="F3126" s="3">
        <f>70/8</f>
        <v>8.75</v>
      </c>
      <c r="G3126" s="4">
        <v>44867</v>
      </c>
      <c r="M3126" s="1"/>
      <c r="N3126" s="1"/>
      <c r="O3126" s="1"/>
      <c r="P3126" s="1"/>
      <c r="Q3126" s="1"/>
      <c r="R3126" s="1"/>
    </row>
    <row r="3127" spans="2:18">
      <c r="B3127" s="1" t="s">
        <v>326</v>
      </c>
      <c r="C3127" s="2" t="s">
        <v>18</v>
      </c>
      <c r="D3127" s="2" t="s">
        <v>325</v>
      </c>
      <c r="E3127" s="3">
        <v>91</v>
      </c>
      <c r="F3127" s="3">
        <f>70/8</f>
        <v>8.75</v>
      </c>
      <c r="G3127" s="4">
        <v>44867</v>
      </c>
      <c r="M3127" s="1"/>
      <c r="N3127" s="1"/>
      <c r="O3127" s="1"/>
      <c r="P3127" s="1"/>
      <c r="Q3127" s="1"/>
      <c r="R3127" s="1"/>
    </row>
    <row r="3128" spans="2:18">
      <c r="B3128" s="1" t="s">
        <v>324</v>
      </c>
      <c r="C3128" s="2" t="s">
        <v>5</v>
      </c>
      <c r="D3128" s="2" t="s">
        <v>320</v>
      </c>
      <c r="E3128" s="3">
        <v>57</v>
      </c>
      <c r="F3128" s="3">
        <v>12</v>
      </c>
      <c r="G3128" s="4">
        <v>44508</v>
      </c>
      <c r="M3128" s="1"/>
      <c r="N3128" s="1"/>
      <c r="O3128" s="1"/>
      <c r="P3128" s="1"/>
      <c r="Q3128" s="1"/>
      <c r="R3128" s="1"/>
    </row>
    <row r="3129" spans="2:18">
      <c r="B3129" s="1" t="s">
        <v>323</v>
      </c>
      <c r="C3129" s="2" t="s">
        <v>5</v>
      </c>
      <c r="D3129" s="2" t="s">
        <v>320</v>
      </c>
      <c r="E3129" s="3">
        <v>57</v>
      </c>
      <c r="F3129" s="3">
        <v>5.625</v>
      </c>
      <c r="G3129" s="4">
        <v>44508</v>
      </c>
      <c r="M3129" s="1"/>
      <c r="N3129" s="1"/>
      <c r="O3129" s="1"/>
      <c r="P3129" s="1"/>
      <c r="Q3129" s="1"/>
      <c r="R3129" s="1"/>
    </row>
    <row r="3130" spans="2:18">
      <c r="B3130" s="1" t="s">
        <v>322</v>
      </c>
      <c r="C3130" s="2" t="s">
        <v>5</v>
      </c>
      <c r="D3130" s="2" t="s">
        <v>320</v>
      </c>
      <c r="E3130" s="3">
        <v>57</v>
      </c>
      <c r="F3130" s="3">
        <v>5.625</v>
      </c>
      <c r="G3130" s="4">
        <v>44508</v>
      </c>
      <c r="M3130" s="1"/>
      <c r="N3130" s="1"/>
      <c r="O3130" s="1"/>
      <c r="P3130" s="1"/>
      <c r="Q3130" s="1"/>
      <c r="R3130" s="1"/>
    </row>
    <row r="3131" spans="2:18">
      <c r="B3131" s="1" t="s">
        <v>321</v>
      </c>
      <c r="C3131" s="2" t="s">
        <v>5</v>
      </c>
      <c r="D3131" s="2" t="s">
        <v>320</v>
      </c>
      <c r="E3131" s="3">
        <v>57</v>
      </c>
      <c r="F3131" s="3">
        <v>5.625</v>
      </c>
      <c r="G3131" s="4">
        <v>44508</v>
      </c>
      <c r="M3131" s="1"/>
      <c r="N3131" s="1"/>
      <c r="O3131" s="1"/>
      <c r="P3131" s="1"/>
      <c r="Q3131" s="1"/>
      <c r="R3131" s="1"/>
    </row>
    <row r="3132" spans="2:18">
      <c r="B3132" s="1" t="s">
        <v>318</v>
      </c>
      <c r="C3132" s="2" t="s">
        <v>18</v>
      </c>
      <c r="D3132" s="2" t="s">
        <v>317</v>
      </c>
      <c r="E3132" s="3">
        <v>110</v>
      </c>
      <c r="F3132" s="3">
        <v>14</v>
      </c>
      <c r="G3132" s="4">
        <v>44369</v>
      </c>
      <c r="M3132" s="1"/>
      <c r="N3132" s="1"/>
      <c r="O3132" s="1"/>
      <c r="P3132" s="1"/>
      <c r="Q3132" s="1"/>
      <c r="R3132" s="1"/>
    </row>
    <row r="3133" spans="2:18">
      <c r="B3133" s="1" t="s">
        <v>316</v>
      </c>
      <c r="C3133" s="2" t="s">
        <v>5</v>
      </c>
      <c r="D3133" s="2" t="s">
        <v>309</v>
      </c>
      <c r="E3133" s="3">
        <v>10</v>
      </c>
      <c r="F3133" s="3">
        <v>1.4</v>
      </c>
      <c r="G3133" s="4">
        <v>44637</v>
      </c>
    </row>
    <row r="3134" spans="2:18">
      <c r="B3134" s="1" t="s">
        <v>315</v>
      </c>
      <c r="C3134" s="2" t="s">
        <v>5</v>
      </c>
      <c r="D3134" s="2" t="s">
        <v>309</v>
      </c>
      <c r="E3134" s="3">
        <v>10</v>
      </c>
      <c r="F3134" s="3">
        <v>1.4</v>
      </c>
      <c r="G3134" s="4">
        <v>44637</v>
      </c>
    </row>
    <row r="3135" spans="2:18">
      <c r="B3135" s="1" t="s">
        <v>313</v>
      </c>
      <c r="C3135" s="2" t="s">
        <v>4</v>
      </c>
      <c r="D3135" s="2" t="s">
        <v>309</v>
      </c>
      <c r="E3135" s="3">
        <v>1.8</v>
      </c>
      <c r="F3135" s="3">
        <f>+E3135/9</f>
        <v>0.2</v>
      </c>
      <c r="G3135" s="4">
        <v>42690</v>
      </c>
    </row>
    <row r="3136" spans="2:18">
      <c r="B3136" s="1" t="s">
        <v>312</v>
      </c>
      <c r="C3136" s="2" t="s">
        <v>4</v>
      </c>
      <c r="D3136" s="2" t="s">
        <v>309</v>
      </c>
      <c r="E3136" s="3">
        <v>1.8</v>
      </c>
      <c r="F3136" s="3">
        <f>+E3136/9</f>
        <v>0.2</v>
      </c>
      <c r="G3136" s="4">
        <v>42690</v>
      </c>
    </row>
    <row r="3137" spans="2:7">
      <c r="B3137" s="1" t="s">
        <v>311</v>
      </c>
      <c r="C3137" s="2" t="s">
        <v>4</v>
      </c>
      <c r="D3137" s="2" t="s">
        <v>309</v>
      </c>
      <c r="E3137" s="3">
        <v>1.8</v>
      </c>
      <c r="F3137" s="3">
        <f>+E3137/9</f>
        <v>0.2</v>
      </c>
      <c r="G3137" s="4">
        <v>42690</v>
      </c>
    </row>
    <row r="3138" spans="2:7">
      <c r="B3138" s="1" t="s">
        <v>310</v>
      </c>
      <c r="C3138" s="2" t="s">
        <v>4</v>
      </c>
      <c r="D3138" s="2" t="s">
        <v>309</v>
      </c>
      <c r="E3138" s="3">
        <v>1.8</v>
      </c>
      <c r="F3138" s="3">
        <f>+E3138/9</f>
        <v>0.2</v>
      </c>
      <c r="G3138" s="4">
        <v>42690</v>
      </c>
    </row>
    <row r="3139" spans="2:7">
      <c r="B3139" s="1" t="s">
        <v>308</v>
      </c>
      <c r="C3139" s="2" t="s">
        <v>5</v>
      </c>
      <c r="D3139" s="2" t="s">
        <v>305</v>
      </c>
      <c r="E3139" s="3">
        <v>15</v>
      </c>
      <c r="F3139" s="3">
        <v>2</v>
      </c>
      <c r="G3139" s="4">
        <v>44314</v>
      </c>
    </row>
    <row r="3140" spans="2:7">
      <c r="B3140" s="1" t="s">
        <v>307</v>
      </c>
      <c r="C3140" s="2" t="s">
        <v>5</v>
      </c>
      <c r="D3140" s="2" t="s">
        <v>305</v>
      </c>
      <c r="E3140" s="3">
        <v>15</v>
      </c>
      <c r="F3140" s="3">
        <v>2</v>
      </c>
      <c r="G3140" s="4">
        <v>44314</v>
      </c>
    </row>
    <row r="3141" spans="2:7">
      <c r="B3141" s="1" t="s">
        <v>302</v>
      </c>
      <c r="C3141" s="2" t="s">
        <v>18</v>
      </c>
      <c r="D3141" s="2" t="s">
        <v>299</v>
      </c>
      <c r="E3141" s="3">
        <v>38</v>
      </c>
      <c r="F3141" s="3">
        <v>6</v>
      </c>
      <c r="G3141" s="4">
        <v>43104</v>
      </c>
    </row>
    <row r="3142" spans="2:7">
      <c r="B3142" s="1" t="s">
        <v>298</v>
      </c>
      <c r="C3142" s="2" t="s">
        <v>5</v>
      </c>
      <c r="D3142" s="2" t="s">
        <v>296</v>
      </c>
      <c r="E3142" s="3">
        <v>30</v>
      </c>
      <c r="F3142" s="3">
        <f>20/5</f>
        <v>4</v>
      </c>
      <c r="G3142" s="4">
        <v>44474</v>
      </c>
    </row>
    <row r="3143" spans="2:7">
      <c r="B3143" s="1" t="s">
        <v>295</v>
      </c>
      <c r="C3143" s="2" t="s">
        <v>7</v>
      </c>
      <c r="D3143" s="2" t="s">
        <v>293</v>
      </c>
      <c r="E3143" s="3">
        <v>35</v>
      </c>
      <c r="F3143" s="3">
        <f>15/3</f>
        <v>5</v>
      </c>
      <c r="G3143" s="4">
        <v>44309</v>
      </c>
    </row>
    <row r="3144" spans="2:7">
      <c r="B3144" s="1" t="s">
        <v>294</v>
      </c>
      <c r="C3144" s="2" t="s">
        <v>7</v>
      </c>
      <c r="D3144" s="2" t="s">
        <v>293</v>
      </c>
      <c r="E3144" s="3">
        <v>35</v>
      </c>
      <c r="F3144" s="3">
        <f>15/3</f>
        <v>5</v>
      </c>
      <c r="G3144" s="4">
        <v>44309</v>
      </c>
    </row>
    <row r="3145" spans="2:7">
      <c r="B3145" s="1" t="s">
        <v>292</v>
      </c>
      <c r="C3145" s="2" t="s">
        <v>4</v>
      </c>
      <c r="D3145" s="2" t="s">
        <v>290</v>
      </c>
      <c r="E3145" s="3">
        <v>2.1</v>
      </c>
      <c r="F3145" s="3">
        <v>1.1000000000000001</v>
      </c>
      <c r="G3145" s="4">
        <v>44565</v>
      </c>
    </row>
    <row r="3146" spans="2:7">
      <c r="B3146" s="1" t="s">
        <v>291</v>
      </c>
      <c r="C3146" s="2" t="s">
        <v>4</v>
      </c>
      <c r="D3146" s="2" t="s">
        <v>290</v>
      </c>
      <c r="E3146" s="3">
        <v>2.1</v>
      </c>
      <c r="F3146" s="3">
        <v>1</v>
      </c>
      <c r="G3146" s="4">
        <v>44565</v>
      </c>
    </row>
    <row r="3147" spans="2:7">
      <c r="B3147" s="1" t="s">
        <v>289</v>
      </c>
      <c r="C3147" s="2" t="s">
        <v>5</v>
      </c>
      <c r="D3147" s="2" t="s">
        <v>288</v>
      </c>
      <c r="E3147" s="3">
        <v>32</v>
      </c>
      <c r="F3147" s="3">
        <v>5</v>
      </c>
      <c r="G3147" s="4">
        <v>44851</v>
      </c>
    </row>
    <row r="3148" spans="2:7">
      <c r="B3148" s="1" t="s">
        <v>287</v>
      </c>
      <c r="C3148" s="2" t="s">
        <v>4</v>
      </c>
      <c r="D3148" s="2" t="s">
        <v>284</v>
      </c>
      <c r="E3148" s="3">
        <v>0.125</v>
      </c>
      <c r="F3148" s="3">
        <v>5.0000000000000001E-3</v>
      </c>
      <c r="G3148" s="4">
        <v>44265</v>
      </c>
    </row>
    <row r="3149" spans="2:7">
      <c r="B3149" s="1" t="s">
        <v>286</v>
      </c>
      <c r="C3149" s="2" t="s">
        <v>285</v>
      </c>
      <c r="D3149" s="2" t="s">
        <v>284</v>
      </c>
      <c r="E3149" s="3">
        <v>0.2</v>
      </c>
      <c r="F3149" s="3">
        <v>0.1</v>
      </c>
      <c r="G3149" s="4">
        <v>44054</v>
      </c>
    </row>
    <row r="3150" spans="2:7">
      <c r="B3150" s="1" t="s">
        <v>282</v>
      </c>
      <c r="C3150" s="2" t="s">
        <v>8</v>
      </c>
      <c r="D3150" s="2" t="s">
        <v>265</v>
      </c>
      <c r="E3150" s="3">
        <v>111</v>
      </c>
      <c r="F3150" s="3">
        <f>97/14</f>
        <v>6.9285714285714288</v>
      </c>
      <c r="G3150" s="4">
        <v>44622</v>
      </c>
    </row>
    <row r="3151" spans="2:7">
      <c r="B3151" s="1" t="s">
        <v>278</v>
      </c>
      <c r="C3151" s="2" t="s">
        <v>8</v>
      </c>
      <c r="D3151" s="2" t="s">
        <v>265</v>
      </c>
      <c r="E3151" s="3">
        <v>111</v>
      </c>
      <c r="F3151" s="3">
        <f>97/14</f>
        <v>6.9285714285714288</v>
      </c>
      <c r="G3151" s="4">
        <v>44622</v>
      </c>
    </row>
    <row r="3152" spans="2:7">
      <c r="B3152" s="1" t="s">
        <v>276</v>
      </c>
      <c r="C3152" s="2" t="s">
        <v>8</v>
      </c>
      <c r="D3152" s="2" t="s">
        <v>265</v>
      </c>
      <c r="E3152" s="3">
        <v>111</v>
      </c>
      <c r="F3152" s="3">
        <f>97/14</f>
        <v>6.9285714285714288</v>
      </c>
      <c r="G3152" s="4">
        <v>44622</v>
      </c>
    </row>
    <row r="3153" spans="2:7">
      <c r="B3153" s="1" t="s">
        <v>275</v>
      </c>
      <c r="C3153" s="2" t="s">
        <v>8</v>
      </c>
      <c r="D3153" s="2" t="s">
        <v>265</v>
      </c>
      <c r="E3153" s="3">
        <v>111</v>
      </c>
      <c r="F3153" s="3">
        <f>97/14</f>
        <v>6.9285714285714288</v>
      </c>
      <c r="G3153" s="4">
        <v>44622</v>
      </c>
    </row>
    <row r="3154" spans="2:7">
      <c r="B3154" s="1" t="s">
        <v>273</v>
      </c>
      <c r="C3154" s="2" t="s">
        <v>18</v>
      </c>
      <c r="D3154" s="2" t="s">
        <v>265</v>
      </c>
      <c r="E3154" s="3">
        <v>55</v>
      </c>
      <c r="F3154" s="3">
        <v>5.625</v>
      </c>
      <c r="G3154" s="4">
        <v>44314</v>
      </c>
    </row>
    <row r="3155" spans="2:7">
      <c r="B3155" s="1" t="s">
        <v>272</v>
      </c>
      <c r="C3155" s="2" t="s">
        <v>5</v>
      </c>
      <c r="D3155" s="2" t="s">
        <v>265</v>
      </c>
      <c r="E3155" s="3">
        <v>14</v>
      </c>
      <c r="F3155" s="3">
        <v>1.6666666666666667</v>
      </c>
      <c r="G3155" s="4">
        <v>43690</v>
      </c>
    </row>
    <row r="3156" spans="2:7">
      <c r="B3156" s="1" t="s">
        <v>271</v>
      </c>
      <c r="C3156" s="2" t="s">
        <v>5</v>
      </c>
      <c r="D3156" s="2" t="s">
        <v>265</v>
      </c>
      <c r="E3156" s="3">
        <v>14</v>
      </c>
      <c r="F3156" s="3">
        <v>1.6666666666666667</v>
      </c>
      <c r="G3156" s="4">
        <v>43690</v>
      </c>
    </row>
    <row r="3157" spans="2:7">
      <c r="B3157" s="1" t="s">
        <v>269</v>
      </c>
      <c r="C3157" s="2" t="s">
        <v>4</v>
      </c>
      <c r="D3157" s="2" t="s">
        <v>265</v>
      </c>
      <c r="E3157" s="3">
        <v>3.5</v>
      </c>
      <c r="F3157" s="3">
        <f>+E3157/9</f>
        <v>0.3888888888888889</v>
      </c>
      <c r="G3157" s="4">
        <v>42979</v>
      </c>
    </row>
    <row r="3158" spans="2:7">
      <c r="B3158" s="1" t="s">
        <v>268</v>
      </c>
      <c r="C3158" s="2" t="s">
        <v>4</v>
      </c>
      <c r="D3158" s="2" t="s">
        <v>265</v>
      </c>
      <c r="E3158" s="3">
        <v>3.5</v>
      </c>
      <c r="F3158" s="3">
        <f>+E3158/9</f>
        <v>0.3888888888888889</v>
      </c>
      <c r="G3158" s="4">
        <v>42979</v>
      </c>
    </row>
    <row r="3159" spans="2:7">
      <c r="B3159" s="1" t="s">
        <v>267</v>
      </c>
      <c r="C3159" s="2" t="s">
        <v>4</v>
      </c>
      <c r="D3159" s="2" t="s">
        <v>265</v>
      </c>
      <c r="E3159" s="3">
        <v>3.5</v>
      </c>
      <c r="F3159" s="3">
        <f>+E3159/9</f>
        <v>0.3888888888888889</v>
      </c>
      <c r="G3159" s="4">
        <v>42979</v>
      </c>
    </row>
    <row r="3160" spans="2:7">
      <c r="B3160" s="1" t="s">
        <v>266</v>
      </c>
      <c r="C3160" s="2" t="s">
        <v>4</v>
      </c>
      <c r="D3160" s="2" t="s">
        <v>265</v>
      </c>
      <c r="E3160" s="3">
        <v>3.5</v>
      </c>
      <c r="F3160" s="3">
        <f>+E3160/9</f>
        <v>0.3888888888888889</v>
      </c>
      <c r="G3160" s="4">
        <v>42979</v>
      </c>
    </row>
    <row r="3161" spans="2:7">
      <c r="B3161" s="1" t="s">
        <v>263</v>
      </c>
      <c r="C3161" s="2" t="s">
        <v>8</v>
      </c>
      <c r="D3161" s="2" t="s">
        <v>260</v>
      </c>
      <c r="E3161" s="3">
        <v>600</v>
      </c>
      <c r="F3161" s="3">
        <f>500/8</f>
        <v>62.5</v>
      </c>
      <c r="G3161" s="4">
        <v>44502</v>
      </c>
    </row>
    <row r="3162" spans="2:7">
      <c r="B3162" s="1" t="s">
        <v>261</v>
      </c>
      <c r="C3162" s="2" t="s">
        <v>18</v>
      </c>
      <c r="D3162" s="2" t="s">
        <v>260</v>
      </c>
      <c r="E3162" s="3">
        <v>500</v>
      </c>
      <c r="F3162" s="3">
        <v>75</v>
      </c>
      <c r="G3162" s="4">
        <v>44144</v>
      </c>
    </row>
    <row r="3163" spans="2:7">
      <c r="B3163" s="1" t="s">
        <v>259</v>
      </c>
      <c r="C3163" s="2" t="s">
        <v>18</v>
      </c>
      <c r="D3163" s="2" t="s">
        <v>252</v>
      </c>
      <c r="E3163" s="3">
        <v>820</v>
      </c>
      <c r="F3163" s="3">
        <f>600/6</f>
        <v>100</v>
      </c>
      <c r="G3163" s="4">
        <v>43223</v>
      </c>
    </row>
    <row r="3164" spans="2:7">
      <c r="B3164" s="1" t="s">
        <v>258</v>
      </c>
      <c r="C3164" s="2" t="s">
        <v>18</v>
      </c>
      <c r="D3164" s="2" t="s">
        <v>252</v>
      </c>
      <c r="E3164" s="3">
        <v>820</v>
      </c>
      <c r="F3164" s="3">
        <f>600/6</f>
        <v>100</v>
      </c>
      <c r="G3164" s="4">
        <v>43223</v>
      </c>
    </row>
    <row r="3165" spans="2:7">
      <c r="B3165" s="1" t="s">
        <v>257</v>
      </c>
      <c r="C3165" s="2" t="s">
        <v>18</v>
      </c>
      <c r="D3165" s="2" t="s">
        <v>252</v>
      </c>
      <c r="E3165" s="3">
        <v>820</v>
      </c>
      <c r="F3165" s="3">
        <f>600/6</f>
        <v>100</v>
      </c>
      <c r="G3165" s="4">
        <v>43223</v>
      </c>
    </row>
    <row r="3166" spans="2:7">
      <c r="B3166" s="1" t="s">
        <v>251</v>
      </c>
      <c r="C3166" s="2" t="s">
        <v>8</v>
      </c>
      <c r="D3166" s="2" t="s">
        <v>239</v>
      </c>
      <c r="E3166" s="3">
        <v>750</v>
      </c>
      <c r="F3166" s="3">
        <f>450/4</f>
        <v>112.5</v>
      </c>
      <c r="G3166" s="4">
        <v>43593</v>
      </c>
    </row>
    <row r="3167" spans="2:7">
      <c r="B3167" s="1" t="s">
        <v>250</v>
      </c>
      <c r="C3167" s="2" t="s">
        <v>8</v>
      </c>
      <c r="D3167" s="2" t="s">
        <v>239</v>
      </c>
      <c r="E3167" s="3">
        <v>750</v>
      </c>
      <c r="F3167" s="3">
        <v>300</v>
      </c>
      <c r="G3167" s="4">
        <v>43593</v>
      </c>
    </row>
    <row r="3168" spans="2:7">
      <c r="B3168" s="1" t="s">
        <v>245</v>
      </c>
      <c r="C3168" s="2" t="s">
        <v>18</v>
      </c>
      <c r="D3168" s="2" t="s">
        <v>239</v>
      </c>
      <c r="E3168" s="3">
        <v>460</v>
      </c>
      <c r="F3168" s="3">
        <f>160/4</f>
        <v>40</v>
      </c>
      <c r="G3168" s="4">
        <v>43040</v>
      </c>
    </row>
    <row r="3169" spans="2:10">
      <c r="B3169" s="1" t="s">
        <v>244</v>
      </c>
      <c r="C3169" s="2" t="s">
        <v>18</v>
      </c>
      <c r="D3169" s="2" t="s">
        <v>239</v>
      </c>
      <c r="E3169" s="3">
        <v>460</v>
      </c>
      <c r="F3169" s="3">
        <f>160/4</f>
        <v>40</v>
      </c>
      <c r="G3169" s="4">
        <v>43040</v>
      </c>
    </row>
    <row r="3170" spans="2:10">
      <c r="B3170" s="1" t="s">
        <v>242</v>
      </c>
      <c r="C3170" s="2" t="s">
        <v>18</v>
      </c>
      <c r="D3170" s="2" t="s">
        <v>239</v>
      </c>
      <c r="E3170" s="3">
        <v>100</v>
      </c>
      <c r="F3170" s="3">
        <v>40</v>
      </c>
      <c r="G3170" s="4">
        <v>42735</v>
      </c>
    </row>
    <row r="3171" spans="2:10">
      <c r="B3171" s="84" t="s">
        <v>5050</v>
      </c>
      <c r="C3171" s="86" t="s">
        <v>5</v>
      </c>
      <c r="D3171" s="86" t="s">
        <v>2157</v>
      </c>
      <c r="E3171" s="3">
        <v>52.3</v>
      </c>
      <c r="F3171" s="5">
        <f>22/3</f>
        <v>7.333333333333333</v>
      </c>
      <c r="G3171" s="4">
        <v>43348</v>
      </c>
      <c r="J3171" s="1">
        <v>700</v>
      </c>
    </row>
    <row r="3172" spans="2:10">
      <c r="B3172" s="1" t="s">
        <v>237</v>
      </c>
      <c r="C3172" s="2" t="s">
        <v>8</v>
      </c>
      <c r="D3172" s="2" t="s">
        <v>218</v>
      </c>
      <c r="E3172" s="3">
        <v>700</v>
      </c>
      <c r="F3172" s="3">
        <v>100</v>
      </c>
      <c r="G3172" s="4">
        <v>44218</v>
      </c>
    </row>
    <row r="3173" spans="2:10">
      <c r="B3173" s="1" t="s">
        <v>236</v>
      </c>
      <c r="C3173" s="2" t="s">
        <v>8</v>
      </c>
      <c r="D3173" s="2" t="s">
        <v>218</v>
      </c>
      <c r="E3173" s="3">
        <v>700</v>
      </c>
      <c r="F3173" s="3">
        <v>100</v>
      </c>
      <c r="G3173" s="4">
        <v>44218</v>
      </c>
    </row>
    <row r="3174" spans="2:10">
      <c r="B3174" s="1" t="s">
        <v>235</v>
      </c>
      <c r="C3174" s="2" t="s">
        <v>8</v>
      </c>
      <c r="D3174" s="2" t="s">
        <v>218</v>
      </c>
      <c r="E3174" s="3">
        <v>700</v>
      </c>
      <c r="F3174" s="3">
        <f t="shared" si="0"/>
        <v>33.333333333333336</v>
      </c>
      <c r="G3174" s="4">
        <v>44218</v>
      </c>
    </row>
    <row r="3175" spans="2:10">
      <c r="B3175" s="1" t="s">
        <v>234</v>
      </c>
      <c r="C3175" s="2" t="s">
        <v>8</v>
      </c>
      <c r="D3175" s="2" t="s">
        <v>218</v>
      </c>
      <c r="E3175" s="3">
        <v>700</v>
      </c>
      <c r="F3175" s="3">
        <f t="shared" si="0"/>
        <v>33.333333333333336</v>
      </c>
      <c r="G3175" s="4">
        <v>44218</v>
      </c>
    </row>
    <row r="3176" spans="2:10">
      <c r="B3176" s="1" t="s">
        <v>233</v>
      </c>
      <c r="C3176" s="2" t="s">
        <v>8</v>
      </c>
      <c r="D3176" s="2" t="s">
        <v>218</v>
      </c>
      <c r="E3176" s="3">
        <v>700</v>
      </c>
      <c r="F3176" s="3">
        <f t="shared" si="0"/>
        <v>33.333333333333336</v>
      </c>
      <c r="G3176" s="4">
        <v>44218</v>
      </c>
    </row>
    <row r="3177" spans="2:10">
      <c r="B3177" s="1" t="s">
        <v>231</v>
      </c>
      <c r="C3177" s="2" t="s">
        <v>8</v>
      </c>
      <c r="D3177" s="2" t="s">
        <v>218</v>
      </c>
      <c r="E3177" s="3">
        <v>700</v>
      </c>
      <c r="F3177" s="3">
        <f t="shared" si="0"/>
        <v>33.333333333333336</v>
      </c>
      <c r="G3177" s="4">
        <v>44218</v>
      </c>
    </row>
    <row r="3178" spans="2:10">
      <c r="B3178" s="1" t="s">
        <v>230</v>
      </c>
      <c r="C3178" s="2" t="s">
        <v>8</v>
      </c>
      <c r="D3178" s="2" t="s">
        <v>218</v>
      </c>
      <c r="E3178" s="3">
        <v>700</v>
      </c>
      <c r="F3178" s="3">
        <f t="shared" si="0"/>
        <v>33.333333333333336</v>
      </c>
      <c r="G3178" s="4">
        <v>44218</v>
      </c>
    </row>
    <row r="3179" spans="2:10">
      <c r="B3179" s="1" t="s">
        <v>229</v>
      </c>
      <c r="C3179" s="2" t="s">
        <v>8</v>
      </c>
      <c r="D3179" s="2" t="s">
        <v>218</v>
      </c>
      <c r="E3179" s="3">
        <v>700</v>
      </c>
      <c r="F3179" s="3">
        <f t="shared" si="0"/>
        <v>33.333333333333336</v>
      </c>
      <c r="G3179" s="4">
        <v>44218</v>
      </c>
    </row>
    <row r="3180" spans="2:10">
      <c r="B3180" s="1" t="s">
        <v>228</v>
      </c>
      <c r="C3180" s="2" t="s">
        <v>18</v>
      </c>
      <c r="D3180" s="2" t="s">
        <v>218</v>
      </c>
      <c r="E3180" s="3">
        <v>230</v>
      </c>
      <c r="F3180" s="3">
        <f>E3180/6</f>
        <v>38.333333333333336</v>
      </c>
      <c r="G3180" s="4">
        <v>43923</v>
      </c>
    </row>
    <row r="3181" spans="2:10">
      <c r="B3181" s="1" t="s">
        <v>226</v>
      </c>
      <c r="C3181" s="2" t="s">
        <v>18</v>
      </c>
      <c r="D3181" s="2" t="s">
        <v>218</v>
      </c>
      <c r="E3181" s="3">
        <v>230</v>
      </c>
      <c r="F3181" s="3">
        <f>E3181/6</f>
        <v>38.333333333333336</v>
      </c>
      <c r="G3181" s="4">
        <v>43923</v>
      </c>
    </row>
    <row r="3182" spans="2:10">
      <c r="B3182" s="1" t="s">
        <v>225</v>
      </c>
      <c r="C3182" s="2" t="s">
        <v>18</v>
      </c>
      <c r="D3182" s="2" t="s">
        <v>218</v>
      </c>
      <c r="E3182" s="3">
        <v>140</v>
      </c>
      <c r="F3182" s="3">
        <f t="shared" ref="F3182:F3188" si="3">E3182/9</f>
        <v>15.555555555555555</v>
      </c>
      <c r="G3182" s="4">
        <v>43453</v>
      </c>
    </row>
    <row r="3183" spans="2:10">
      <c r="B3183" s="1" t="s">
        <v>224</v>
      </c>
      <c r="C3183" s="2" t="s">
        <v>18</v>
      </c>
      <c r="D3183" s="2" t="s">
        <v>218</v>
      </c>
      <c r="E3183" s="3">
        <v>140</v>
      </c>
      <c r="F3183" s="3">
        <f t="shared" si="3"/>
        <v>15.555555555555555</v>
      </c>
      <c r="G3183" s="4">
        <v>43453</v>
      </c>
    </row>
    <row r="3184" spans="2:10">
      <c r="B3184" s="1" t="s">
        <v>223</v>
      </c>
      <c r="C3184" s="2" t="s">
        <v>18</v>
      </c>
      <c r="D3184" s="2" t="s">
        <v>218</v>
      </c>
      <c r="E3184" s="3">
        <v>140</v>
      </c>
      <c r="F3184" s="3">
        <f t="shared" si="3"/>
        <v>15.555555555555555</v>
      </c>
      <c r="G3184" s="4">
        <v>43453</v>
      </c>
    </row>
    <row r="3185" spans="2:7">
      <c r="B3185" s="1" t="s">
        <v>222</v>
      </c>
      <c r="C3185" s="2" t="s">
        <v>18</v>
      </c>
      <c r="D3185" s="2" t="s">
        <v>218</v>
      </c>
      <c r="E3185" s="3">
        <v>140</v>
      </c>
      <c r="F3185" s="3">
        <f t="shared" si="3"/>
        <v>15.555555555555555</v>
      </c>
      <c r="G3185" s="4">
        <v>43453</v>
      </c>
    </row>
    <row r="3186" spans="2:7">
      <c r="B3186" s="1" t="s">
        <v>221</v>
      </c>
      <c r="C3186" s="2" t="s">
        <v>18</v>
      </c>
      <c r="D3186" s="2" t="s">
        <v>218</v>
      </c>
      <c r="E3186" s="3">
        <v>140</v>
      </c>
      <c r="F3186" s="3">
        <f t="shared" si="3"/>
        <v>15.555555555555555</v>
      </c>
      <c r="G3186" s="4">
        <v>43453</v>
      </c>
    </row>
    <row r="3187" spans="2:7">
      <c r="B3187" s="1" t="s">
        <v>220</v>
      </c>
      <c r="C3187" s="2" t="s">
        <v>18</v>
      </c>
      <c r="D3187" s="2" t="s">
        <v>218</v>
      </c>
      <c r="E3187" s="3">
        <v>140</v>
      </c>
      <c r="F3187" s="3">
        <f t="shared" si="3"/>
        <v>15.555555555555555</v>
      </c>
      <c r="G3187" s="4">
        <v>43453</v>
      </c>
    </row>
    <row r="3188" spans="2:7">
      <c r="B3188" s="1" t="s">
        <v>219</v>
      </c>
      <c r="C3188" s="2" t="s">
        <v>18</v>
      </c>
      <c r="D3188" s="2" t="s">
        <v>218</v>
      </c>
      <c r="E3188" s="3">
        <v>140</v>
      </c>
      <c r="F3188" s="3">
        <f t="shared" si="3"/>
        <v>15.555555555555555</v>
      </c>
      <c r="G3188" s="4">
        <v>43453</v>
      </c>
    </row>
    <row r="3189" spans="2:7">
      <c r="B3189" s="1" t="s">
        <v>4498</v>
      </c>
      <c r="C3189" s="2" t="s">
        <v>8</v>
      </c>
      <c r="D3189" s="2" t="s">
        <v>2176</v>
      </c>
      <c r="E3189" s="3">
        <v>220</v>
      </c>
      <c r="F3189" s="3">
        <v>20</v>
      </c>
      <c r="G3189" s="4">
        <v>44287</v>
      </c>
    </row>
    <row r="3190" spans="2:7">
      <c r="B3190" s="1" t="s">
        <v>213</v>
      </c>
      <c r="C3190" s="2" t="s">
        <v>18</v>
      </c>
      <c r="D3190" s="2" t="s">
        <v>203</v>
      </c>
      <c r="E3190" s="3">
        <v>500</v>
      </c>
      <c r="F3190" s="3">
        <f>200/9</f>
        <v>22.222222222222221</v>
      </c>
      <c r="G3190" s="4">
        <v>44274</v>
      </c>
    </row>
    <row r="3191" spans="2:7">
      <c r="B3191" s="1" t="s">
        <v>211</v>
      </c>
      <c r="C3191" s="2" t="s">
        <v>18</v>
      </c>
      <c r="D3191" s="2" t="s">
        <v>203</v>
      </c>
      <c r="E3191" s="3">
        <v>300</v>
      </c>
      <c r="F3191" s="3">
        <v>300</v>
      </c>
      <c r="G3191" s="4">
        <v>44462</v>
      </c>
    </row>
    <row r="3192" spans="2:7">
      <c r="B3192" s="1" t="s">
        <v>209</v>
      </c>
      <c r="C3192" s="2" t="s">
        <v>7</v>
      </c>
      <c r="D3192" s="2" t="s">
        <v>203</v>
      </c>
      <c r="E3192" s="3">
        <v>120</v>
      </c>
      <c r="F3192" s="3">
        <v>30</v>
      </c>
      <c r="G3192" s="4">
        <v>43391</v>
      </c>
    </row>
    <row r="3193" spans="2:7">
      <c r="B3193" s="1" t="s">
        <v>207</v>
      </c>
      <c r="C3193" s="2" t="s">
        <v>7</v>
      </c>
      <c r="D3193" s="2" t="s">
        <v>203</v>
      </c>
      <c r="E3193" s="3">
        <v>120</v>
      </c>
      <c r="F3193" s="3">
        <v>30</v>
      </c>
      <c r="G3193" s="4">
        <v>43391</v>
      </c>
    </row>
    <row r="3194" spans="2:7">
      <c r="G3194" s="4"/>
    </row>
    <row r="3195" spans="2:7">
      <c r="B3195" s="1" t="s">
        <v>206</v>
      </c>
      <c r="C3195" s="2" t="s">
        <v>7</v>
      </c>
      <c r="D3195" s="2" t="s">
        <v>203</v>
      </c>
      <c r="E3195" s="3">
        <v>120</v>
      </c>
      <c r="F3195" s="3">
        <v>30</v>
      </c>
      <c r="G3195" s="4">
        <v>43391</v>
      </c>
    </row>
    <row r="3196" spans="2:7">
      <c r="C3196" s="2" t="s">
        <v>5</v>
      </c>
      <c r="D3196" s="2" t="s">
        <v>166</v>
      </c>
      <c r="E3196" s="3">
        <v>102</v>
      </c>
      <c r="F3196" s="3">
        <v>8</v>
      </c>
      <c r="G3196" s="4">
        <v>43292</v>
      </c>
    </row>
    <row r="3197" spans="2:7">
      <c r="G3197" s="4"/>
    </row>
    <row r="3198" spans="2:7">
      <c r="B3198" s="1" t="s">
        <v>205</v>
      </c>
      <c r="C3198" s="2" t="s">
        <v>7</v>
      </c>
      <c r="D3198" s="2" t="s">
        <v>203</v>
      </c>
      <c r="E3198" s="3">
        <v>46</v>
      </c>
      <c r="F3198" s="3">
        <f>30/5</f>
        <v>6</v>
      </c>
      <c r="G3198" s="4">
        <v>42941</v>
      </c>
    </row>
    <row r="3199" spans="2:7">
      <c r="B3199" s="1" t="s">
        <v>204</v>
      </c>
      <c r="C3199" s="2" t="s">
        <v>5</v>
      </c>
      <c r="D3199" s="2" t="s">
        <v>203</v>
      </c>
      <c r="E3199" s="3">
        <v>5</v>
      </c>
      <c r="F3199" s="3">
        <f>E3199/3</f>
        <v>1.6666666666666667</v>
      </c>
      <c r="G3199" s="4">
        <v>42688</v>
      </c>
    </row>
    <row r="3200" spans="2:7">
      <c r="B3200" s="1" t="s">
        <v>202</v>
      </c>
      <c r="C3200" s="2" t="s">
        <v>55</v>
      </c>
      <c r="D3200" s="2" t="s">
        <v>181</v>
      </c>
      <c r="E3200" s="3">
        <v>475</v>
      </c>
      <c r="F3200" s="3">
        <f t="shared" ref="F3200:F3206" si="4">E3200/12</f>
        <v>39.583333333333336</v>
      </c>
      <c r="G3200" s="4">
        <v>44278</v>
      </c>
    </row>
    <row r="3201" spans="2:9">
      <c r="B3201" s="1" t="s">
        <v>201</v>
      </c>
      <c r="C3201" s="2" t="s">
        <v>55</v>
      </c>
      <c r="D3201" s="2" t="s">
        <v>181</v>
      </c>
      <c r="E3201" s="3">
        <v>475</v>
      </c>
      <c r="F3201" s="3">
        <f t="shared" si="4"/>
        <v>39.583333333333336</v>
      </c>
      <c r="G3201" s="4">
        <v>44278</v>
      </c>
    </row>
    <row r="3202" spans="2:9">
      <c r="B3202" s="1" t="s">
        <v>200</v>
      </c>
      <c r="C3202" s="2" t="s">
        <v>55</v>
      </c>
      <c r="D3202" s="2" t="s">
        <v>181</v>
      </c>
      <c r="E3202" s="3">
        <v>475</v>
      </c>
      <c r="F3202" s="3">
        <f t="shared" si="4"/>
        <v>39.583333333333336</v>
      </c>
      <c r="G3202" s="4">
        <v>44278</v>
      </c>
    </row>
    <row r="3203" spans="2:9">
      <c r="B3203" s="1" t="s">
        <v>199</v>
      </c>
      <c r="C3203" s="2" t="s">
        <v>55</v>
      </c>
      <c r="D3203" s="2" t="s">
        <v>181</v>
      </c>
      <c r="E3203" s="3">
        <v>475</v>
      </c>
      <c r="F3203" s="3">
        <f t="shared" si="4"/>
        <v>39.583333333333336</v>
      </c>
      <c r="G3203" s="4">
        <v>44278</v>
      </c>
    </row>
    <row r="3204" spans="2:9">
      <c r="B3204" s="1" t="s">
        <v>196</v>
      </c>
      <c r="C3204" s="2" t="s">
        <v>55</v>
      </c>
      <c r="D3204" s="2" t="s">
        <v>181</v>
      </c>
      <c r="E3204" s="3">
        <v>475</v>
      </c>
      <c r="F3204" s="3">
        <f t="shared" si="4"/>
        <v>39.583333333333336</v>
      </c>
      <c r="G3204" s="4">
        <v>44278</v>
      </c>
    </row>
    <row r="3205" spans="2:9">
      <c r="B3205" s="1" t="s">
        <v>195</v>
      </c>
      <c r="C3205" s="2" t="s">
        <v>55</v>
      </c>
      <c r="D3205" s="2" t="s">
        <v>181</v>
      </c>
      <c r="E3205" s="3">
        <v>475</v>
      </c>
      <c r="F3205" s="3">
        <f t="shared" si="4"/>
        <v>39.583333333333336</v>
      </c>
      <c r="G3205" s="4">
        <v>44278</v>
      </c>
    </row>
    <row r="3206" spans="2:9">
      <c r="B3206" s="1" t="s">
        <v>194</v>
      </c>
      <c r="C3206" s="2" t="s">
        <v>55</v>
      </c>
      <c r="D3206" s="2" t="s">
        <v>181</v>
      </c>
      <c r="E3206" s="3">
        <v>475</v>
      </c>
      <c r="F3206" s="3">
        <f t="shared" si="4"/>
        <v>39.583333333333336</v>
      </c>
      <c r="G3206" s="4">
        <v>44278</v>
      </c>
    </row>
    <row r="3207" spans="2:9">
      <c r="B3207" s="1" t="s">
        <v>193</v>
      </c>
      <c r="C3207" s="2" t="s">
        <v>9</v>
      </c>
      <c r="D3207" s="2" t="s">
        <v>181</v>
      </c>
      <c r="E3207" s="3">
        <v>392</v>
      </c>
      <c r="F3207" s="3">
        <f>E3207/5</f>
        <v>78.400000000000006</v>
      </c>
      <c r="G3207" s="4">
        <v>43280</v>
      </c>
      <c r="I3207" s="1">
        <v>1200</v>
      </c>
    </row>
    <row r="3208" spans="2:9">
      <c r="B3208" s="1" t="s">
        <v>192</v>
      </c>
      <c r="C3208" s="2" t="s">
        <v>9</v>
      </c>
      <c r="D3208" s="2" t="s">
        <v>181</v>
      </c>
      <c r="E3208" s="3">
        <v>392</v>
      </c>
      <c r="F3208" s="3">
        <f>E3208/5</f>
        <v>78.400000000000006</v>
      </c>
      <c r="G3208" s="4">
        <v>43280</v>
      </c>
      <c r="I3208" s="1">
        <v>1200</v>
      </c>
    </row>
    <row r="3209" spans="2:9">
      <c r="B3209" s="1" t="s">
        <v>191</v>
      </c>
      <c r="C3209" s="2" t="s">
        <v>9</v>
      </c>
      <c r="D3209" s="2" t="s">
        <v>181</v>
      </c>
      <c r="E3209" s="3">
        <v>392</v>
      </c>
      <c r="F3209" s="3">
        <f>E3209/5</f>
        <v>78.400000000000006</v>
      </c>
      <c r="G3209" s="4">
        <v>43280</v>
      </c>
      <c r="I3209" s="1">
        <v>1200</v>
      </c>
    </row>
    <row r="3210" spans="2:9">
      <c r="B3210" s="1" t="s">
        <v>190</v>
      </c>
      <c r="C3210" s="2" t="s">
        <v>9</v>
      </c>
      <c r="D3210" s="2" t="s">
        <v>181</v>
      </c>
      <c r="E3210" s="3">
        <v>392</v>
      </c>
      <c r="F3210" s="3">
        <f>E3210/5</f>
        <v>78.400000000000006</v>
      </c>
      <c r="G3210" s="4">
        <v>43280</v>
      </c>
      <c r="I3210" s="1">
        <v>1200</v>
      </c>
    </row>
    <row r="3211" spans="2:9">
      <c r="B3211" s="1" t="s">
        <v>189</v>
      </c>
      <c r="C3211" s="2" t="s">
        <v>8</v>
      </c>
      <c r="D3211" s="2" t="s">
        <v>181</v>
      </c>
      <c r="E3211" s="3">
        <v>130</v>
      </c>
      <c r="F3211" s="3">
        <f>104/9</f>
        <v>11.555555555555555</v>
      </c>
      <c r="G3211" s="4">
        <v>42080</v>
      </c>
      <c r="I3211" s="1">
        <v>570</v>
      </c>
    </row>
    <row r="3212" spans="2:9">
      <c r="B3212" s="1" t="s">
        <v>188</v>
      </c>
      <c r="C3212" s="2" t="s">
        <v>8</v>
      </c>
      <c r="D3212" s="2" t="s">
        <v>181</v>
      </c>
      <c r="E3212" s="3">
        <v>130</v>
      </c>
      <c r="F3212" s="3">
        <f>104/9</f>
        <v>11.555555555555555</v>
      </c>
      <c r="G3212" s="4">
        <v>42080</v>
      </c>
      <c r="I3212" s="1">
        <v>570</v>
      </c>
    </row>
    <row r="3213" spans="2:9">
      <c r="B3213" s="1" t="s">
        <v>187</v>
      </c>
      <c r="C3213" s="2" t="s">
        <v>8</v>
      </c>
      <c r="D3213" s="2" t="s">
        <v>181</v>
      </c>
      <c r="E3213" s="3">
        <v>130</v>
      </c>
      <c r="F3213" s="3">
        <f>104/9</f>
        <v>11.555555555555555</v>
      </c>
      <c r="G3213" s="4">
        <v>42080</v>
      </c>
      <c r="I3213" s="1">
        <v>570</v>
      </c>
    </row>
    <row r="3214" spans="2:9">
      <c r="G3214" s="4"/>
    </row>
    <row r="3215" spans="2:9">
      <c r="B3215" s="1" t="s">
        <v>185</v>
      </c>
      <c r="C3215" s="2" t="s">
        <v>18</v>
      </c>
      <c r="D3215" s="2" t="s">
        <v>181</v>
      </c>
      <c r="E3215" s="3">
        <v>34</v>
      </c>
      <c r="F3215" s="3">
        <f>14/3</f>
        <v>4.666666666666667</v>
      </c>
      <c r="G3215" s="4">
        <v>41437</v>
      </c>
    </row>
    <row r="3216" spans="2:9">
      <c r="C3216" s="2" t="s">
        <v>7</v>
      </c>
      <c r="D3216" s="2" t="s">
        <v>181</v>
      </c>
      <c r="E3216" s="3">
        <v>16.5</v>
      </c>
      <c r="F3216" s="3">
        <f>E3216/5</f>
        <v>3.3</v>
      </c>
      <c r="G3216" s="4">
        <v>41176</v>
      </c>
    </row>
    <row r="3217" spans="2:9">
      <c r="B3217" s="1" t="s">
        <v>184</v>
      </c>
      <c r="C3217" s="2" t="s">
        <v>18</v>
      </c>
      <c r="D3217" s="2" t="s">
        <v>181</v>
      </c>
      <c r="E3217" s="3">
        <v>34</v>
      </c>
      <c r="F3217" s="3">
        <f>14/3</f>
        <v>4.666666666666667</v>
      </c>
      <c r="G3217" s="4">
        <v>41437</v>
      </c>
    </row>
    <row r="3218" spans="2:9">
      <c r="C3218" s="2" t="s">
        <v>7</v>
      </c>
      <c r="D3218" s="2" t="s">
        <v>181</v>
      </c>
      <c r="E3218" s="3">
        <v>16.5</v>
      </c>
      <c r="F3218" s="3">
        <f>E3218/5</f>
        <v>3.3</v>
      </c>
      <c r="G3218" s="4">
        <v>41176</v>
      </c>
    </row>
    <row r="3219" spans="2:9">
      <c r="B3219" s="1" t="s">
        <v>183</v>
      </c>
      <c r="C3219" s="2" t="s">
        <v>7</v>
      </c>
      <c r="D3219" s="2" t="s">
        <v>181</v>
      </c>
      <c r="E3219" s="3">
        <v>16.5</v>
      </c>
      <c r="F3219" s="3">
        <f>E3219/5</f>
        <v>3.3</v>
      </c>
      <c r="G3219" s="4">
        <v>41176</v>
      </c>
    </row>
    <row r="3220" spans="2:9">
      <c r="B3220" s="1" t="s">
        <v>182</v>
      </c>
      <c r="C3220" s="2" t="s">
        <v>7</v>
      </c>
      <c r="D3220" s="2" t="s">
        <v>181</v>
      </c>
      <c r="E3220" s="3">
        <v>16.5</v>
      </c>
      <c r="F3220" s="3">
        <f>E3220/5</f>
        <v>3.3</v>
      </c>
      <c r="G3220" s="4">
        <v>41176</v>
      </c>
    </row>
    <row r="3221" spans="2:9">
      <c r="G3221" s="4"/>
    </row>
    <row r="3222" spans="2:9">
      <c r="B3222" s="1" t="s">
        <v>180</v>
      </c>
      <c r="C3222" s="2" t="s">
        <v>18</v>
      </c>
      <c r="D3222" s="2" t="s">
        <v>166</v>
      </c>
      <c r="E3222" s="3">
        <v>100</v>
      </c>
      <c r="F3222" s="3">
        <v>30</v>
      </c>
      <c r="G3222" s="4">
        <v>44235</v>
      </c>
      <c r="I3222" s="1">
        <v>5200</v>
      </c>
    </row>
    <row r="3223" spans="2:9">
      <c r="C3223" s="2" t="s">
        <v>18</v>
      </c>
      <c r="D3223" s="2" t="s">
        <v>166</v>
      </c>
      <c r="E3223" s="3">
        <v>267</v>
      </c>
      <c r="F3223" s="3">
        <v>100</v>
      </c>
      <c r="G3223" s="4">
        <v>44140</v>
      </c>
      <c r="I3223" s="1">
        <v>5000</v>
      </c>
    </row>
    <row r="3224" spans="2:9">
      <c r="C3224" s="2" t="s">
        <v>9</v>
      </c>
      <c r="D3224" s="2" t="s">
        <v>23</v>
      </c>
      <c r="E3224" s="3">
        <v>222</v>
      </c>
      <c r="F3224" s="3">
        <v>22</v>
      </c>
      <c r="G3224" s="4">
        <v>44194</v>
      </c>
      <c r="I3224" s="1">
        <v>2500</v>
      </c>
    </row>
    <row r="3225" spans="2:9">
      <c r="G3225" s="4"/>
    </row>
    <row r="3226" spans="2:9">
      <c r="B3226" s="1" t="s">
        <v>179</v>
      </c>
      <c r="C3226" s="2" t="s">
        <v>18</v>
      </c>
      <c r="D3226" s="2" t="s">
        <v>166</v>
      </c>
      <c r="E3226" s="3">
        <v>100</v>
      </c>
      <c r="F3226" s="3">
        <v>14</v>
      </c>
      <c r="G3226" s="4">
        <v>44235</v>
      </c>
      <c r="I3226" s="1">
        <v>5200</v>
      </c>
    </row>
    <row r="3227" spans="2:9">
      <c r="C3227" s="2" t="s">
        <v>18</v>
      </c>
      <c r="D3227" s="2" t="s">
        <v>166</v>
      </c>
      <c r="E3227" s="3">
        <v>267</v>
      </c>
      <c r="F3227" s="3">
        <f>167/5</f>
        <v>33.4</v>
      </c>
      <c r="G3227" s="4">
        <v>44140</v>
      </c>
      <c r="I3227" s="1">
        <v>5000</v>
      </c>
    </row>
    <row r="3228" spans="2:9">
      <c r="C3228" s="2" t="s">
        <v>5</v>
      </c>
      <c r="D3228" s="2" t="s">
        <v>166</v>
      </c>
      <c r="E3228" s="3">
        <v>102</v>
      </c>
      <c r="F3228" s="3">
        <v>16</v>
      </c>
      <c r="G3228" s="4">
        <v>43292</v>
      </c>
    </row>
    <row r="3229" spans="2:9">
      <c r="C3229" s="2" t="s">
        <v>8</v>
      </c>
      <c r="D3229" s="2" t="s">
        <v>2176</v>
      </c>
      <c r="E3229" s="3">
        <v>220</v>
      </c>
      <c r="F3229" s="3">
        <v>40</v>
      </c>
      <c r="G3229" s="4">
        <v>44287</v>
      </c>
    </row>
    <row r="3230" spans="2:9">
      <c r="G3230" s="4"/>
    </row>
    <row r="3231" spans="2:9">
      <c r="B3231" s="1" t="s">
        <v>178</v>
      </c>
      <c r="C3231" s="2" t="s">
        <v>18</v>
      </c>
      <c r="D3231" s="2" t="s">
        <v>166</v>
      </c>
      <c r="E3231" s="3">
        <v>100</v>
      </c>
      <c r="F3231" s="3">
        <v>14</v>
      </c>
      <c r="G3231" s="4">
        <v>44235</v>
      </c>
      <c r="I3231" s="1">
        <v>5200</v>
      </c>
    </row>
    <row r="3232" spans="2:9">
      <c r="G3232" s="4"/>
    </row>
    <row r="3233" spans="2:9">
      <c r="B3233" s="1" t="s">
        <v>176</v>
      </c>
      <c r="C3233" s="2" t="s">
        <v>18</v>
      </c>
      <c r="D3233" s="2" t="s">
        <v>166</v>
      </c>
      <c r="E3233" s="3">
        <v>267</v>
      </c>
      <c r="F3233" s="3">
        <f>167/5</f>
        <v>33.4</v>
      </c>
      <c r="G3233" s="4">
        <v>44140</v>
      </c>
      <c r="I3233" s="1">
        <v>5000</v>
      </c>
    </row>
    <row r="3234" spans="2:9">
      <c r="G3234" s="4"/>
    </row>
    <row r="3235" spans="2:9">
      <c r="B3235" s="1" t="s">
        <v>175</v>
      </c>
      <c r="C3235" s="2" t="s">
        <v>7</v>
      </c>
      <c r="D3235" s="2" t="s">
        <v>166</v>
      </c>
      <c r="E3235" s="3">
        <v>462</v>
      </c>
      <c r="F3235" s="3">
        <f>162/2</f>
        <v>81</v>
      </c>
      <c r="G3235" s="4">
        <v>43886</v>
      </c>
      <c r="I3235" s="1">
        <v>2500</v>
      </c>
    </row>
    <row r="3236" spans="2:9">
      <c r="C3236" s="2" t="s">
        <v>7</v>
      </c>
      <c r="D3236" s="2" t="s">
        <v>166</v>
      </c>
      <c r="E3236" s="3">
        <v>50</v>
      </c>
      <c r="F3236" s="3">
        <v>50</v>
      </c>
      <c r="G3236" s="4">
        <v>43566</v>
      </c>
    </row>
    <row r="3237" spans="2:9">
      <c r="G3237" s="4"/>
    </row>
    <row r="3238" spans="2:9">
      <c r="G3238" s="4"/>
    </row>
    <row r="3239" spans="2:9">
      <c r="B3239" s="1" t="s">
        <v>174</v>
      </c>
      <c r="C3239" s="2" t="s">
        <v>5</v>
      </c>
      <c r="D3239" s="2" t="s">
        <v>166</v>
      </c>
      <c r="E3239" s="3">
        <v>102</v>
      </c>
      <c r="F3239" s="3">
        <v>8</v>
      </c>
      <c r="G3239" s="4">
        <v>43292</v>
      </c>
    </row>
    <row r="3240" spans="2:9">
      <c r="B3240" s="1" t="s">
        <v>173</v>
      </c>
      <c r="C3240" s="2" t="s">
        <v>5</v>
      </c>
      <c r="D3240" s="2" t="s">
        <v>166</v>
      </c>
      <c r="E3240" s="3">
        <v>102</v>
      </c>
      <c r="F3240" s="3">
        <v>8</v>
      </c>
      <c r="G3240" s="4">
        <v>43292</v>
      </c>
    </row>
    <row r="3241" spans="2:9">
      <c r="B3241" s="1" t="s">
        <v>171</v>
      </c>
      <c r="C3241" s="2" t="s">
        <v>5</v>
      </c>
      <c r="D3241" s="2" t="s">
        <v>166</v>
      </c>
      <c r="E3241" s="3">
        <v>112</v>
      </c>
      <c r="F3241" s="3">
        <v>20</v>
      </c>
      <c r="G3241" s="4">
        <v>43115</v>
      </c>
    </row>
    <row r="3242" spans="2:9">
      <c r="B3242" s="1" t="s">
        <v>170</v>
      </c>
      <c r="C3242" s="2" t="s">
        <v>5</v>
      </c>
      <c r="D3242" s="2" t="s">
        <v>166</v>
      </c>
      <c r="E3242" s="3">
        <v>112</v>
      </c>
      <c r="F3242" s="3">
        <f>72/8</f>
        <v>9</v>
      </c>
      <c r="G3242" s="4">
        <v>43115</v>
      </c>
    </row>
    <row r="3243" spans="2:9">
      <c r="B3243" s="1" t="s">
        <v>169</v>
      </c>
      <c r="C3243" s="2" t="s">
        <v>5</v>
      </c>
      <c r="D3243" s="2" t="s">
        <v>166</v>
      </c>
      <c r="E3243" s="3">
        <v>112</v>
      </c>
      <c r="F3243" s="3">
        <f>72/8</f>
        <v>9</v>
      </c>
      <c r="G3243" s="4">
        <v>43115</v>
      </c>
    </row>
    <row r="3244" spans="2:9">
      <c r="B3244" s="1" t="s">
        <v>168</v>
      </c>
      <c r="C3244" s="2" t="s">
        <v>5</v>
      </c>
      <c r="D3244" s="2" t="s">
        <v>166</v>
      </c>
      <c r="E3244" s="3">
        <v>112</v>
      </c>
      <c r="F3244" s="3">
        <f>72/8</f>
        <v>9</v>
      </c>
      <c r="G3244" s="4">
        <v>43115</v>
      </c>
    </row>
    <row r="3245" spans="2:9">
      <c r="B3245" s="1" t="s">
        <v>167</v>
      </c>
      <c r="C3245" s="2" t="s">
        <v>5</v>
      </c>
      <c r="D3245" s="2" t="s">
        <v>166</v>
      </c>
      <c r="E3245" s="3">
        <v>112</v>
      </c>
      <c r="F3245" s="3">
        <f>72/8</f>
        <v>9</v>
      </c>
      <c r="G3245" s="4">
        <v>43115</v>
      </c>
    </row>
    <row r="3246" spans="2:9">
      <c r="G3246" s="4"/>
    </row>
    <row r="3247" spans="2:9">
      <c r="B3247" s="1" t="s">
        <v>164</v>
      </c>
      <c r="C3247" s="2" t="s">
        <v>9</v>
      </c>
      <c r="D3247" s="2" t="s">
        <v>159</v>
      </c>
      <c r="E3247" s="3">
        <v>400</v>
      </c>
      <c r="F3247" s="3">
        <f>320/9</f>
        <v>35.555555555555557</v>
      </c>
      <c r="G3247" s="4">
        <v>44413</v>
      </c>
      <c r="I3247" s="1">
        <v>4200</v>
      </c>
    </row>
    <row r="3248" spans="2:9">
      <c r="G3248" s="4"/>
    </row>
    <row r="3249" spans="2:10">
      <c r="B3249" s="1" t="s">
        <v>163</v>
      </c>
      <c r="C3249" s="2" t="s">
        <v>9</v>
      </c>
      <c r="D3249" s="2" t="s">
        <v>159</v>
      </c>
      <c r="E3249" s="3">
        <v>400</v>
      </c>
      <c r="F3249" s="3">
        <f>320/9</f>
        <v>35.555555555555557</v>
      </c>
      <c r="G3249" s="4">
        <v>44413</v>
      </c>
      <c r="I3249" s="1">
        <v>4200</v>
      </c>
    </row>
    <row r="3250" spans="2:10">
      <c r="C3250" s="2" t="s">
        <v>8</v>
      </c>
      <c r="D3250" s="2" t="s">
        <v>159</v>
      </c>
      <c r="E3250" s="3">
        <v>100</v>
      </c>
      <c r="F3250" s="3">
        <f>75/6</f>
        <v>12.5</v>
      </c>
      <c r="G3250" s="4">
        <v>44067</v>
      </c>
    </row>
    <row r="3251" spans="2:10">
      <c r="C3251" s="2" t="s">
        <v>18</v>
      </c>
      <c r="D3251" s="2" t="s">
        <v>159</v>
      </c>
      <c r="E3251" s="3">
        <v>101</v>
      </c>
      <c r="F3251" s="3">
        <f>60/4</f>
        <v>15</v>
      </c>
      <c r="G3251" s="4">
        <v>43453</v>
      </c>
    </row>
    <row r="3252" spans="2:10">
      <c r="C3252" s="2" t="s">
        <v>7</v>
      </c>
      <c r="D3252" s="2" t="s">
        <v>113</v>
      </c>
      <c r="E3252" s="3">
        <v>37</v>
      </c>
      <c r="F3252" s="3">
        <v>12</v>
      </c>
      <c r="G3252" s="4">
        <v>43783</v>
      </c>
    </row>
    <row r="3253" spans="2:10">
      <c r="G3253" s="4"/>
    </row>
    <row r="3254" spans="2:10">
      <c r="B3254" s="1" t="s">
        <v>162</v>
      </c>
      <c r="C3254" s="2" t="s">
        <v>8</v>
      </c>
      <c r="D3254" s="2" t="s">
        <v>159</v>
      </c>
      <c r="E3254" s="3">
        <v>100</v>
      </c>
      <c r="F3254" s="3">
        <v>25</v>
      </c>
      <c r="G3254" s="4">
        <v>44067</v>
      </c>
    </row>
    <row r="3255" spans="2:10">
      <c r="C3255" s="2" t="s">
        <v>18</v>
      </c>
      <c r="D3255" s="2" t="s">
        <v>2168</v>
      </c>
      <c r="E3255" s="3">
        <v>200</v>
      </c>
      <c r="F3255" s="3">
        <v>30</v>
      </c>
      <c r="G3255" s="4">
        <v>44557</v>
      </c>
      <c r="I3255" s="1">
        <v>1300</v>
      </c>
      <c r="J3255" s="1">
        <v>1300</v>
      </c>
    </row>
    <row r="3256" spans="2:10">
      <c r="G3256" s="4"/>
    </row>
    <row r="3257" spans="2:10">
      <c r="B3257" s="1" t="s">
        <v>160</v>
      </c>
      <c r="C3257" s="2" t="s">
        <v>4</v>
      </c>
      <c r="D3257" s="2" t="s">
        <v>159</v>
      </c>
      <c r="E3257" s="3">
        <v>4</v>
      </c>
      <c r="F3257" s="3">
        <v>1</v>
      </c>
      <c r="G3257" s="4">
        <v>42023</v>
      </c>
    </row>
    <row r="3258" spans="2:10">
      <c r="C3258" s="2" t="s">
        <v>4</v>
      </c>
      <c r="D3258" s="2" t="s">
        <v>15</v>
      </c>
      <c r="E3258" s="3">
        <v>0.1</v>
      </c>
      <c r="F3258" s="3">
        <v>0.1</v>
      </c>
      <c r="G3258" s="4">
        <v>42370</v>
      </c>
    </row>
    <row r="3259" spans="2:10">
      <c r="C3259" s="2" t="s">
        <v>4</v>
      </c>
      <c r="D3259" s="2" t="s">
        <v>15</v>
      </c>
      <c r="E3259" s="3">
        <v>0.1</v>
      </c>
      <c r="F3259" s="3">
        <v>0.1</v>
      </c>
      <c r="G3259" s="4">
        <v>41549</v>
      </c>
    </row>
    <row r="3260" spans="2:10">
      <c r="G3260" s="4"/>
    </row>
    <row r="3261" spans="2:10">
      <c r="B3261" s="1" t="s">
        <v>158</v>
      </c>
      <c r="C3261" s="2" t="s">
        <v>8</v>
      </c>
      <c r="D3261" s="2" t="s">
        <v>153</v>
      </c>
      <c r="E3261" s="3">
        <v>38</v>
      </c>
      <c r="F3261" s="6" t="s">
        <v>157</v>
      </c>
      <c r="G3261" s="4">
        <v>43266</v>
      </c>
    </row>
    <row r="3262" spans="2:10">
      <c r="B3262" s="1" t="s">
        <v>156</v>
      </c>
      <c r="C3262" s="2" t="s">
        <v>7</v>
      </c>
      <c r="D3262" s="2" t="s">
        <v>153</v>
      </c>
      <c r="E3262" s="3">
        <v>10</v>
      </c>
      <c r="F3262" s="6" t="s">
        <v>155</v>
      </c>
      <c r="G3262" s="4">
        <v>42355</v>
      </c>
    </row>
    <row r="3263" spans="2:10">
      <c r="B3263" s="1" t="s">
        <v>154</v>
      </c>
      <c r="C3263" s="2" t="s">
        <v>7</v>
      </c>
      <c r="D3263" s="2" t="s">
        <v>153</v>
      </c>
      <c r="E3263" s="3">
        <v>10</v>
      </c>
      <c r="F3263" s="6" t="s">
        <v>152</v>
      </c>
      <c r="G3263" s="4">
        <v>42355</v>
      </c>
    </row>
    <row r="3264" spans="2:10">
      <c r="B3264" s="1" t="s">
        <v>151</v>
      </c>
      <c r="C3264" s="2" t="s">
        <v>4</v>
      </c>
      <c r="D3264" s="2" t="s">
        <v>149</v>
      </c>
      <c r="E3264" s="3">
        <v>1.6</v>
      </c>
      <c r="F3264" s="3">
        <f>E3264/4</f>
        <v>0.4</v>
      </c>
      <c r="G3264" s="4">
        <v>43060</v>
      </c>
    </row>
    <row r="3265" spans="2:10">
      <c r="B3265" s="1" t="s">
        <v>150</v>
      </c>
      <c r="C3265" s="2" t="s">
        <v>4</v>
      </c>
      <c r="D3265" s="2" t="s">
        <v>149</v>
      </c>
      <c r="E3265" s="3">
        <v>1.6</v>
      </c>
      <c r="F3265" s="3">
        <f>E3265/4</f>
        <v>0.4</v>
      </c>
      <c r="G3265" s="4">
        <v>43060</v>
      </c>
    </row>
    <row r="3266" spans="2:10">
      <c r="C3266" s="2" t="s">
        <v>5</v>
      </c>
      <c r="D3266" s="2" t="s">
        <v>66</v>
      </c>
      <c r="E3266" s="3">
        <v>50</v>
      </c>
      <c r="F3266" s="3">
        <v>5</v>
      </c>
      <c r="G3266" s="4">
        <v>44165</v>
      </c>
    </row>
    <row r="3267" spans="2:10">
      <c r="G3267" s="4"/>
    </row>
    <row r="3268" spans="2:10">
      <c r="B3268" s="1" t="s">
        <v>148</v>
      </c>
      <c r="C3268" s="2" t="s">
        <v>8</v>
      </c>
      <c r="D3268" s="2" t="s">
        <v>136</v>
      </c>
      <c r="E3268" s="3">
        <v>135</v>
      </c>
      <c r="F3268" s="3">
        <v>20</v>
      </c>
      <c r="G3268" s="4">
        <v>44880</v>
      </c>
    </row>
    <row r="3269" spans="2:10">
      <c r="B3269" s="1" t="s">
        <v>147</v>
      </c>
      <c r="C3269" s="2" t="s">
        <v>8</v>
      </c>
      <c r="D3269" s="2" t="s">
        <v>136</v>
      </c>
      <c r="E3269" s="3">
        <v>135</v>
      </c>
      <c r="F3269" s="3">
        <v>8</v>
      </c>
      <c r="G3269" s="4">
        <v>44880</v>
      </c>
    </row>
    <row r="3270" spans="2:10">
      <c r="B3270" s="1" t="s">
        <v>146</v>
      </c>
      <c r="C3270" s="2" t="s">
        <v>8</v>
      </c>
      <c r="D3270" s="2" t="s">
        <v>136</v>
      </c>
      <c r="E3270" s="3">
        <v>135</v>
      </c>
      <c r="F3270" s="3">
        <v>8</v>
      </c>
      <c r="G3270" s="4">
        <v>44880</v>
      </c>
    </row>
    <row r="3271" spans="2:10">
      <c r="B3271" s="1" t="s">
        <v>145</v>
      </c>
      <c r="C3271" s="2" t="s">
        <v>8</v>
      </c>
      <c r="D3271" s="2" t="s">
        <v>136</v>
      </c>
      <c r="E3271" s="3">
        <v>135</v>
      </c>
      <c r="F3271" s="3">
        <v>8</v>
      </c>
      <c r="G3271" s="4">
        <v>44880</v>
      </c>
    </row>
    <row r="3272" spans="2:10">
      <c r="C3272" s="2" t="s">
        <v>18</v>
      </c>
      <c r="D3272" s="2" t="s">
        <v>136</v>
      </c>
      <c r="E3272" s="3">
        <v>73</v>
      </c>
      <c r="F3272" s="3">
        <v>20</v>
      </c>
      <c r="G3272" s="4">
        <v>44565</v>
      </c>
    </row>
    <row r="3273" spans="2:10">
      <c r="B3273" s="1" t="s">
        <v>144</v>
      </c>
      <c r="C3273" s="2" t="s">
        <v>8</v>
      </c>
      <c r="D3273" s="2" t="s">
        <v>136</v>
      </c>
      <c r="E3273" s="3">
        <v>135</v>
      </c>
      <c r="F3273" s="3">
        <v>8</v>
      </c>
      <c r="G3273" s="4">
        <v>44880</v>
      </c>
    </row>
    <row r="3274" spans="2:10">
      <c r="C3274" s="2" t="s">
        <v>7</v>
      </c>
      <c r="D3274" s="2" t="s">
        <v>136</v>
      </c>
      <c r="E3274" s="3">
        <v>32</v>
      </c>
      <c r="F3274" s="3">
        <v>5</v>
      </c>
      <c r="G3274" s="4">
        <v>42528</v>
      </c>
    </row>
    <row r="3275" spans="2:10">
      <c r="B3275" s="1" t="s">
        <v>143</v>
      </c>
      <c r="C3275" s="2" t="s">
        <v>8</v>
      </c>
      <c r="D3275" s="2" t="s">
        <v>136</v>
      </c>
      <c r="E3275" s="3">
        <v>135</v>
      </c>
      <c r="F3275" s="3">
        <v>8</v>
      </c>
      <c r="G3275" s="4">
        <v>44880</v>
      </c>
    </row>
    <row r="3276" spans="2:10">
      <c r="B3276" s="1" t="s">
        <v>142</v>
      </c>
      <c r="C3276" s="2" t="s">
        <v>18</v>
      </c>
      <c r="D3276" s="2" t="s">
        <v>136</v>
      </c>
      <c r="E3276" s="3">
        <v>73</v>
      </c>
      <c r="F3276" s="3">
        <v>20</v>
      </c>
      <c r="G3276" s="4">
        <v>44565</v>
      </c>
      <c r="J3276" s="1">
        <v>615</v>
      </c>
    </row>
    <row r="3277" spans="2:10">
      <c r="B3277" s="1" t="s">
        <v>141</v>
      </c>
      <c r="C3277" s="2" t="s">
        <v>18</v>
      </c>
      <c r="D3277" s="2" t="s">
        <v>136</v>
      </c>
      <c r="E3277" s="3">
        <v>73</v>
      </c>
      <c r="F3277" s="3">
        <v>20</v>
      </c>
      <c r="G3277" s="4">
        <v>44565</v>
      </c>
    </row>
    <row r="3278" spans="2:10">
      <c r="B3278" s="1" t="s">
        <v>140</v>
      </c>
      <c r="C3278" s="2" t="s">
        <v>18</v>
      </c>
      <c r="D3278" s="2" t="s">
        <v>136</v>
      </c>
      <c r="E3278" s="3">
        <v>31.7</v>
      </c>
      <c r="F3278" s="3">
        <f>18/4</f>
        <v>4.5</v>
      </c>
      <c r="G3278" s="4">
        <v>43599</v>
      </c>
    </row>
    <row r="3279" spans="2:10">
      <c r="B3279" s="1" t="s">
        <v>139</v>
      </c>
      <c r="C3279" s="2" t="s">
        <v>18</v>
      </c>
      <c r="D3279" s="2" t="s">
        <v>136</v>
      </c>
      <c r="E3279" s="3">
        <v>31.7</v>
      </c>
      <c r="F3279" s="3">
        <f>18/4</f>
        <v>4.5</v>
      </c>
      <c r="G3279" s="4">
        <v>43599</v>
      </c>
    </row>
    <row r="3280" spans="2:10">
      <c r="G3280" s="4"/>
    </row>
    <row r="3281" spans="2:10">
      <c r="B3281" s="1" t="s">
        <v>137</v>
      </c>
      <c r="C3281" s="2" t="s">
        <v>7</v>
      </c>
      <c r="D3281" s="2" t="s">
        <v>136</v>
      </c>
      <c r="E3281" s="3">
        <v>32</v>
      </c>
      <c r="F3281" s="3">
        <v>5</v>
      </c>
      <c r="G3281" s="4">
        <v>42528</v>
      </c>
    </row>
    <row r="3282" spans="2:10">
      <c r="B3282" s="1" t="s">
        <v>135</v>
      </c>
      <c r="C3282" s="2" t="s">
        <v>7</v>
      </c>
      <c r="D3282" s="2" t="s">
        <v>133</v>
      </c>
      <c r="E3282" s="3">
        <v>23.5</v>
      </c>
      <c r="F3282" s="3">
        <v>10</v>
      </c>
      <c r="G3282" s="4">
        <v>45008</v>
      </c>
    </row>
    <row r="3283" spans="2:10">
      <c r="G3283" s="4"/>
    </row>
    <row r="3284" spans="2:10">
      <c r="B3284" s="1" t="s">
        <v>132</v>
      </c>
      <c r="C3284" s="2" t="s">
        <v>4</v>
      </c>
      <c r="D3284" s="2" t="s">
        <v>127</v>
      </c>
      <c r="E3284" s="3">
        <v>2</v>
      </c>
      <c r="F3284" s="3">
        <v>1</v>
      </c>
      <c r="G3284" s="4">
        <v>44658</v>
      </c>
    </row>
    <row r="3285" spans="2:10">
      <c r="B3285" s="1" t="s">
        <v>131</v>
      </c>
      <c r="C3285" s="2" t="s">
        <v>4</v>
      </c>
      <c r="D3285" s="2" t="s">
        <v>127</v>
      </c>
      <c r="E3285" s="3">
        <v>2</v>
      </c>
      <c r="F3285" s="3">
        <v>0.5</v>
      </c>
      <c r="G3285" s="4">
        <v>44658</v>
      </c>
    </row>
    <row r="3286" spans="2:10">
      <c r="B3286" s="1" t="s">
        <v>130</v>
      </c>
      <c r="C3286" s="2" t="s">
        <v>4</v>
      </c>
      <c r="D3286" s="2" t="s">
        <v>127</v>
      </c>
      <c r="E3286" s="3">
        <v>2</v>
      </c>
      <c r="F3286" s="3">
        <v>0.5</v>
      </c>
      <c r="G3286" s="4">
        <v>44658</v>
      </c>
    </row>
    <row r="3287" spans="2:10">
      <c r="B3287" s="1" t="s">
        <v>129</v>
      </c>
      <c r="C3287" s="2" t="s">
        <v>4</v>
      </c>
      <c r="D3287" s="2" t="s">
        <v>127</v>
      </c>
      <c r="E3287" s="3">
        <v>4.5</v>
      </c>
      <c r="F3287" s="3">
        <v>2</v>
      </c>
      <c r="G3287" s="4">
        <v>44434</v>
      </c>
    </row>
    <row r="3288" spans="2:10">
      <c r="B3288" s="1" t="s">
        <v>128</v>
      </c>
      <c r="C3288" s="2" t="s">
        <v>4</v>
      </c>
      <c r="D3288" s="2" t="s">
        <v>127</v>
      </c>
      <c r="E3288" s="3">
        <v>0.35</v>
      </c>
      <c r="F3288" s="3">
        <v>0.35</v>
      </c>
      <c r="G3288" s="4">
        <v>43864</v>
      </c>
    </row>
    <row r="3289" spans="2:10">
      <c r="B3289" s="1" t="s">
        <v>126</v>
      </c>
      <c r="C3289" s="2" t="s">
        <v>5</v>
      </c>
      <c r="D3289" s="2" t="s">
        <v>115</v>
      </c>
      <c r="E3289" s="3">
        <v>25</v>
      </c>
      <c r="F3289" s="3">
        <v>8</v>
      </c>
      <c r="G3289" s="4">
        <v>44510</v>
      </c>
    </row>
    <row r="3290" spans="2:10">
      <c r="C3290" s="2" t="s">
        <v>2529</v>
      </c>
      <c r="D3290" s="2" t="s">
        <v>4031</v>
      </c>
      <c r="E3290" s="3">
        <v>196.5</v>
      </c>
      <c r="F3290" s="3">
        <f>E3290/2</f>
        <v>98.25</v>
      </c>
      <c r="G3290" s="4">
        <v>41544</v>
      </c>
      <c r="I3290" s="1">
        <v>8000</v>
      </c>
      <c r="J3290" s="1">
        <v>32500</v>
      </c>
    </row>
    <row r="3291" spans="2:10">
      <c r="G3291" s="4"/>
    </row>
    <row r="3292" spans="2:10">
      <c r="B3292" s="1" t="s">
        <v>125</v>
      </c>
      <c r="C3292" s="2" t="s">
        <v>5</v>
      </c>
      <c r="D3292" s="2" t="s">
        <v>115</v>
      </c>
      <c r="E3292" s="3">
        <v>25</v>
      </c>
      <c r="F3292" s="3">
        <f>17/6</f>
        <v>2.8333333333333335</v>
      </c>
      <c r="G3292" s="4">
        <v>44510</v>
      </c>
    </row>
    <row r="3293" spans="2:10">
      <c r="B3293" s="1" t="s">
        <v>124</v>
      </c>
      <c r="C3293" s="2" t="s">
        <v>5</v>
      </c>
      <c r="D3293" s="2" t="s">
        <v>115</v>
      </c>
      <c r="E3293" s="3">
        <v>25</v>
      </c>
      <c r="F3293" s="3">
        <f>17/6</f>
        <v>2.8333333333333335</v>
      </c>
      <c r="G3293" s="4">
        <v>44510</v>
      </c>
    </row>
    <row r="3294" spans="2:10">
      <c r="B3294" s="1" t="s">
        <v>123</v>
      </c>
      <c r="C3294" s="2" t="s">
        <v>5</v>
      </c>
      <c r="D3294" s="2" t="s">
        <v>115</v>
      </c>
      <c r="E3294" s="3">
        <v>25</v>
      </c>
      <c r="F3294" s="3">
        <f>17/6</f>
        <v>2.8333333333333335</v>
      </c>
      <c r="G3294" s="4">
        <v>44510</v>
      </c>
    </row>
    <row r="3295" spans="2:10">
      <c r="C3295" s="2" t="s">
        <v>4</v>
      </c>
      <c r="D3295" s="2" t="s">
        <v>115</v>
      </c>
      <c r="E3295" s="3">
        <v>8</v>
      </c>
      <c r="F3295" s="3">
        <v>1.5</v>
      </c>
      <c r="G3295" s="4">
        <v>44063</v>
      </c>
    </row>
    <row r="3296" spans="2:10">
      <c r="B3296" s="1" t="s">
        <v>122</v>
      </c>
      <c r="C3296" s="2" t="s">
        <v>5</v>
      </c>
      <c r="D3296" s="2" t="s">
        <v>115</v>
      </c>
      <c r="E3296" s="3">
        <v>25</v>
      </c>
      <c r="F3296" s="3">
        <f>17/6</f>
        <v>2.8333333333333335</v>
      </c>
      <c r="G3296" s="4">
        <v>44510</v>
      </c>
    </row>
    <row r="3297" spans="2:9">
      <c r="C3297" s="2" t="s">
        <v>4</v>
      </c>
      <c r="D3297" s="2" t="s">
        <v>115</v>
      </c>
      <c r="E3297" s="3">
        <v>8</v>
      </c>
      <c r="F3297" s="3">
        <f t="shared" ref="F3297:F3303" si="5">5/8</f>
        <v>0.625</v>
      </c>
      <c r="G3297" s="4">
        <v>44063</v>
      </c>
    </row>
    <row r="3298" spans="2:9">
      <c r="B3298" s="1" t="s">
        <v>121</v>
      </c>
      <c r="C3298" s="2" t="s">
        <v>4</v>
      </c>
      <c r="D3298" s="2" t="s">
        <v>115</v>
      </c>
      <c r="E3298" s="3">
        <v>8</v>
      </c>
      <c r="F3298" s="3">
        <f t="shared" si="5"/>
        <v>0.625</v>
      </c>
      <c r="G3298" s="4">
        <v>44063</v>
      </c>
    </row>
    <row r="3299" spans="2:9">
      <c r="B3299" s="1" t="s">
        <v>120</v>
      </c>
      <c r="C3299" s="2" t="s">
        <v>4</v>
      </c>
      <c r="D3299" s="2" t="s">
        <v>115</v>
      </c>
      <c r="E3299" s="3">
        <v>8</v>
      </c>
      <c r="F3299" s="3">
        <f t="shared" si="5"/>
        <v>0.625</v>
      </c>
      <c r="G3299" s="4">
        <v>44063</v>
      </c>
    </row>
    <row r="3300" spans="2:9">
      <c r="B3300" s="1" t="s">
        <v>119</v>
      </c>
      <c r="C3300" s="2" t="s">
        <v>4</v>
      </c>
      <c r="D3300" s="2" t="s">
        <v>115</v>
      </c>
      <c r="E3300" s="3">
        <v>8</v>
      </c>
      <c r="F3300" s="3">
        <f t="shared" si="5"/>
        <v>0.625</v>
      </c>
      <c r="G3300" s="4">
        <v>44063</v>
      </c>
    </row>
    <row r="3301" spans="2:9">
      <c r="B3301" s="1" t="s">
        <v>118</v>
      </c>
      <c r="C3301" s="2" t="s">
        <v>4</v>
      </c>
      <c r="D3301" s="2" t="s">
        <v>115</v>
      </c>
      <c r="E3301" s="3">
        <v>8</v>
      </c>
      <c r="F3301" s="3">
        <f t="shared" si="5"/>
        <v>0.625</v>
      </c>
      <c r="G3301" s="4">
        <v>44063</v>
      </c>
    </row>
    <row r="3302" spans="2:9">
      <c r="B3302" s="1" t="s">
        <v>117</v>
      </c>
      <c r="C3302" s="2" t="s">
        <v>4</v>
      </c>
      <c r="D3302" s="2" t="s">
        <v>115</v>
      </c>
      <c r="E3302" s="3">
        <v>8</v>
      </c>
      <c r="F3302" s="3">
        <f t="shared" si="5"/>
        <v>0.625</v>
      </c>
      <c r="G3302" s="4">
        <v>44063</v>
      </c>
    </row>
    <row r="3303" spans="2:9">
      <c r="B3303" s="1" t="s">
        <v>116</v>
      </c>
      <c r="C3303" s="2" t="s">
        <v>4</v>
      </c>
      <c r="D3303" s="2" t="s">
        <v>115</v>
      </c>
      <c r="E3303" s="3">
        <v>8</v>
      </c>
      <c r="F3303" s="3">
        <f t="shared" si="5"/>
        <v>0.625</v>
      </c>
      <c r="G3303" s="4">
        <v>44063</v>
      </c>
    </row>
    <row r="3304" spans="2:9">
      <c r="B3304" s="1" t="s">
        <v>114</v>
      </c>
      <c r="C3304" s="2" t="s">
        <v>7</v>
      </c>
      <c r="D3304" s="2" t="s">
        <v>113</v>
      </c>
      <c r="E3304" s="3">
        <v>37</v>
      </c>
      <c r="F3304" s="3">
        <v>12</v>
      </c>
      <c r="G3304" s="4">
        <v>43783</v>
      </c>
      <c r="I3304" s="1">
        <v>113</v>
      </c>
    </row>
    <row r="3305" spans="2:9">
      <c r="C3305" s="2" t="s">
        <v>5</v>
      </c>
      <c r="D3305" s="2" t="s">
        <v>59</v>
      </c>
      <c r="E3305" s="3">
        <v>29.5</v>
      </c>
      <c r="F3305" s="3">
        <v>12</v>
      </c>
      <c r="G3305" s="4">
        <v>43410</v>
      </c>
    </row>
    <row r="3306" spans="2:9">
      <c r="G3306" s="4"/>
    </row>
    <row r="3307" spans="2:9">
      <c r="B3307" s="1" t="s">
        <v>112</v>
      </c>
      <c r="C3307" s="2" t="s">
        <v>8</v>
      </c>
      <c r="D3307" s="2" t="s">
        <v>104</v>
      </c>
      <c r="E3307" s="3">
        <v>30</v>
      </c>
      <c r="F3307" s="3">
        <v>10</v>
      </c>
      <c r="G3307" s="4">
        <v>43178</v>
      </c>
    </row>
    <row r="3308" spans="2:9">
      <c r="B3308" s="1" t="s">
        <v>111</v>
      </c>
      <c r="C3308" s="2" t="s">
        <v>8</v>
      </c>
      <c r="D3308" s="2" t="s">
        <v>104</v>
      </c>
      <c r="E3308" s="3">
        <v>30</v>
      </c>
      <c r="F3308" s="3">
        <f>20/7</f>
        <v>2.8571428571428572</v>
      </c>
      <c r="G3308" s="4">
        <v>43178</v>
      </c>
    </row>
    <row r="3309" spans="2:9">
      <c r="B3309" s="1" t="s">
        <v>110</v>
      </c>
      <c r="C3309" s="2" t="s">
        <v>8</v>
      </c>
      <c r="D3309" s="2" t="s">
        <v>104</v>
      </c>
      <c r="E3309" s="3">
        <v>30</v>
      </c>
      <c r="F3309" s="3">
        <f>20/7</f>
        <v>2.8571428571428572</v>
      </c>
      <c r="G3309" s="4">
        <v>43178</v>
      </c>
    </row>
    <row r="3310" spans="2:9">
      <c r="B3310" s="1" t="s">
        <v>109</v>
      </c>
      <c r="C3310" s="2" t="s">
        <v>8</v>
      </c>
      <c r="D3310" s="2" t="s">
        <v>104</v>
      </c>
      <c r="E3310" s="3">
        <v>30</v>
      </c>
      <c r="F3310" s="3">
        <f>20/7</f>
        <v>2.8571428571428572</v>
      </c>
      <c r="G3310" s="4">
        <v>43178</v>
      </c>
    </row>
    <row r="3311" spans="2:9">
      <c r="C3311" s="2" t="s">
        <v>8</v>
      </c>
      <c r="D3311" s="2" t="s">
        <v>104</v>
      </c>
      <c r="E3311" s="3">
        <v>40</v>
      </c>
      <c r="F3311" s="3">
        <v>13</v>
      </c>
      <c r="G3311" s="4">
        <v>42493</v>
      </c>
    </row>
    <row r="3312" spans="2:9">
      <c r="B3312" s="1" t="s">
        <v>108</v>
      </c>
      <c r="C3312" s="2" t="s">
        <v>8</v>
      </c>
      <c r="D3312" s="2" t="s">
        <v>104</v>
      </c>
      <c r="E3312" s="3">
        <v>30</v>
      </c>
      <c r="F3312" s="3">
        <f>20/7</f>
        <v>2.8571428571428572</v>
      </c>
      <c r="G3312" s="4">
        <v>43178</v>
      </c>
    </row>
    <row r="3313" spans="2:10">
      <c r="C3313" s="2" t="s">
        <v>8</v>
      </c>
      <c r="D3313" s="2" t="s">
        <v>104</v>
      </c>
      <c r="E3313" s="3">
        <v>40</v>
      </c>
      <c r="F3313" s="3">
        <v>13</v>
      </c>
      <c r="G3313" s="4">
        <v>42493</v>
      </c>
    </row>
    <row r="3314" spans="2:10">
      <c r="B3314" s="1" t="s">
        <v>107</v>
      </c>
      <c r="C3314" s="2" t="s">
        <v>8</v>
      </c>
      <c r="D3314" s="2" t="s">
        <v>104</v>
      </c>
      <c r="E3314" s="3">
        <v>30</v>
      </c>
      <c r="F3314" s="3">
        <f>20/7</f>
        <v>2.8571428571428572</v>
      </c>
      <c r="G3314" s="4">
        <v>43178</v>
      </c>
    </row>
    <row r="3315" spans="2:10">
      <c r="C3315" s="2" t="s">
        <v>8</v>
      </c>
      <c r="D3315" s="2" t="s">
        <v>104</v>
      </c>
      <c r="E3315" s="3">
        <v>40</v>
      </c>
      <c r="F3315" s="3">
        <v>7</v>
      </c>
      <c r="G3315" s="4">
        <v>42493</v>
      </c>
    </row>
    <row r="3316" spans="2:10">
      <c r="C3316" s="2" t="s">
        <v>8</v>
      </c>
      <c r="D3316" s="2" t="s">
        <v>104</v>
      </c>
      <c r="E3316" s="3">
        <v>5</v>
      </c>
      <c r="F3316" s="3">
        <v>5</v>
      </c>
      <c r="G3316" s="4">
        <v>42356</v>
      </c>
    </row>
    <row r="3317" spans="2:10">
      <c r="B3317" s="1" t="s">
        <v>106</v>
      </c>
      <c r="C3317" s="2" t="s">
        <v>8</v>
      </c>
      <c r="D3317" s="2" t="s">
        <v>104</v>
      </c>
      <c r="E3317" s="3">
        <v>30</v>
      </c>
      <c r="F3317" s="3">
        <f>20/7</f>
        <v>2.8571428571428572</v>
      </c>
      <c r="G3317" s="4">
        <v>43178</v>
      </c>
    </row>
    <row r="3318" spans="2:10">
      <c r="C3318" s="96" t="s">
        <v>18</v>
      </c>
      <c r="D3318" s="96" t="s">
        <v>2150</v>
      </c>
      <c r="E3318" s="3">
        <v>40</v>
      </c>
      <c r="F3318" s="3">
        <v>5</v>
      </c>
      <c r="G3318" s="4">
        <v>43069</v>
      </c>
      <c r="J3318" s="1">
        <v>1600</v>
      </c>
    </row>
    <row r="3319" spans="2:10">
      <c r="G3319" s="4"/>
    </row>
    <row r="3320" spans="2:10">
      <c r="B3320" s="1" t="s">
        <v>105</v>
      </c>
      <c r="C3320" s="2" t="s">
        <v>8</v>
      </c>
      <c r="D3320" s="2" t="s">
        <v>104</v>
      </c>
      <c r="E3320" s="3">
        <v>10</v>
      </c>
      <c r="F3320" s="3">
        <v>10</v>
      </c>
      <c r="G3320" s="4">
        <v>43726</v>
      </c>
    </row>
    <row r="3321" spans="2:10">
      <c r="B3321" s="1" t="s">
        <v>103</v>
      </c>
      <c r="C3321" s="2" t="s">
        <v>7</v>
      </c>
      <c r="D3321" s="2" t="s">
        <v>97</v>
      </c>
      <c r="E3321" s="3">
        <v>25</v>
      </c>
      <c r="F3321" s="3">
        <v>10</v>
      </c>
      <c r="G3321" s="4">
        <v>43783</v>
      </c>
    </row>
    <row r="3322" spans="2:10">
      <c r="B3322" s="1" t="s">
        <v>102</v>
      </c>
      <c r="C3322" s="2" t="s">
        <v>7</v>
      </c>
      <c r="D3322" s="2" t="s">
        <v>97</v>
      </c>
      <c r="E3322" s="3">
        <v>25</v>
      </c>
      <c r="F3322" s="3">
        <f>15/5</f>
        <v>3</v>
      </c>
      <c r="G3322" s="4">
        <v>43783</v>
      </c>
    </row>
    <row r="3323" spans="2:10">
      <c r="B3323" s="1" t="s">
        <v>101</v>
      </c>
      <c r="C3323" s="2" t="s">
        <v>7</v>
      </c>
      <c r="D3323" s="2" t="s">
        <v>97</v>
      </c>
      <c r="E3323" s="3">
        <v>25</v>
      </c>
      <c r="F3323" s="3">
        <f>15/5</f>
        <v>3</v>
      </c>
      <c r="G3323" s="4">
        <v>43783</v>
      </c>
    </row>
    <row r="3324" spans="2:10">
      <c r="G3324" s="4"/>
    </row>
    <row r="3325" spans="2:10">
      <c r="B3325" s="1" t="s">
        <v>100</v>
      </c>
      <c r="C3325" s="2" t="s">
        <v>7</v>
      </c>
      <c r="D3325" s="2" t="s">
        <v>97</v>
      </c>
      <c r="E3325" s="3">
        <v>25</v>
      </c>
      <c r="F3325" s="3">
        <f>15/5</f>
        <v>3</v>
      </c>
      <c r="G3325" s="4">
        <v>43783</v>
      </c>
    </row>
    <row r="3326" spans="2:10">
      <c r="C3326" s="2" t="s">
        <v>7</v>
      </c>
      <c r="D3326" s="2" t="s">
        <v>97</v>
      </c>
      <c r="E3326" s="3">
        <v>15</v>
      </c>
      <c r="F3326" s="3">
        <v>7.5</v>
      </c>
      <c r="G3326" s="4">
        <v>43559</v>
      </c>
    </row>
    <row r="3327" spans="2:10">
      <c r="C3327" s="2" t="s">
        <v>7</v>
      </c>
      <c r="D3327" s="2" t="s">
        <v>89</v>
      </c>
      <c r="E3327" s="3">
        <v>25</v>
      </c>
      <c r="F3327" s="3">
        <f>15/6</f>
        <v>2.5</v>
      </c>
      <c r="G3327" s="4">
        <v>44642</v>
      </c>
    </row>
    <row r="3328" spans="2:10">
      <c r="G3328" s="4"/>
    </row>
    <row r="3329" spans="2:7">
      <c r="B3329" s="1" t="s">
        <v>99</v>
      </c>
      <c r="C3329" s="2" t="s">
        <v>7</v>
      </c>
      <c r="D3329" s="2" t="s">
        <v>97</v>
      </c>
      <c r="E3329" s="3">
        <v>25</v>
      </c>
      <c r="F3329" s="3">
        <f>15/5</f>
        <v>3</v>
      </c>
      <c r="G3329" s="4">
        <v>43783</v>
      </c>
    </row>
    <row r="3330" spans="2:7">
      <c r="C3330" s="2" t="s">
        <v>7</v>
      </c>
      <c r="D3330" s="2" t="s">
        <v>97</v>
      </c>
      <c r="E3330" s="3">
        <v>15</v>
      </c>
      <c r="F3330" s="3">
        <v>3.2</v>
      </c>
      <c r="G3330" s="4">
        <v>43559</v>
      </c>
    </row>
    <row r="3331" spans="2:7">
      <c r="C3331" s="2" t="s">
        <v>5</v>
      </c>
      <c r="D3331" s="2" t="s">
        <v>97</v>
      </c>
      <c r="E3331" s="3">
        <v>10</v>
      </c>
      <c r="F3331" s="3">
        <v>5</v>
      </c>
      <c r="G3331" s="4">
        <v>42304</v>
      </c>
    </row>
    <row r="3332" spans="2:7">
      <c r="G3332" s="4"/>
    </row>
    <row r="3333" spans="2:7">
      <c r="B3333" s="1" t="s">
        <v>98</v>
      </c>
      <c r="C3333" s="2" t="s">
        <v>7</v>
      </c>
      <c r="D3333" s="2" t="s">
        <v>97</v>
      </c>
      <c r="E3333" s="3">
        <v>15</v>
      </c>
      <c r="F3333" s="3">
        <v>3.2</v>
      </c>
      <c r="G3333" s="4">
        <v>43559</v>
      </c>
    </row>
    <row r="3334" spans="2:7">
      <c r="G3334" s="4"/>
    </row>
    <row r="3335" spans="2:7">
      <c r="B3335" s="1" t="s">
        <v>96</v>
      </c>
      <c r="C3335" s="2" t="s">
        <v>7</v>
      </c>
      <c r="D3335" s="2" t="s">
        <v>89</v>
      </c>
      <c r="E3335" s="3">
        <v>25</v>
      </c>
      <c r="F3335" s="3">
        <f>15/6</f>
        <v>2.5</v>
      </c>
      <c r="G3335" s="4">
        <v>44642</v>
      </c>
    </row>
    <row r="3336" spans="2:7">
      <c r="G3336" s="4"/>
    </row>
    <row r="3337" spans="2:7">
      <c r="B3337" s="1" t="s">
        <v>95</v>
      </c>
      <c r="C3337" s="2" t="s">
        <v>7</v>
      </c>
      <c r="D3337" s="2" t="s">
        <v>89</v>
      </c>
      <c r="E3337" s="3">
        <v>25</v>
      </c>
      <c r="F3337" s="3">
        <f>15/6</f>
        <v>2.5</v>
      </c>
      <c r="G3337" s="4">
        <v>44642</v>
      </c>
    </row>
    <row r="3338" spans="2:7">
      <c r="C3338" s="2" t="s">
        <v>5</v>
      </c>
      <c r="D3338" s="2" t="s">
        <v>89</v>
      </c>
      <c r="E3338" s="3">
        <v>13.5</v>
      </c>
      <c r="F3338" s="3">
        <f>10/6</f>
        <v>1.6666666666666667</v>
      </c>
      <c r="G3338" s="4">
        <v>43978</v>
      </c>
    </row>
    <row r="3339" spans="2:7">
      <c r="C3339" s="2" t="s">
        <v>4</v>
      </c>
      <c r="D3339" s="2" t="s">
        <v>89</v>
      </c>
      <c r="E3339" s="3">
        <v>5.3</v>
      </c>
      <c r="F3339" s="3">
        <f>4/7</f>
        <v>0.5714285714285714</v>
      </c>
      <c r="G3339" s="4">
        <v>43398</v>
      </c>
    </row>
    <row r="3340" spans="2:7">
      <c r="C3340" s="2" t="s">
        <v>4</v>
      </c>
      <c r="D3340" s="2" t="s">
        <v>89</v>
      </c>
      <c r="E3340" s="3">
        <v>4</v>
      </c>
      <c r="F3340" s="3">
        <f>2.5/4</f>
        <v>0.625</v>
      </c>
      <c r="G3340" s="4">
        <v>43122</v>
      </c>
    </row>
    <row r="3341" spans="2:7">
      <c r="G3341" s="4"/>
    </row>
    <row r="3342" spans="2:7">
      <c r="B3342" s="1" t="s">
        <v>94</v>
      </c>
      <c r="C3342" s="2" t="s">
        <v>7</v>
      </c>
      <c r="D3342" s="2" t="s">
        <v>89</v>
      </c>
      <c r="E3342" s="3">
        <v>25</v>
      </c>
      <c r="F3342" s="3">
        <f>15/6</f>
        <v>2.5</v>
      </c>
      <c r="G3342" s="4">
        <v>44642</v>
      </c>
    </row>
    <row r="3343" spans="2:7">
      <c r="C3343" s="2" t="s">
        <v>5</v>
      </c>
      <c r="D3343" s="2" t="s">
        <v>89</v>
      </c>
      <c r="E3343" s="3">
        <v>13.5</v>
      </c>
      <c r="F3343" s="3">
        <v>4</v>
      </c>
      <c r="G3343" s="4">
        <v>43978</v>
      </c>
    </row>
    <row r="3344" spans="2:7">
      <c r="G3344" s="4"/>
    </row>
    <row r="3345" spans="2:9">
      <c r="B3345" s="1" t="s">
        <v>93</v>
      </c>
      <c r="C3345" s="2" t="s">
        <v>5</v>
      </c>
      <c r="D3345" s="2" t="s">
        <v>89</v>
      </c>
      <c r="E3345" s="3">
        <v>13.5</v>
      </c>
      <c r="F3345" s="3">
        <f>10/6</f>
        <v>1.6666666666666667</v>
      </c>
      <c r="G3345" s="4">
        <v>43978</v>
      </c>
    </row>
    <row r="3346" spans="2:9">
      <c r="C3346" s="2" t="s">
        <v>4</v>
      </c>
      <c r="D3346" s="2" t="s">
        <v>89</v>
      </c>
      <c r="E3346" s="3">
        <v>5.3</v>
      </c>
      <c r="F3346" s="3">
        <f>4/7</f>
        <v>0.5714285714285714</v>
      </c>
      <c r="G3346" s="4">
        <v>43398</v>
      </c>
    </row>
    <row r="3347" spans="2:9">
      <c r="G3347" s="4"/>
    </row>
    <row r="3348" spans="2:9">
      <c r="B3348" s="1" t="s">
        <v>92</v>
      </c>
      <c r="C3348" s="2" t="s">
        <v>5</v>
      </c>
      <c r="D3348" s="2" t="s">
        <v>89</v>
      </c>
      <c r="E3348" s="3">
        <v>13.5</v>
      </c>
      <c r="F3348" s="3">
        <f>10/6</f>
        <v>1.6666666666666667</v>
      </c>
      <c r="G3348" s="4">
        <v>43978</v>
      </c>
    </row>
    <row r="3349" spans="2:9">
      <c r="C3349" s="2" t="s">
        <v>4</v>
      </c>
      <c r="D3349" s="2" t="s">
        <v>89</v>
      </c>
      <c r="E3349" s="3">
        <v>5.3</v>
      </c>
      <c r="F3349" s="3">
        <f>4/7</f>
        <v>0.5714285714285714</v>
      </c>
      <c r="G3349" s="4">
        <v>43398</v>
      </c>
    </row>
    <row r="3350" spans="2:9">
      <c r="G3350" s="4"/>
    </row>
    <row r="3351" spans="2:9">
      <c r="B3351" s="1" t="s">
        <v>91</v>
      </c>
      <c r="C3351" s="2" t="s">
        <v>5</v>
      </c>
      <c r="D3351" s="2" t="s">
        <v>89</v>
      </c>
      <c r="E3351" s="3">
        <v>13.5</v>
      </c>
      <c r="F3351" s="3">
        <f>10/6</f>
        <v>1.6666666666666667</v>
      </c>
      <c r="G3351" s="4">
        <v>43978</v>
      </c>
    </row>
    <row r="3352" spans="2:9">
      <c r="G3352" s="4"/>
    </row>
    <row r="3353" spans="2:9">
      <c r="B3353" s="1" t="s">
        <v>90</v>
      </c>
      <c r="C3353" s="2" t="s">
        <v>4</v>
      </c>
      <c r="D3353" s="2" t="s">
        <v>89</v>
      </c>
      <c r="E3353" s="3">
        <v>5.3</v>
      </c>
      <c r="F3353" s="3">
        <f>4/7</f>
        <v>0.5714285714285714</v>
      </c>
      <c r="G3353" s="4">
        <v>43398</v>
      </c>
    </row>
    <row r="3354" spans="2:9">
      <c r="C3354" s="2" t="s">
        <v>4</v>
      </c>
      <c r="D3354" s="2" t="s">
        <v>89</v>
      </c>
      <c r="E3354" s="3">
        <v>4</v>
      </c>
      <c r="F3354" s="3">
        <f>2.5/4</f>
        <v>0.625</v>
      </c>
      <c r="G3354" s="4">
        <v>43122</v>
      </c>
    </row>
    <row r="3355" spans="2:9">
      <c r="G3355" s="4"/>
    </row>
    <row r="3356" spans="2:9">
      <c r="B3356" s="1" t="s">
        <v>88</v>
      </c>
      <c r="C3356" s="2" t="s">
        <v>18</v>
      </c>
      <c r="D3356" s="2" t="s">
        <v>82</v>
      </c>
      <c r="E3356" s="3">
        <v>257</v>
      </c>
      <c r="F3356" s="3">
        <v>50</v>
      </c>
      <c r="G3356" s="4">
        <v>44201</v>
      </c>
      <c r="I3356" s="5">
        <v>1286</v>
      </c>
    </row>
    <row r="3357" spans="2:9">
      <c r="G3357" s="4"/>
      <c r="I3357" s="5"/>
    </row>
    <row r="3358" spans="2:9">
      <c r="B3358" s="1" t="s">
        <v>87</v>
      </c>
      <c r="C3358" s="2" t="s">
        <v>18</v>
      </c>
      <c r="D3358" s="2" t="s">
        <v>82</v>
      </c>
      <c r="E3358" s="3">
        <v>257</v>
      </c>
      <c r="F3358" s="3">
        <f>107/3</f>
        <v>35.666666666666664</v>
      </c>
      <c r="G3358" s="4">
        <v>44201</v>
      </c>
      <c r="I3358" s="5">
        <v>1286</v>
      </c>
    </row>
    <row r="3359" spans="2:9">
      <c r="C3359" s="2" t="s">
        <v>7</v>
      </c>
      <c r="D3359" s="2" t="s">
        <v>82</v>
      </c>
      <c r="E3359" s="3">
        <v>100</v>
      </c>
      <c r="F3359" s="3">
        <v>40</v>
      </c>
      <c r="G3359" s="4">
        <v>43958</v>
      </c>
      <c r="I3359" s="5">
        <f>4500/7</f>
        <v>642.85714285714289</v>
      </c>
    </row>
    <row r="3360" spans="2:9">
      <c r="C3360" s="2" t="s">
        <v>4</v>
      </c>
      <c r="D3360" s="2" t="s">
        <v>82</v>
      </c>
      <c r="E3360" s="3">
        <v>49</v>
      </c>
      <c r="F3360" s="3">
        <v>7.5</v>
      </c>
      <c r="G3360" s="4">
        <v>43319</v>
      </c>
      <c r="I3360" s="5"/>
    </row>
    <row r="3361" spans="2:11">
      <c r="G3361" s="4"/>
      <c r="I3361" s="5"/>
    </row>
    <row r="3362" spans="2:11">
      <c r="B3362" s="1" t="s">
        <v>86</v>
      </c>
      <c r="C3362" s="2" t="s">
        <v>7</v>
      </c>
      <c r="D3362" s="2" t="s">
        <v>82</v>
      </c>
      <c r="E3362" s="3">
        <v>100</v>
      </c>
      <c r="F3362" s="3">
        <v>20</v>
      </c>
      <c r="G3362" s="4">
        <v>43958</v>
      </c>
      <c r="I3362" s="5">
        <f>4500/7</f>
        <v>642.85714285714289</v>
      </c>
    </row>
    <row r="3363" spans="2:11">
      <c r="C3363" s="2" t="s">
        <v>4</v>
      </c>
      <c r="D3363" s="2" t="s">
        <v>82</v>
      </c>
      <c r="E3363" s="3">
        <v>49</v>
      </c>
      <c r="F3363" s="3">
        <v>7.5</v>
      </c>
      <c r="G3363" s="4">
        <v>43319</v>
      </c>
      <c r="I3363" s="5"/>
    </row>
    <row r="3364" spans="2:11">
      <c r="G3364" s="4"/>
      <c r="I3364" s="5"/>
    </row>
    <row r="3365" spans="2:11">
      <c r="B3365" s="1" t="s">
        <v>85</v>
      </c>
      <c r="C3365" s="2" t="s">
        <v>5</v>
      </c>
      <c r="D3365" s="2" t="s">
        <v>82</v>
      </c>
      <c r="E3365" s="3">
        <v>43</v>
      </c>
      <c r="F3365" s="3">
        <f>+E3365/6</f>
        <v>7.166666666666667</v>
      </c>
      <c r="G3365" s="4">
        <v>43622</v>
      </c>
    </row>
    <row r="3366" spans="2:11">
      <c r="C3366" s="2" t="s">
        <v>4</v>
      </c>
      <c r="D3366" s="2" t="s">
        <v>82</v>
      </c>
      <c r="E3366" s="3">
        <v>49</v>
      </c>
      <c r="F3366" s="3">
        <v>7.5</v>
      </c>
      <c r="G3366" s="4">
        <v>43319</v>
      </c>
    </row>
    <row r="3367" spans="2:11">
      <c r="G3367" s="4"/>
    </row>
    <row r="3368" spans="2:11">
      <c r="B3368" s="1" t="s">
        <v>84</v>
      </c>
      <c r="C3368" s="2" t="s">
        <v>5</v>
      </c>
      <c r="D3368" s="2" t="s">
        <v>82</v>
      </c>
      <c r="E3368" s="3">
        <v>43</v>
      </c>
      <c r="F3368" s="3">
        <f>+E3368/6</f>
        <v>7.166666666666667</v>
      </c>
      <c r="G3368" s="4">
        <v>43622</v>
      </c>
    </row>
    <row r="3369" spans="2:11">
      <c r="B3369" s="1" t="s">
        <v>83</v>
      </c>
      <c r="C3369" s="2" t="s">
        <v>5</v>
      </c>
      <c r="D3369" s="2" t="s">
        <v>82</v>
      </c>
      <c r="E3369" s="3">
        <v>43</v>
      </c>
      <c r="F3369" s="3">
        <f>+E3369/6</f>
        <v>7.166666666666667</v>
      </c>
      <c r="G3369" s="4">
        <v>43622</v>
      </c>
    </row>
    <row r="3370" spans="2:11">
      <c r="B3370" s="1" t="s">
        <v>81</v>
      </c>
      <c r="C3370" s="2" t="s">
        <v>55</v>
      </c>
      <c r="D3370" s="2" t="s">
        <v>76</v>
      </c>
      <c r="E3370" s="3">
        <v>250</v>
      </c>
      <c r="F3370" s="3">
        <v>150</v>
      </c>
      <c r="G3370" s="4">
        <v>44510</v>
      </c>
      <c r="I3370" s="1">
        <v>3800</v>
      </c>
      <c r="J3370" s="1">
        <v>3800</v>
      </c>
      <c r="K3370" s="5">
        <f>(E3370/(I3370+E3370))*J3370*(F3370/E3370)</f>
        <v>140.74074074074073</v>
      </c>
    </row>
    <row r="3371" spans="2:11">
      <c r="G3371" s="4"/>
      <c r="K3371" s="5"/>
    </row>
    <row r="3372" spans="2:11">
      <c r="B3372" s="1" t="s">
        <v>79</v>
      </c>
      <c r="C3372" s="2" t="s">
        <v>8</v>
      </c>
      <c r="D3372" s="2" t="s">
        <v>76</v>
      </c>
      <c r="E3372" s="3">
        <v>81</v>
      </c>
      <c r="F3372" s="3">
        <f>+E3372/6</f>
        <v>13.5</v>
      </c>
      <c r="G3372" s="4">
        <v>43418</v>
      </c>
      <c r="I3372" s="1">
        <v>1700</v>
      </c>
      <c r="J3372" s="1">
        <v>3800</v>
      </c>
      <c r="K3372" s="5">
        <f>(E3372/(I3372+E3372))*J3372*(F3372/E3372)</f>
        <v>28.804042672655811</v>
      </c>
    </row>
    <row r="3373" spans="2:11">
      <c r="G3373" s="4"/>
      <c r="K3373" s="5"/>
    </row>
    <row r="3374" spans="2:11">
      <c r="B3374" s="1" t="s">
        <v>77</v>
      </c>
      <c r="C3374" s="2" t="s">
        <v>8</v>
      </c>
      <c r="D3374" s="2" t="s">
        <v>76</v>
      </c>
      <c r="E3374" s="3">
        <v>81</v>
      </c>
      <c r="F3374" s="3">
        <f>+E3374/6</f>
        <v>13.5</v>
      </c>
      <c r="G3374" s="4">
        <v>43418</v>
      </c>
      <c r="I3374" s="1">
        <v>1700</v>
      </c>
      <c r="J3374" s="1">
        <v>3800</v>
      </c>
      <c r="K3374" s="5">
        <f>(E3374/(I3374+E3374))*J3374*(F3374/E3374)</f>
        <v>28.804042672655811</v>
      </c>
    </row>
    <row r="3375" spans="2:11">
      <c r="C3375" s="2" t="s">
        <v>18</v>
      </c>
      <c r="D3375" s="2" t="s">
        <v>76</v>
      </c>
      <c r="E3375" s="3">
        <v>60</v>
      </c>
      <c r="F3375" s="3">
        <f>+E3375/5</f>
        <v>12</v>
      </c>
      <c r="G3375" s="4">
        <v>42736</v>
      </c>
      <c r="I3375" s="1">
        <v>800</v>
      </c>
      <c r="J3375" s="1">
        <v>3800</v>
      </c>
      <c r="K3375" s="5">
        <f>(E3375/(I3375+E3375))*J3375*(F3375/E3375)</f>
        <v>53.023255813953483</v>
      </c>
    </row>
    <row r="3376" spans="2:11">
      <c r="C3376" s="2" t="s">
        <v>7</v>
      </c>
      <c r="D3376" s="2" t="s">
        <v>76</v>
      </c>
      <c r="E3376" s="3">
        <v>25</v>
      </c>
      <c r="F3376" s="3">
        <v>15</v>
      </c>
      <c r="G3376" s="4">
        <v>42723</v>
      </c>
      <c r="I3376" s="1">
        <v>245</v>
      </c>
      <c r="J3376" s="1">
        <v>3800</v>
      </c>
      <c r="K3376" s="5">
        <f>(E3376/(I3376+E3376))*J3376*(F3376/E3376)</f>
        <v>211.11111111111111</v>
      </c>
    </row>
    <row r="3377" spans="2:11">
      <c r="G3377" s="4"/>
      <c r="K3377" s="5"/>
    </row>
    <row r="3378" spans="2:11">
      <c r="B3378" s="1" t="s">
        <v>75</v>
      </c>
      <c r="C3378" s="2" t="s">
        <v>7</v>
      </c>
      <c r="D3378" s="2" t="s">
        <v>66</v>
      </c>
      <c r="E3378" s="3">
        <f>1600/7</f>
        <v>228.57142857142858</v>
      </c>
      <c r="F3378" s="3">
        <v>30</v>
      </c>
      <c r="G3378" s="4">
        <v>44550</v>
      </c>
    </row>
    <row r="3379" spans="2:11">
      <c r="G3379" s="4"/>
    </row>
    <row r="3380" spans="2:11">
      <c r="B3380" s="1" t="s">
        <v>74</v>
      </c>
      <c r="C3380" s="2" t="s">
        <v>5</v>
      </c>
      <c r="D3380" s="2" t="s">
        <v>73</v>
      </c>
      <c r="E3380" s="3">
        <v>10</v>
      </c>
      <c r="F3380" s="3">
        <v>6</v>
      </c>
      <c r="G3380" s="4">
        <v>44825</v>
      </c>
    </row>
    <row r="3381" spans="2:11">
      <c r="C3381" s="2" t="s">
        <v>7</v>
      </c>
      <c r="D3381" s="2" t="s">
        <v>66</v>
      </c>
      <c r="E3381" s="3">
        <f>1600/7</f>
        <v>228.57142857142858</v>
      </c>
      <c r="F3381" s="3">
        <v>30</v>
      </c>
      <c r="G3381" s="4">
        <v>44550</v>
      </c>
    </row>
    <row r="3382" spans="2:11">
      <c r="C3382" s="2" t="s">
        <v>5</v>
      </c>
      <c r="D3382" s="2" t="s">
        <v>66</v>
      </c>
      <c r="E3382" s="3">
        <f>500/7</f>
        <v>71.428571428571431</v>
      </c>
      <c r="F3382" s="3">
        <f>E3382/2</f>
        <v>35.714285714285715</v>
      </c>
      <c r="G3382" s="4">
        <v>44315</v>
      </c>
    </row>
    <row r="3384" spans="2:11">
      <c r="B3384" s="1" t="s">
        <v>72</v>
      </c>
      <c r="C3384" s="2" t="s">
        <v>7</v>
      </c>
      <c r="D3384" s="2" t="s">
        <v>66</v>
      </c>
      <c r="E3384" s="3">
        <f>1600/7</f>
        <v>228.57142857142858</v>
      </c>
      <c r="F3384" s="3">
        <v>30</v>
      </c>
      <c r="G3384" s="4">
        <v>44550</v>
      </c>
    </row>
    <row r="3385" spans="2:11">
      <c r="B3385" s="1" t="s">
        <v>71</v>
      </c>
      <c r="C3385" s="2" t="s">
        <v>7</v>
      </c>
      <c r="D3385" s="2" t="s">
        <v>66</v>
      </c>
      <c r="E3385" s="3">
        <f>1600/7</f>
        <v>228.57142857142858</v>
      </c>
      <c r="F3385" s="3">
        <v>30</v>
      </c>
      <c r="G3385" s="4">
        <v>44550</v>
      </c>
    </row>
    <row r="3386" spans="2:11">
      <c r="D3386" s="2" t="s">
        <v>66</v>
      </c>
      <c r="E3386" s="3">
        <v>50</v>
      </c>
      <c r="F3386" s="3">
        <f>20/4</f>
        <v>5</v>
      </c>
      <c r="G3386" s="4">
        <v>44165</v>
      </c>
    </row>
    <row r="3387" spans="2:11">
      <c r="B3387" s="1" t="s">
        <v>70</v>
      </c>
      <c r="C3387" s="2" t="s">
        <v>7</v>
      </c>
      <c r="D3387" s="2" t="s">
        <v>66</v>
      </c>
      <c r="E3387" s="3">
        <f>1600/7</f>
        <v>228.57142857142858</v>
      </c>
      <c r="F3387" s="3">
        <v>30</v>
      </c>
      <c r="G3387" s="4">
        <v>44550</v>
      </c>
    </row>
    <row r="3388" spans="2:11">
      <c r="B3388" s="1" t="s">
        <v>69</v>
      </c>
      <c r="C3388" s="2" t="s">
        <v>5</v>
      </c>
      <c r="D3388" s="2" t="s">
        <v>66</v>
      </c>
      <c r="E3388" s="3">
        <f>500/7</f>
        <v>71.428571428571431</v>
      </c>
      <c r="F3388" s="3">
        <f>E3388/2</f>
        <v>35.714285714285715</v>
      </c>
      <c r="G3388" s="4">
        <v>44315</v>
      </c>
    </row>
    <row r="3389" spans="2:11">
      <c r="B3389" s="1" t="s">
        <v>68</v>
      </c>
      <c r="C3389" s="2" t="s">
        <v>5</v>
      </c>
      <c r="D3389" s="2" t="s">
        <v>66</v>
      </c>
      <c r="E3389" s="3">
        <v>50</v>
      </c>
      <c r="F3389" s="3">
        <v>10</v>
      </c>
      <c r="G3389" s="4">
        <v>44165</v>
      </c>
    </row>
    <row r="3390" spans="2:11">
      <c r="B3390" s="1" t="s">
        <v>67</v>
      </c>
      <c r="C3390" s="2" t="s">
        <v>5</v>
      </c>
      <c r="D3390" s="2" t="s">
        <v>66</v>
      </c>
      <c r="E3390" s="3">
        <v>50</v>
      </c>
      <c r="F3390" s="3">
        <f>20/4</f>
        <v>5</v>
      </c>
      <c r="G3390" s="4">
        <v>44165</v>
      </c>
    </row>
    <row r="3391" spans="2:11">
      <c r="B3391" s="1" t="s">
        <v>65</v>
      </c>
      <c r="C3391" s="2" t="s">
        <v>8</v>
      </c>
      <c r="D3391" s="2" t="s">
        <v>59</v>
      </c>
      <c r="E3391" s="3">
        <v>250</v>
      </c>
      <c r="F3391" s="3">
        <v>100</v>
      </c>
      <c r="G3391" s="4">
        <v>45069</v>
      </c>
    </row>
    <row r="3392" spans="2:11">
      <c r="B3392" s="1" t="s">
        <v>64</v>
      </c>
      <c r="C3392" s="2" t="s">
        <v>8</v>
      </c>
      <c r="D3392" s="2" t="s">
        <v>59</v>
      </c>
      <c r="E3392" s="3">
        <v>250</v>
      </c>
      <c r="F3392" s="3">
        <f>150/4</f>
        <v>37.5</v>
      </c>
      <c r="G3392" s="4">
        <v>45069</v>
      </c>
    </row>
    <row r="3393" spans="2:10">
      <c r="C3393" s="2" t="s">
        <v>18</v>
      </c>
      <c r="D3393" s="2" t="s">
        <v>59</v>
      </c>
      <c r="E3393" s="3">
        <v>100</v>
      </c>
      <c r="F3393" s="3">
        <f>75/5</f>
        <v>15</v>
      </c>
      <c r="G3393" s="4">
        <v>44650</v>
      </c>
    </row>
    <row r="3394" spans="2:10">
      <c r="C3394" s="2" t="s">
        <v>5</v>
      </c>
      <c r="D3394" s="2" t="s">
        <v>59</v>
      </c>
      <c r="E3394" s="3">
        <v>29.5</v>
      </c>
      <c r="F3394" s="3">
        <v>12</v>
      </c>
      <c r="G3394" s="4">
        <v>43410</v>
      </c>
    </row>
    <row r="3395" spans="2:10">
      <c r="B3395" s="1" t="s">
        <v>63</v>
      </c>
      <c r="C3395" s="2" t="s">
        <v>8</v>
      </c>
      <c r="D3395" s="2" t="s">
        <v>59</v>
      </c>
      <c r="E3395" s="3">
        <v>250</v>
      </c>
      <c r="F3395" s="3">
        <f>150/4</f>
        <v>37.5</v>
      </c>
      <c r="G3395" s="4">
        <v>45069</v>
      </c>
    </row>
    <row r="3396" spans="2:10">
      <c r="C3396" s="2" t="s">
        <v>18</v>
      </c>
      <c r="D3396" s="2" t="s">
        <v>59</v>
      </c>
      <c r="E3396" s="3">
        <v>100</v>
      </c>
      <c r="F3396" s="3">
        <f>75/5</f>
        <v>15</v>
      </c>
      <c r="G3396" s="4">
        <v>44650</v>
      </c>
    </row>
    <row r="3397" spans="2:10">
      <c r="B3397" s="1" t="s">
        <v>62</v>
      </c>
      <c r="C3397" s="2" t="s">
        <v>18</v>
      </c>
      <c r="D3397" s="2" t="s">
        <v>59</v>
      </c>
      <c r="E3397" s="3">
        <v>100</v>
      </c>
      <c r="F3397" s="3">
        <f>75/5</f>
        <v>15</v>
      </c>
      <c r="G3397" s="4">
        <v>44650</v>
      </c>
    </row>
    <row r="3398" spans="2:10">
      <c r="B3398" s="1" t="s">
        <v>61</v>
      </c>
      <c r="C3398" s="2" t="s">
        <v>18</v>
      </c>
      <c r="D3398" s="2" t="s">
        <v>59</v>
      </c>
      <c r="E3398" s="3">
        <v>100</v>
      </c>
      <c r="F3398" s="3">
        <f>75/5</f>
        <v>15</v>
      </c>
      <c r="G3398" s="4">
        <v>44650</v>
      </c>
    </row>
    <row r="3399" spans="2:10">
      <c r="B3399" s="1" t="s">
        <v>60</v>
      </c>
      <c r="C3399" s="2" t="s">
        <v>5</v>
      </c>
      <c r="D3399" s="2" t="s">
        <v>59</v>
      </c>
      <c r="E3399" s="3">
        <v>29.5</v>
      </c>
      <c r="F3399" s="3">
        <f>E3399-24</f>
        <v>5.5</v>
      </c>
      <c r="G3399" s="4">
        <v>43410</v>
      </c>
    </row>
    <row r="3400" spans="2:10">
      <c r="G3400" s="4"/>
    </row>
    <row r="3401" spans="2:10">
      <c r="B3401" s="1" t="s">
        <v>58</v>
      </c>
      <c r="C3401" s="2" t="s">
        <v>8</v>
      </c>
      <c r="D3401" s="2" t="s">
        <v>57</v>
      </c>
      <c r="E3401" s="3">
        <v>200</v>
      </c>
      <c r="F3401" s="3">
        <v>18.75</v>
      </c>
      <c r="G3401" s="4">
        <v>44055</v>
      </c>
      <c r="I3401" s="1">
        <v>2000</v>
      </c>
      <c r="J3401" s="1">
        <v>7000</v>
      </c>
    </row>
    <row r="3402" spans="2:10">
      <c r="C3402" s="2" t="s">
        <v>18</v>
      </c>
      <c r="D3402" s="2" t="s">
        <v>57</v>
      </c>
      <c r="E3402" s="3">
        <v>65</v>
      </c>
      <c r="F3402" s="3">
        <v>8</v>
      </c>
      <c r="G3402" s="4">
        <v>43802</v>
      </c>
      <c r="I3402" s="1">
        <v>685</v>
      </c>
      <c r="J3402" s="1">
        <v>7000</v>
      </c>
    </row>
    <row r="3403" spans="2:10">
      <c r="C3403" s="2" t="s">
        <v>7</v>
      </c>
      <c r="D3403" s="2" t="s">
        <v>57</v>
      </c>
      <c r="E3403" s="3">
        <v>20</v>
      </c>
      <c r="F3403" s="3">
        <v>5</v>
      </c>
      <c r="G3403" s="4">
        <v>42898</v>
      </c>
      <c r="J3403" s="1">
        <v>7000</v>
      </c>
    </row>
    <row r="3404" spans="2:10">
      <c r="G3404" s="4"/>
    </row>
    <row r="3405" spans="2:10">
      <c r="B3405" s="1" t="s">
        <v>53</v>
      </c>
      <c r="C3405" s="2" t="s">
        <v>8</v>
      </c>
      <c r="D3405" s="2" t="s">
        <v>49</v>
      </c>
      <c r="E3405" s="3">
        <v>145</v>
      </c>
      <c r="F3405" s="3">
        <f>85/6</f>
        <v>14.166666666666666</v>
      </c>
      <c r="G3405" s="4">
        <v>43228</v>
      </c>
      <c r="I3405" s="1">
        <v>855</v>
      </c>
      <c r="J3405" s="1">
        <v>4100</v>
      </c>
    </row>
    <row r="3406" spans="2:10">
      <c r="B3406" s="1" t="s">
        <v>52</v>
      </c>
      <c r="C3406" s="2" t="s">
        <v>8</v>
      </c>
      <c r="D3406" s="2" t="s">
        <v>49</v>
      </c>
      <c r="E3406" s="3">
        <v>145</v>
      </c>
      <c r="F3406" s="3">
        <f>85/6</f>
        <v>14.166666666666666</v>
      </c>
      <c r="G3406" s="4">
        <v>43228</v>
      </c>
      <c r="I3406" s="1">
        <v>855</v>
      </c>
      <c r="J3406" s="1">
        <v>4100</v>
      </c>
    </row>
    <row r="3407" spans="2:10">
      <c r="B3407" s="1" t="s">
        <v>51</v>
      </c>
      <c r="C3407" s="2" t="s">
        <v>5</v>
      </c>
      <c r="D3407" s="2" t="s">
        <v>49</v>
      </c>
      <c r="E3407" s="3">
        <v>10.7</v>
      </c>
      <c r="F3407" s="3">
        <v>2.5</v>
      </c>
      <c r="G3407" s="4">
        <v>41076</v>
      </c>
      <c r="J3407" s="1">
        <v>4100</v>
      </c>
    </row>
    <row r="3408" spans="2:10">
      <c r="B3408" s="1" t="s">
        <v>50</v>
      </c>
      <c r="C3408" s="2" t="s">
        <v>5</v>
      </c>
      <c r="D3408" s="2" t="s">
        <v>49</v>
      </c>
      <c r="E3408" s="3">
        <v>10.7</v>
      </c>
      <c r="F3408" s="3">
        <v>2.5</v>
      </c>
      <c r="G3408" s="4">
        <v>41076</v>
      </c>
      <c r="J3408" s="1">
        <v>4100</v>
      </c>
    </row>
    <row r="3409" spans="2:10">
      <c r="G3409" s="4"/>
    </row>
    <row r="3410" spans="2:10">
      <c r="B3410" s="1" t="s">
        <v>48</v>
      </c>
      <c r="C3410" s="2" t="s">
        <v>9</v>
      </c>
      <c r="D3410" s="2" t="s">
        <v>41</v>
      </c>
      <c r="E3410" s="3">
        <v>230</v>
      </c>
      <c r="F3410" s="3">
        <v>60</v>
      </c>
      <c r="G3410" s="4">
        <v>44984</v>
      </c>
      <c r="I3410" s="1">
        <v>2000</v>
      </c>
      <c r="J3410" s="1">
        <v>2000</v>
      </c>
    </row>
    <row r="3411" spans="2:10">
      <c r="C3411" s="2" t="s">
        <v>8</v>
      </c>
      <c r="D3411" s="2" t="s">
        <v>41</v>
      </c>
      <c r="E3411" s="3">
        <v>170</v>
      </c>
      <c r="F3411" s="3">
        <v>22</v>
      </c>
      <c r="G3411" s="4">
        <v>44255</v>
      </c>
      <c r="I3411" s="1">
        <v>830</v>
      </c>
      <c r="J3411" s="1">
        <v>2000</v>
      </c>
    </row>
    <row r="3412" spans="2:10">
      <c r="C3412" s="2" t="s">
        <v>7</v>
      </c>
      <c r="D3412" s="2" t="s">
        <v>2170</v>
      </c>
      <c r="E3412" s="3">
        <v>176</v>
      </c>
      <c r="F3412" s="3">
        <v>13</v>
      </c>
      <c r="G3412" s="4">
        <v>44578</v>
      </c>
    </row>
    <row r="3413" spans="2:10">
      <c r="G3413" s="4"/>
    </row>
    <row r="3414" spans="2:10">
      <c r="G3414" s="4"/>
    </row>
    <row r="3415" spans="2:10">
      <c r="B3415" s="1" t="s">
        <v>46</v>
      </c>
      <c r="C3415" s="2" t="s">
        <v>9</v>
      </c>
      <c r="D3415" s="2" t="s">
        <v>41</v>
      </c>
      <c r="E3415" s="3">
        <v>230</v>
      </c>
      <c r="F3415" s="3">
        <f>170/7</f>
        <v>24.285714285714285</v>
      </c>
      <c r="G3415" s="4">
        <v>44984</v>
      </c>
      <c r="I3415" s="1">
        <v>2000</v>
      </c>
      <c r="J3415" s="1">
        <v>2000</v>
      </c>
    </row>
    <row r="3416" spans="2:10">
      <c r="B3416" s="1" t="s">
        <v>45</v>
      </c>
      <c r="C3416" s="2" t="s">
        <v>9</v>
      </c>
      <c r="D3416" s="2" t="s">
        <v>41</v>
      </c>
      <c r="E3416" s="3">
        <v>230</v>
      </c>
      <c r="F3416" s="3">
        <f>170/7</f>
        <v>24.285714285714285</v>
      </c>
      <c r="G3416" s="4">
        <v>44984</v>
      </c>
      <c r="I3416" s="1">
        <v>2000</v>
      </c>
      <c r="J3416" s="1">
        <v>2000</v>
      </c>
    </row>
    <row r="3417" spans="2:10">
      <c r="B3417" s="1" t="s">
        <v>44</v>
      </c>
      <c r="C3417" s="2" t="s">
        <v>18</v>
      </c>
      <c r="D3417" s="2" t="s">
        <v>41</v>
      </c>
      <c r="E3417" s="3">
        <v>100</v>
      </c>
      <c r="F3417" s="3">
        <v>15</v>
      </c>
      <c r="G3417" s="4">
        <v>44025</v>
      </c>
      <c r="J3417" s="1">
        <v>2000</v>
      </c>
    </row>
    <row r="3418" spans="2:10">
      <c r="B3418" s="1" t="s">
        <v>43</v>
      </c>
      <c r="C3418" s="2" t="s">
        <v>7</v>
      </c>
      <c r="D3418" s="2" t="s">
        <v>41</v>
      </c>
      <c r="E3418" s="3">
        <v>42</v>
      </c>
      <c r="F3418" s="3">
        <f>22/3</f>
        <v>7.333333333333333</v>
      </c>
      <c r="G3418" s="4">
        <v>43144</v>
      </c>
      <c r="J3418" s="1">
        <v>2000</v>
      </c>
    </row>
    <row r="3419" spans="2:10">
      <c r="B3419" s="1" t="s">
        <v>42</v>
      </c>
      <c r="C3419" s="2" t="s">
        <v>5</v>
      </c>
      <c r="D3419" s="2" t="s">
        <v>41</v>
      </c>
      <c r="E3419" s="3">
        <v>25</v>
      </c>
      <c r="F3419" s="3">
        <v>5</v>
      </c>
      <c r="G3419" s="4">
        <v>42374</v>
      </c>
      <c r="J3419" s="1">
        <v>2000</v>
      </c>
    </row>
    <row r="3420" spans="2:10">
      <c r="G3420" s="4"/>
    </row>
    <row r="3421" spans="2:10">
      <c r="B3421" s="1" t="s">
        <v>40</v>
      </c>
      <c r="C3421" s="2" t="s">
        <v>18</v>
      </c>
      <c r="D3421" s="2" t="s">
        <v>34</v>
      </c>
      <c r="E3421" s="3">
        <v>230</v>
      </c>
      <c r="F3421" s="3">
        <v>40</v>
      </c>
      <c r="G3421" s="4">
        <v>43634</v>
      </c>
      <c r="I3421" s="1">
        <v>770</v>
      </c>
      <c r="J3421" s="1">
        <v>770</v>
      </c>
    </row>
    <row r="3422" spans="2:10">
      <c r="C3422" s="2" t="s">
        <v>8</v>
      </c>
      <c r="D3422" s="2" t="s">
        <v>15</v>
      </c>
      <c r="E3422" s="3">
        <v>220</v>
      </c>
      <c r="F3422" s="3">
        <v>27</v>
      </c>
      <c r="G3422" s="4">
        <v>44322</v>
      </c>
      <c r="I3422" s="1">
        <v>780</v>
      </c>
      <c r="J3422" s="1">
        <v>780</v>
      </c>
    </row>
    <row r="3423" spans="2:10">
      <c r="G3423" s="4"/>
    </row>
    <row r="3424" spans="2:10">
      <c r="B3424" s="1" t="s">
        <v>39</v>
      </c>
      <c r="C3424" s="2" t="s">
        <v>18</v>
      </c>
      <c r="D3424" s="2" t="s">
        <v>34</v>
      </c>
      <c r="E3424" s="3">
        <v>230</v>
      </c>
      <c r="F3424" s="3">
        <f>110/7</f>
        <v>15.714285714285714</v>
      </c>
      <c r="G3424" s="4">
        <v>43634</v>
      </c>
      <c r="I3424" s="1">
        <v>770</v>
      </c>
      <c r="J3424" s="1">
        <v>770</v>
      </c>
    </row>
    <row r="3425" spans="2:10">
      <c r="C3425" s="2" t="s">
        <v>7</v>
      </c>
      <c r="D3425" s="2" t="s">
        <v>34</v>
      </c>
      <c r="E3425" s="3">
        <v>45</v>
      </c>
      <c r="F3425" s="3">
        <v>11</v>
      </c>
      <c r="G3425" s="4">
        <v>43293</v>
      </c>
      <c r="J3425" s="1">
        <v>770</v>
      </c>
    </row>
    <row r="3426" spans="2:10">
      <c r="C3426" s="2" t="s">
        <v>5</v>
      </c>
      <c r="D3426" s="2" t="s">
        <v>34</v>
      </c>
      <c r="E3426" s="3">
        <v>18</v>
      </c>
      <c r="F3426" s="3">
        <v>3</v>
      </c>
      <c r="G3426" s="4">
        <v>42983</v>
      </c>
      <c r="J3426" s="1">
        <v>770</v>
      </c>
    </row>
    <row r="3427" spans="2:10">
      <c r="G3427" s="4"/>
    </row>
    <row r="3428" spans="2:10">
      <c r="B3428" s="1" t="s">
        <v>38</v>
      </c>
      <c r="C3428" s="2" t="s">
        <v>18</v>
      </c>
      <c r="D3428" s="2" t="s">
        <v>34</v>
      </c>
      <c r="E3428" s="3">
        <v>230</v>
      </c>
      <c r="F3428" s="3">
        <f>110/7</f>
        <v>15.714285714285714</v>
      </c>
      <c r="G3428" s="4">
        <v>43634</v>
      </c>
      <c r="I3428" s="1">
        <v>770</v>
      </c>
      <c r="J3428" s="1">
        <v>770</v>
      </c>
    </row>
    <row r="3429" spans="2:10">
      <c r="C3429" s="2" t="s">
        <v>7</v>
      </c>
      <c r="D3429" s="2" t="s">
        <v>34</v>
      </c>
      <c r="E3429" s="3">
        <v>45</v>
      </c>
      <c r="F3429" s="3">
        <v>11</v>
      </c>
      <c r="G3429" s="4">
        <v>43293</v>
      </c>
      <c r="J3429" s="1">
        <v>770</v>
      </c>
    </row>
    <row r="3430" spans="2:10">
      <c r="B3430" s="1" t="s">
        <v>37</v>
      </c>
      <c r="C3430" s="2" t="s">
        <v>18</v>
      </c>
      <c r="D3430" s="2" t="s">
        <v>34</v>
      </c>
      <c r="E3430" s="3">
        <v>230</v>
      </c>
      <c r="F3430" s="3">
        <f>110/7</f>
        <v>15.714285714285714</v>
      </c>
      <c r="G3430" s="4">
        <v>43634</v>
      </c>
      <c r="I3430" s="1">
        <v>770</v>
      </c>
      <c r="J3430" s="1">
        <v>770</v>
      </c>
    </row>
    <row r="3431" spans="2:10">
      <c r="B3431" s="1" t="s">
        <v>36</v>
      </c>
      <c r="C3431" s="2" t="s">
        <v>18</v>
      </c>
      <c r="D3431" s="2" t="s">
        <v>34</v>
      </c>
      <c r="E3431" s="3">
        <v>230</v>
      </c>
      <c r="F3431" s="3">
        <f>110/7</f>
        <v>15.714285714285714</v>
      </c>
      <c r="G3431" s="4">
        <v>43634</v>
      </c>
      <c r="I3431" s="1">
        <v>770</v>
      </c>
      <c r="J3431" s="1">
        <v>770</v>
      </c>
    </row>
    <row r="3432" spans="2:10">
      <c r="B3432" s="1" t="s">
        <v>35</v>
      </c>
      <c r="C3432" s="2" t="s">
        <v>18</v>
      </c>
      <c r="D3432" s="2" t="s">
        <v>34</v>
      </c>
      <c r="E3432" s="3">
        <v>230</v>
      </c>
      <c r="F3432" s="3">
        <f>110/7</f>
        <v>15.714285714285714</v>
      </c>
      <c r="G3432" s="4">
        <v>43634</v>
      </c>
      <c r="I3432" s="1">
        <v>770</v>
      </c>
      <c r="J3432" s="1">
        <v>770</v>
      </c>
    </row>
    <row r="3433" spans="2:10">
      <c r="C3433" s="2" t="s">
        <v>7</v>
      </c>
      <c r="D3433" s="2" t="s">
        <v>34</v>
      </c>
      <c r="E3433" s="3">
        <v>45</v>
      </c>
      <c r="F3433" s="3">
        <v>6</v>
      </c>
      <c r="G3433" s="4">
        <v>43293</v>
      </c>
      <c r="J3433" s="1">
        <v>770</v>
      </c>
    </row>
    <row r="3434" spans="2:10">
      <c r="C3434" s="2" t="s">
        <v>5</v>
      </c>
      <c r="D3434" s="2" t="s">
        <v>34</v>
      </c>
      <c r="E3434" s="3">
        <v>18</v>
      </c>
      <c r="F3434" s="3">
        <v>5</v>
      </c>
      <c r="G3434" s="4">
        <v>42983</v>
      </c>
      <c r="J3434" s="1">
        <v>770</v>
      </c>
    </row>
    <row r="3435" spans="2:10">
      <c r="B3435" s="1" t="s">
        <v>33</v>
      </c>
      <c r="C3435" s="2" t="s">
        <v>5</v>
      </c>
      <c r="D3435" s="2" t="s">
        <v>31</v>
      </c>
      <c r="E3435" s="3">
        <f>1600/7</f>
        <v>228.57142857142858</v>
      </c>
      <c r="F3435" s="3">
        <v>160</v>
      </c>
      <c r="G3435" s="4">
        <v>45078</v>
      </c>
      <c r="I3435" s="1">
        <v>1000</v>
      </c>
      <c r="J3435" s="1">
        <v>1000</v>
      </c>
    </row>
    <row r="3436" spans="2:10">
      <c r="B3436" s="1" t="s">
        <v>32</v>
      </c>
      <c r="C3436" s="2" t="s">
        <v>5</v>
      </c>
      <c r="D3436" s="2" t="s">
        <v>31</v>
      </c>
      <c r="E3436" s="3">
        <f>1600/7</f>
        <v>228.57142857142858</v>
      </c>
      <c r="F3436" s="3">
        <f>109/2</f>
        <v>54.5</v>
      </c>
      <c r="G3436" s="4">
        <v>45078</v>
      </c>
      <c r="I3436" s="1">
        <v>1000</v>
      </c>
      <c r="J3436" s="1">
        <v>1000</v>
      </c>
    </row>
    <row r="3437" spans="2:10">
      <c r="B3437" s="1" t="s">
        <v>30</v>
      </c>
      <c r="C3437" s="2" t="s">
        <v>9</v>
      </c>
      <c r="D3437" s="2" t="s">
        <v>23</v>
      </c>
      <c r="E3437" s="3">
        <v>222</v>
      </c>
      <c r="F3437" s="3">
        <f>200/21</f>
        <v>9.5238095238095237</v>
      </c>
      <c r="G3437" s="4">
        <v>44194</v>
      </c>
      <c r="I3437" s="1">
        <v>2500</v>
      </c>
      <c r="J3437" s="1">
        <v>2500</v>
      </c>
    </row>
    <row r="3438" spans="2:10">
      <c r="B3438" s="1" t="s">
        <v>29</v>
      </c>
      <c r="C3438" s="2" t="s">
        <v>9</v>
      </c>
      <c r="D3438" s="2" t="s">
        <v>23</v>
      </c>
      <c r="E3438" s="3">
        <v>222</v>
      </c>
      <c r="F3438" s="3">
        <f>200/21</f>
        <v>9.5238095238095237</v>
      </c>
      <c r="G3438" s="4">
        <v>44194</v>
      </c>
      <c r="I3438" s="1">
        <v>2500</v>
      </c>
      <c r="J3438" s="1">
        <v>2500</v>
      </c>
    </row>
    <row r="3439" spans="2:10">
      <c r="C3439" s="2" t="s">
        <v>8</v>
      </c>
      <c r="D3439" s="2" t="s">
        <v>23</v>
      </c>
      <c r="E3439" s="3">
        <v>200</v>
      </c>
      <c r="F3439" s="3">
        <v>13</v>
      </c>
      <c r="G3439" s="4">
        <v>43452</v>
      </c>
      <c r="I3439" s="1">
        <v>1500</v>
      </c>
      <c r="J3439" s="1">
        <v>2500</v>
      </c>
    </row>
    <row r="3440" spans="2:10">
      <c r="C3440" s="2" t="s">
        <v>18</v>
      </c>
      <c r="D3440" s="2" t="s">
        <v>23</v>
      </c>
      <c r="E3440" s="3">
        <v>50</v>
      </c>
      <c r="F3440" s="3">
        <v>5</v>
      </c>
      <c r="G3440" s="4">
        <v>43051</v>
      </c>
      <c r="J3440" s="1">
        <v>2500</v>
      </c>
    </row>
    <row r="3441" spans="2:10">
      <c r="C3441" s="2" t="s">
        <v>7</v>
      </c>
      <c r="D3441" s="2" t="s">
        <v>23</v>
      </c>
      <c r="E3441" s="3">
        <v>30</v>
      </c>
      <c r="F3441" s="3">
        <v>3</v>
      </c>
      <c r="G3441" s="4">
        <v>42936</v>
      </c>
      <c r="J3441" s="1">
        <v>2500</v>
      </c>
    </row>
    <row r="3442" spans="2:10">
      <c r="B3442" s="1" t="s">
        <v>28</v>
      </c>
      <c r="C3442" s="2" t="s">
        <v>9</v>
      </c>
      <c r="D3442" s="2" t="s">
        <v>23</v>
      </c>
      <c r="E3442" s="3">
        <v>222</v>
      </c>
      <c r="F3442" s="3">
        <f>200/21</f>
        <v>9.5238095238095237</v>
      </c>
      <c r="G3442" s="4">
        <v>44194</v>
      </c>
      <c r="I3442" s="1">
        <v>2500</v>
      </c>
      <c r="J3442" s="1">
        <v>2500</v>
      </c>
    </row>
    <row r="3443" spans="2:10">
      <c r="B3443" s="1" t="s">
        <v>27</v>
      </c>
      <c r="C3443" s="2" t="s">
        <v>9</v>
      </c>
      <c r="D3443" s="2" t="s">
        <v>23</v>
      </c>
      <c r="E3443" s="3">
        <v>222</v>
      </c>
      <c r="F3443" s="3">
        <f>200/21</f>
        <v>9.5238095238095237</v>
      </c>
      <c r="G3443" s="4">
        <v>44194</v>
      </c>
      <c r="I3443" s="1">
        <v>2500</v>
      </c>
      <c r="J3443" s="1">
        <v>2500</v>
      </c>
    </row>
    <row r="3444" spans="2:10">
      <c r="C3444" s="2" t="s">
        <v>8</v>
      </c>
      <c r="D3444" s="2" t="s">
        <v>23</v>
      </c>
      <c r="E3444" s="3">
        <v>150</v>
      </c>
      <c r="F3444" s="3">
        <v>50</v>
      </c>
      <c r="G3444" s="4">
        <v>43885</v>
      </c>
      <c r="I3444" s="1">
        <v>1800</v>
      </c>
      <c r="J3444" s="1">
        <v>2500</v>
      </c>
    </row>
    <row r="3445" spans="2:10">
      <c r="G3445" s="4"/>
    </row>
    <row r="3446" spans="2:10">
      <c r="B3446" s="1" t="s">
        <v>26</v>
      </c>
      <c r="C3446" s="2" t="s">
        <v>9</v>
      </c>
      <c r="D3446" s="2" t="s">
        <v>23</v>
      </c>
      <c r="E3446" s="3">
        <v>222</v>
      </c>
      <c r="F3446" s="3">
        <f>200/21</f>
        <v>9.5238095238095237</v>
      </c>
      <c r="G3446" s="4">
        <v>44194</v>
      </c>
      <c r="I3446" s="1">
        <v>2500</v>
      </c>
      <c r="J3446" s="1">
        <v>2500</v>
      </c>
    </row>
    <row r="3447" spans="2:10">
      <c r="C3447" s="2" t="s">
        <v>8</v>
      </c>
      <c r="D3447" s="2" t="s">
        <v>23</v>
      </c>
      <c r="E3447" s="3">
        <v>150</v>
      </c>
      <c r="F3447" s="3">
        <v>50</v>
      </c>
      <c r="G3447" s="4">
        <v>43885</v>
      </c>
      <c r="I3447" s="1">
        <v>1800</v>
      </c>
      <c r="J3447" s="1">
        <v>2500</v>
      </c>
    </row>
    <row r="3448" spans="2:10">
      <c r="G3448" s="4"/>
    </row>
    <row r="3449" spans="2:10">
      <c r="B3449" s="1" t="s">
        <v>25</v>
      </c>
      <c r="C3449" s="2" t="s">
        <v>9</v>
      </c>
      <c r="D3449" s="2" t="s">
        <v>23</v>
      </c>
      <c r="E3449" s="3">
        <v>222</v>
      </c>
      <c r="F3449" s="3">
        <f>200/21</f>
        <v>9.5238095238095237</v>
      </c>
      <c r="G3449" s="4">
        <v>44194</v>
      </c>
      <c r="I3449" s="1">
        <v>2500</v>
      </c>
      <c r="J3449" s="1">
        <v>2500</v>
      </c>
    </row>
    <row r="3450" spans="2:10">
      <c r="C3450" s="2" t="s">
        <v>8</v>
      </c>
      <c r="D3450" s="2" t="s">
        <v>23</v>
      </c>
      <c r="E3450" s="3">
        <v>200</v>
      </c>
      <c r="F3450" s="3">
        <v>13</v>
      </c>
      <c r="G3450" s="4">
        <v>43452</v>
      </c>
      <c r="I3450" s="1">
        <v>1500</v>
      </c>
      <c r="J3450" s="1">
        <v>2500</v>
      </c>
    </row>
    <row r="3451" spans="2:10">
      <c r="C3451" s="2" t="s">
        <v>18</v>
      </c>
      <c r="D3451" s="2" t="s">
        <v>23</v>
      </c>
      <c r="E3451" s="3">
        <v>50</v>
      </c>
      <c r="F3451" s="3">
        <v>5</v>
      </c>
      <c r="G3451" s="4">
        <v>43051</v>
      </c>
      <c r="J3451" s="1">
        <v>2500</v>
      </c>
    </row>
    <row r="3452" spans="2:10">
      <c r="C3452" s="2" t="s">
        <v>7</v>
      </c>
      <c r="D3452" s="2" t="s">
        <v>23</v>
      </c>
      <c r="E3452" s="3">
        <v>30</v>
      </c>
      <c r="F3452" s="3">
        <v>3</v>
      </c>
      <c r="G3452" s="4">
        <v>42936</v>
      </c>
      <c r="J3452" s="1">
        <v>2500</v>
      </c>
    </row>
    <row r="3453" spans="2:10">
      <c r="G3453" s="4"/>
    </row>
    <row r="3454" spans="2:10">
      <c r="B3454" s="1" t="s">
        <v>24</v>
      </c>
      <c r="C3454" s="2" t="s">
        <v>9</v>
      </c>
      <c r="D3454" s="2" t="s">
        <v>23</v>
      </c>
      <c r="E3454" s="3">
        <v>222</v>
      </c>
      <c r="F3454" s="3">
        <f>200/21</f>
        <v>9.5238095238095237</v>
      </c>
      <c r="G3454" s="4">
        <v>44194</v>
      </c>
      <c r="I3454" s="1">
        <v>2500</v>
      </c>
      <c r="J3454" s="1">
        <v>2500</v>
      </c>
    </row>
    <row r="3455" spans="2:10">
      <c r="C3455" s="2" t="s">
        <v>8</v>
      </c>
      <c r="D3455" s="2" t="s">
        <v>23</v>
      </c>
      <c r="E3455" s="3">
        <v>200</v>
      </c>
      <c r="F3455" s="3">
        <v>30</v>
      </c>
      <c r="G3455" s="4">
        <v>43452</v>
      </c>
      <c r="I3455" s="1">
        <v>1500</v>
      </c>
      <c r="J3455" s="1">
        <v>2500</v>
      </c>
    </row>
    <row r="3457" spans="2:10">
      <c r="B3457" s="1" t="s">
        <v>22</v>
      </c>
      <c r="C3457" s="2" t="s">
        <v>8</v>
      </c>
      <c r="D3457" s="2" t="s">
        <v>15</v>
      </c>
      <c r="E3457" s="3">
        <v>220</v>
      </c>
      <c r="F3457" s="3">
        <v>50</v>
      </c>
      <c r="G3457" s="4">
        <v>44502</v>
      </c>
      <c r="I3457" s="1">
        <v>794</v>
      </c>
      <c r="J3457" s="1">
        <v>794</v>
      </c>
    </row>
    <row r="3458" spans="2:10">
      <c r="C3458" s="2" t="s">
        <v>8</v>
      </c>
      <c r="D3458" s="2" t="s">
        <v>15</v>
      </c>
      <c r="E3458" s="3">
        <v>220</v>
      </c>
      <c r="F3458" s="3">
        <v>26.666666666666668</v>
      </c>
      <c r="G3458" s="4">
        <v>44322</v>
      </c>
      <c r="I3458" s="1">
        <v>780</v>
      </c>
      <c r="J3458" s="1">
        <v>780</v>
      </c>
    </row>
    <row r="3459" spans="2:10">
      <c r="B3459" s="1" t="s">
        <v>21</v>
      </c>
      <c r="C3459" s="2" t="s">
        <v>8</v>
      </c>
      <c r="D3459" s="2" t="s">
        <v>15</v>
      </c>
      <c r="E3459" s="3">
        <v>220</v>
      </c>
      <c r="F3459" s="3">
        <v>30</v>
      </c>
      <c r="G3459" s="4">
        <v>44502</v>
      </c>
      <c r="I3459" s="1">
        <v>794</v>
      </c>
      <c r="J3459" s="1">
        <v>794</v>
      </c>
    </row>
    <row r="3460" spans="2:10">
      <c r="G3460" s="4"/>
    </row>
    <row r="3461" spans="2:10">
      <c r="B3461" s="1" t="s">
        <v>20</v>
      </c>
      <c r="C3461" s="2" t="s">
        <v>8</v>
      </c>
      <c r="D3461" s="2" t="s">
        <v>15</v>
      </c>
      <c r="E3461" s="3">
        <v>220</v>
      </c>
      <c r="F3461" s="3">
        <v>50</v>
      </c>
      <c r="G3461" s="4">
        <v>44502</v>
      </c>
      <c r="I3461" s="1">
        <v>794</v>
      </c>
      <c r="J3461" s="1">
        <v>794</v>
      </c>
    </row>
    <row r="3462" spans="2:10">
      <c r="C3462" s="2" t="s">
        <v>8</v>
      </c>
      <c r="D3462" s="2" t="s">
        <v>15</v>
      </c>
      <c r="E3462" s="3">
        <v>220</v>
      </c>
      <c r="F3462" s="3">
        <v>60</v>
      </c>
      <c r="G3462" s="4">
        <v>44322</v>
      </c>
      <c r="I3462" s="1">
        <v>780</v>
      </c>
      <c r="J3462" s="1">
        <v>780</v>
      </c>
    </row>
    <row r="3463" spans="2:10">
      <c r="G3463" s="4"/>
    </row>
    <row r="3464" spans="2:10">
      <c r="B3464" s="1" t="s">
        <v>16</v>
      </c>
      <c r="C3464" s="2" t="s">
        <v>5</v>
      </c>
      <c r="D3464" s="2" t="s">
        <v>15</v>
      </c>
      <c r="E3464" s="3">
        <v>10</v>
      </c>
      <c r="F3464" s="3">
        <v>2</v>
      </c>
      <c r="G3464" s="4">
        <v>42508</v>
      </c>
    </row>
    <row r="3465" spans="2:10">
      <c r="G3465" s="4"/>
    </row>
    <row r="3466" spans="2:10">
      <c r="B3466" s="1" t="s">
        <v>14</v>
      </c>
      <c r="C3466" s="2" t="s">
        <v>9</v>
      </c>
      <c r="D3466" s="2" t="s">
        <v>3</v>
      </c>
      <c r="E3466" s="3">
        <v>90</v>
      </c>
      <c r="F3466" s="3">
        <v>20</v>
      </c>
      <c r="G3466" s="4">
        <v>44721</v>
      </c>
      <c r="I3466" s="1">
        <v>2200</v>
      </c>
      <c r="J3466" s="1">
        <v>2200</v>
      </c>
    </row>
    <row r="3467" spans="2:10">
      <c r="C3467" s="96" t="s">
        <v>8</v>
      </c>
      <c r="D3467" s="96" t="s">
        <v>2147</v>
      </c>
      <c r="E3467" s="3">
        <v>110</v>
      </c>
      <c r="F3467" s="3">
        <f>70/4</f>
        <v>17.5</v>
      </c>
      <c r="G3467" s="4">
        <v>44567</v>
      </c>
      <c r="I3467" s="1">
        <v>790</v>
      </c>
      <c r="J3467" s="1">
        <v>790</v>
      </c>
    </row>
    <row r="3468" spans="2:10">
      <c r="G3468" s="4"/>
    </row>
    <row r="3469" spans="2:10">
      <c r="B3469" s="1" t="s">
        <v>2</v>
      </c>
      <c r="C3469" s="2" t="s">
        <v>1</v>
      </c>
      <c r="D3469" s="2" t="s">
        <v>0</v>
      </c>
      <c r="E3469" s="3">
        <v>300</v>
      </c>
      <c r="F3469" s="3">
        <v>50</v>
      </c>
      <c r="G3469" s="4">
        <v>45044</v>
      </c>
      <c r="I3469" s="1">
        <v>28700</v>
      </c>
      <c r="J3469" s="1">
        <v>28700</v>
      </c>
    </row>
    <row r="3470" spans="2:10">
      <c r="B3470" s="1" t="s">
        <v>4497</v>
      </c>
      <c r="C3470" s="2" t="s">
        <v>8</v>
      </c>
      <c r="D3470" s="2" t="s">
        <v>2176</v>
      </c>
      <c r="E3470" s="3">
        <v>220</v>
      </c>
      <c r="F3470" s="3">
        <f>140/7</f>
        <v>20</v>
      </c>
      <c r="G3470" s="4">
        <v>44287</v>
      </c>
    </row>
    <row r="3471" spans="2:10">
      <c r="B3471" s="1" t="s">
        <v>4499</v>
      </c>
      <c r="C3471" s="2" t="s">
        <v>8</v>
      </c>
      <c r="D3471" s="2" t="s">
        <v>2176</v>
      </c>
      <c r="E3471" s="3">
        <v>220</v>
      </c>
      <c r="F3471" s="3">
        <f>140/7</f>
        <v>20</v>
      </c>
      <c r="G3471" s="4">
        <v>44287</v>
      </c>
    </row>
    <row r="3472" spans="2:10">
      <c r="B3472" s="1" t="s">
        <v>4500</v>
      </c>
      <c r="C3472" s="2" t="s">
        <v>8</v>
      </c>
      <c r="D3472" s="2" t="s">
        <v>2176</v>
      </c>
      <c r="E3472" s="3">
        <v>220</v>
      </c>
      <c r="F3472" s="3">
        <f>140/7</f>
        <v>20</v>
      </c>
      <c r="G3472" s="4">
        <v>44287</v>
      </c>
    </row>
    <row r="3473" spans="2:10">
      <c r="B3473" s="1" t="s">
        <v>4501</v>
      </c>
      <c r="C3473" s="2" t="s">
        <v>8</v>
      </c>
      <c r="D3473" s="2" t="s">
        <v>2176</v>
      </c>
      <c r="E3473" s="3">
        <v>220</v>
      </c>
      <c r="F3473" s="3">
        <f>140/7</f>
        <v>20</v>
      </c>
      <c r="G3473" s="4">
        <v>44287</v>
      </c>
    </row>
    <row r="3474" spans="2:10">
      <c r="B3474" s="1" t="s">
        <v>4502</v>
      </c>
      <c r="C3474" s="2" t="s">
        <v>8</v>
      </c>
      <c r="D3474" s="2" t="s">
        <v>2176</v>
      </c>
      <c r="E3474" s="3">
        <v>220</v>
      </c>
      <c r="F3474" s="3">
        <f>140/7</f>
        <v>20</v>
      </c>
      <c r="G3474" s="4">
        <v>44287</v>
      </c>
    </row>
    <row r="3475" spans="2:10">
      <c r="B3475" s="1" t="s">
        <v>4504</v>
      </c>
      <c r="C3475" s="2" t="s">
        <v>8</v>
      </c>
      <c r="D3475" s="2" t="s">
        <v>2176</v>
      </c>
      <c r="E3475" s="3">
        <v>200</v>
      </c>
      <c r="F3475" s="3">
        <v>40</v>
      </c>
      <c r="G3475" s="4">
        <v>44237</v>
      </c>
    </row>
    <row r="3476" spans="2:10">
      <c r="B3476" s="1" t="s">
        <v>4506</v>
      </c>
      <c r="C3476" s="2" t="s">
        <v>8</v>
      </c>
      <c r="D3476" s="2" t="s">
        <v>2176</v>
      </c>
      <c r="E3476" s="3">
        <v>200</v>
      </c>
      <c r="F3476" s="3">
        <f>160/8</f>
        <v>20</v>
      </c>
      <c r="G3476" s="4">
        <v>44237</v>
      </c>
    </row>
    <row r="3477" spans="2:10">
      <c r="B3477" s="1" t="s">
        <v>4507</v>
      </c>
      <c r="C3477" s="2" t="s">
        <v>8</v>
      </c>
      <c r="D3477" s="2" t="s">
        <v>2176</v>
      </c>
      <c r="E3477" s="3">
        <v>200</v>
      </c>
      <c r="F3477" s="3">
        <f>160/8</f>
        <v>20</v>
      </c>
      <c r="G3477" s="4">
        <v>44237</v>
      </c>
    </row>
    <row r="3478" spans="2:10">
      <c r="B3478" s="1" t="s">
        <v>4508</v>
      </c>
      <c r="C3478" s="2" t="s">
        <v>8</v>
      </c>
      <c r="D3478" s="2" t="s">
        <v>2176</v>
      </c>
      <c r="E3478" s="3">
        <v>200</v>
      </c>
      <c r="F3478" s="3">
        <f>160/8</f>
        <v>20</v>
      </c>
      <c r="G3478" s="4">
        <v>44237</v>
      </c>
    </row>
    <row r="3479" spans="2:10">
      <c r="B3479" s="1" t="s">
        <v>4509</v>
      </c>
      <c r="C3479" s="2" t="s">
        <v>8</v>
      </c>
      <c r="D3479" s="2" t="s">
        <v>2176</v>
      </c>
      <c r="E3479" s="3">
        <v>200</v>
      </c>
      <c r="F3479" s="3">
        <f>160/8</f>
        <v>20</v>
      </c>
      <c r="G3479" s="4">
        <v>44237</v>
      </c>
    </row>
    <row r="3480" spans="2:10">
      <c r="B3480" s="1" t="s">
        <v>4537</v>
      </c>
      <c r="C3480" s="2" t="s">
        <v>8</v>
      </c>
      <c r="D3480" s="2" t="s">
        <v>4031</v>
      </c>
      <c r="E3480" s="3">
        <v>90</v>
      </c>
      <c r="F3480" s="3">
        <f>45/3</f>
        <v>15</v>
      </c>
      <c r="G3480" s="4">
        <v>40354</v>
      </c>
      <c r="I3480" s="1">
        <v>645</v>
      </c>
      <c r="J3480" s="1">
        <v>32500</v>
      </c>
    </row>
    <row r="3481" spans="2:10">
      <c r="B3481" s="1" t="s">
        <v>4539</v>
      </c>
      <c r="C3481" s="2" t="s">
        <v>9</v>
      </c>
      <c r="D3481" s="2" t="s">
        <v>4031</v>
      </c>
      <c r="E3481" s="3">
        <v>50</v>
      </c>
      <c r="F3481" s="3">
        <v>50</v>
      </c>
      <c r="G3481" s="4">
        <v>44321</v>
      </c>
    </row>
    <row r="3482" spans="2:10">
      <c r="B3482" s="1" t="s">
        <v>4543</v>
      </c>
      <c r="C3482" s="2" t="s">
        <v>513</v>
      </c>
      <c r="D3482" s="2" t="s">
        <v>4031</v>
      </c>
      <c r="E3482" s="3">
        <v>56</v>
      </c>
      <c r="F3482" s="3">
        <f>E3482/2</f>
        <v>28</v>
      </c>
      <c r="G3482" s="4">
        <v>41183</v>
      </c>
    </row>
    <row r="3483" spans="2:10">
      <c r="B3483" s="1" t="s">
        <v>4551</v>
      </c>
      <c r="C3483" s="2" t="s">
        <v>5</v>
      </c>
      <c r="D3483" s="2" t="s">
        <v>2062</v>
      </c>
      <c r="E3483" s="3">
        <v>18</v>
      </c>
      <c r="F3483" s="3">
        <v>3</v>
      </c>
      <c r="G3483" s="4">
        <v>44866</v>
      </c>
    </row>
    <row r="3484" spans="2:10">
      <c r="B3484" s="1" t="s">
        <v>4558</v>
      </c>
      <c r="C3484" s="2" t="s">
        <v>7</v>
      </c>
      <c r="D3484" s="2" t="s">
        <v>2171</v>
      </c>
      <c r="E3484" s="3">
        <f>1300/7</f>
        <v>185.71428571428572</v>
      </c>
      <c r="F3484" s="3">
        <v>30</v>
      </c>
      <c r="G3484" s="4">
        <v>44648</v>
      </c>
    </row>
    <row r="3485" spans="2:10">
      <c r="B3485" s="1" t="s">
        <v>4559</v>
      </c>
      <c r="C3485" s="2" t="s">
        <v>7</v>
      </c>
      <c r="D3485" s="2" t="s">
        <v>2171</v>
      </c>
      <c r="E3485" s="3">
        <f>1300/7</f>
        <v>185.71428571428572</v>
      </c>
      <c r="F3485" s="3">
        <v>30</v>
      </c>
      <c r="G3485" s="4">
        <v>44648</v>
      </c>
    </row>
    <row r="3486" spans="2:10">
      <c r="B3486" s="1" t="s">
        <v>4569</v>
      </c>
      <c r="C3486" s="2" t="s">
        <v>7</v>
      </c>
      <c r="D3486" s="2" t="s">
        <v>2170</v>
      </c>
      <c r="E3486" s="3">
        <f>176</f>
        <v>176</v>
      </c>
      <c r="F3486" s="3">
        <f>150/12</f>
        <v>12.5</v>
      </c>
      <c r="G3486" s="4">
        <v>44578</v>
      </c>
    </row>
    <row r="3487" spans="2:10">
      <c r="B3487" s="1" t="s">
        <v>4570</v>
      </c>
      <c r="C3487" s="2" t="s">
        <v>7</v>
      </c>
      <c r="D3487" s="2" t="s">
        <v>2170</v>
      </c>
      <c r="E3487" s="3">
        <f>176</f>
        <v>176</v>
      </c>
      <c r="F3487" s="3">
        <f>150/12</f>
        <v>12.5</v>
      </c>
      <c r="G3487" s="4">
        <v>44578</v>
      </c>
    </row>
    <row r="3488" spans="2:10">
      <c r="B3488" s="1" t="s">
        <v>4571</v>
      </c>
      <c r="C3488" s="2" t="s">
        <v>7</v>
      </c>
      <c r="D3488" s="2" t="s">
        <v>2170</v>
      </c>
      <c r="E3488" s="3">
        <f>176</f>
        <v>176</v>
      </c>
      <c r="F3488" s="3">
        <f>150/12</f>
        <v>12.5</v>
      </c>
      <c r="G3488" s="4">
        <v>44578</v>
      </c>
    </row>
    <row r="3489" spans="2:10">
      <c r="B3489" s="1" t="s">
        <v>4573</v>
      </c>
      <c r="C3489" s="2" t="s">
        <v>7</v>
      </c>
      <c r="D3489" s="2" t="s">
        <v>2170</v>
      </c>
      <c r="E3489" s="3">
        <f>176</f>
        <v>176</v>
      </c>
      <c r="F3489" s="3">
        <f>150/12</f>
        <v>12.5</v>
      </c>
      <c r="G3489" s="4">
        <v>44578</v>
      </c>
    </row>
    <row r="3490" spans="2:10">
      <c r="B3490" s="1" t="s">
        <v>4640</v>
      </c>
      <c r="C3490" s="2" t="s">
        <v>18</v>
      </c>
      <c r="D3490" s="2" t="s">
        <v>2168</v>
      </c>
      <c r="E3490" s="3">
        <v>200</v>
      </c>
      <c r="F3490" s="3">
        <v>12</v>
      </c>
      <c r="G3490" s="4">
        <v>44557</v>
      </c>
      <c r="I3490" s="1">
        <v>1300</v>
      </c>
      <c r="J3490" s="1">
        <v>1300</v>
      </c>
    </row>
    <row r="3491" spans="2:10">
      <c r="B3491" s="1" t="s">
        <v>4641</v>
      </c>
      <c r="C3491" s="2" t="s">
        <v>18</v>
      </c>
      <c r="D3491" s="2" t="s">
        <v>2168</v>
      </c>
      <c r="E3491" s="3">
        <v>200</v>
      </c>
      <c r="F3491" s="3">
        <v>12</v>
      </c>
      <c r="G3491" s="4">
        <v>44557</v>
      </c>
      <c r="I3491" s="1">
        <v>1300</v>
      </c>
      <c r="J3491" s="1">
        <v>1300</v>
      </c>
    </row>
    <row r="3492" spans="2:10">
      <c r="B3492" s="1" t="s">
        <v>4642</v>
      </c>
      <c r="C3492" s="2" t="s">
        <v>18</v>
      </c>
      <c r="D3492" s="2" t="s">
        <v>2168</v>
      </c>
      <c r="E3492" s="3">
        <v>200</v>
      </c>
      <c r="F3492" s="3">
        <v>12</v>
      </c>
      <c r="G3492" s="4">
        <v>44557</v>
      </c>
      <c r="I3492" s="1">
        <v>1300</v>
      </c>
      <c r="J3492" s="1">
        <v>1300</v>
      </c>
    </row>
    <row r="3493" spans="2:10">
      <c r="B3493" s="1" t="s">
        <v>4643</v>
      </c>
      <c r="C3493" s="2" t="s">
        <v>18</v>
      </c>
      <c r="D3493" s="2" t="s">
        <v>2168</v>
      </c>
      <c r="E3493" s="3">
        <v>200</v>
      </c>
      <c r="F3493" s="3">
        <v>12</v>
      </c>
      <c r="G3493" s="4">
        <v>44557</v>
      </c>
      <c r="I3493" s="1">
        <v>1300</v>
      </c>
      <c r="J3493" s="1">
        <v>1300</v>
      </c>
    </row>
    <row r="3494" spans="2:10">
      <c r="B3494" s="1" t="s">
        <v>4645</v>
      </c>
      <c r="C3494" s="2" t="s">
        <v>18</v>
      </c>
      <c r="D3494" s="2" t="s">
        <v>2168</v>
      </c>
      <c r="E3494" s="3">
        <v>200</v>
      </c>
      <c r="F3494" s="3">
        <v>12</v>
      </c>
      <c r="G3494" s="4">
        <v>44557</v>
      </c>
      <c r="I3494" s="1">
        <v>1300</v>
      </c>
      <c r="J3494" s="1">
        <v>1300</v>
      </c>
    </row>
    <row r="3495" spans="2:10">
      <c r="B3495" s="84" t="s">
        <v>5038</v>
      </c>
      <c r="C3495" s="86" t="s">
        <v>18</v>
      </c>
      <c r="D3495" s="86" t="s">
        <v>2157</v>
      </c>
      <c r="E3495" s="3">
        <v>300</v>
      </c>
      <c r="F3495" s="3">
        <f t="shared" ref="F3495:F3504" si="6">200/14</f>
        <v>14.285714285714286</v>
      </c>
      <c r="G3495" s="4">
        <v>44300</v>
      </c>
      <c r="I3495" s="1">
        <v>700</v>
      </c>
      <c r="J3495" s="1">
        <v>700</v>
      </c>
    </row>
    <row r="3496" spans="2:10">
      <c r="B3496" s="84" t="s">
        <v>5039</v>
      </c>
      <c r="C3496" s="86" t="s">
        <v>18</v>
      </c>
      <c r="D3496" s="86" t="s">
        <v>2157</v>
      </c>
      <c r="E3496" s="3">
        <v>300</v>
      </c>
      <c r="F3496" s="3">
        <f t="shared" si="6"/>
        <v>14.285714285714286</v>
      </c>
      <c r="G3496" s="4">
        <v>44300</v>
      </c>
      <c r="I3496" s="1">
        <v>700</v>
      </c>
      <c r="J3496" s="1">
        <v>700</v>
      </c>
    </row>
    <row r="3497" spans="2:10">
      <c r="B3497" s="84" t="s">
        <v>5040</v>
      </c>
      <c r="C3497" s="86" t="s">
        <v>18</v>
      </c>
      <c r="D3497" s="86" t="s">
        <v>2157</v>
      </c>
      <c r="E3497" s="3">
        <v>300</v>
      </c>
      <c r="F3497" s="3">
        <f t="shared" si="6"/>
        <v>14.285714285714286</v>
      </c>
      <c r="G3497" s="4">
        <v>44300</v>
      </c>
      <c r="I3497" s="1">
        <v>700</v>
      </c>
      <c r="J3497" s="1">
        <v>700</v>
      </c>
    </row>
    <row r="3498" spans="2:10">
      <c r="B3498" s="84" t="s">
        <v>2322</v>
      </c>
      <c r="C3498" s="86" t="s">
        <v>18</v>
      </c>
      <c r="D3498" s="86" t="s">
        <v>2157</v>
      </c>
      <c r="E3498" s="3">
        <v>300</v>
      </c>
      <c r="F3498" s="3">
        <f t="shared" si="6"/>
        <v>14.285714285714286</v>
      </c>
      <c r="G3498" s="4">
        <v>44300</v>
      </c>
      <c r="I3498" s="1">
        <v>700</v>
      </c>
      <c r="J3498" s="1">
        <v>700</v>
      </c>
    </row>
    <row r="3499" spans="2:10">
      <c r="B3499" s="84" t="s">
        <v>5041</v>
      </c>
      <c r="C3499" s="86" t="s">
        <v>18</v>
      </c>
      <c r="D3499" s="86" t="s">
        <v>2157</v>
      </c>
      <c r="E3499" s="3">
        <v>300</v>
      </c>
      <c r="F3499" s="3">
        <f t="shared" si="6"/>
        <v>14.285714285714286</v>
      </c>
      <c r="G3499" s="4">
        <v>44300</v>
      </c>
      <c r="I3499" s="1">
        <v>700</v>
      </c>
      <c r="J3499" s="1">
        <v>700</v>
      </c>
    </row>
    <row r="3500" spans="2:10">
      <c r="B3500" s="84" t="s">
        <v>5042</v>
      </c>
      <c r="C3500" s="86" t="s">
        <v>18</v>
      </c>
      <c r="D3500" s="86" t="s">
        <v>2157</v>
      </c>
      <c r="E3500" s="3">
        <v>300</v>
      </c>
      <c r="F3500" s="3">
        <f t="shared" si="6"/>
        <v>14.285714285714286</v>
      </c>
      <c r="G3500" s="4">
        <v>44300</v>
      </c>
      <c r="I3500" s="1">
        <v>700</v>
      </c>
      <c r="J3500" s="1">
        <v>700</v>
      </c>
    </row>
    <row r="3501" spans="2:10">
      <c r="B3501" s="84" t="s">
        <v>5043</v>
      </c>
      <c r="C3501" s="86" t="s">
        <v>18</v>
      </c>
      <c r="D3501" s="86" t="s">
        <v>2157</v>
      </c>
      <c r="E3501" s="3">
        <v>300</v>
      </c>
      <c r="F3501" s="3">
        <f t="shared" si="6"/>
        <v>14.285714285714286</v>
      </c>
      <c r="G3501" s="4">
        <v>44300</v>
      </c>
      <c r="I3501" s="1">
        <v>700</v>
      </c>
      <c r="J3501" s="1">
        <v>700</v>
      </c>
    </row>
    <row r="3502" spans="2:10">
      <c r="B3502" s="84" t="s">
        <v>5044</v>
      </c>
      <c r="C3502" s="86" t="s">
        <v>18</v>
      </c>
      <c r="D3502" s="86" t="s">
        <v>2157</v>
      </c>
      <c r="E3502" s="3">
        <v>300</v>
      </c>
      <c r="F3502" s="3">
        <f t="shared" si="6"/>
        <v>14.285714285714286</v>
      </c>
      <c r="G3502" s="4">
        <v>44300</v>
      </c>
      <c r="I3502" s="1">
        <v>700</v>
      </c>
      <c r="J3502" s="1">
        <v>700</v>
      </c>
    </row>
    <row r="3503" spans="2:10">
      <c r="B3503" s="84" t="s">
        <v>5045</v>
      </c>
      <c r="C3503" s="86" t="s">
        <v>18</v>
      </c>
      <c r="D3503" s="86" t="s">
        <v>2157</v>
      </c>
      <c r="E3503" s="3">
        <v>300</v>
      </c>
      <c r="F3503" s="3">
        <f t="shared" si="6"/>
        <v>14.285714285714286</v>
      </c>
      <c r="G3503" s="4">
        <v>44300</v>
      </c>
      <c r="I3503" s="1">
        <v>700</v>
      </c>
      <c r="J3503" s="1">
        <v>700</v>
      </c>
    </row>
    <row r="3504" spans="2:10">
      <c r="B3504" s="84" t="s">
        <v>5046</v>
      </c>
      <c r="C3504" s="86" t="s">
        <v>18</v>
      </c>
      <c r="D3504" s="86" t="s">
        <v>2157</v>
      </c>
      <c r="E3504" s="3">
        <v>300</v>
      </c>
      <c r="F3504" s="3">
        <f t="shared" si="6"/>
        <v>14.285714285714286</v>
      </c>
      <c r="G3504" s="4">
        <v>44300</v>
      </c>
      <c r="I3504" s="1">
        <v>700</v>
      </c>
      <c r="J3504" s="1">
        <v>700</v>
      </c>
    </row>
    <row r="3505" spans="2:10">
      <c r="B3505" s="84" t="s">
        <v>5068</v>
      </c>
      <c r="C3505" s="86" t="s">
        <v>4</v>
      </c>
      <c r="D3505" s="86" t="s">
        <v>2157</v>
      </c>
      <c r="E3505" s="3">
        <v>10.3</v>
      </c>
      <c r="F3505" s="3">
        <v>1.3</v>
      </c>
      <c r="G3505" s="4">
        <v>42846</v>
      </c>
      <c r="J3505" s="1">
        <v>700</v>
      </c>
    </row>
    <row r="3506" spans="2:10">
      <c r="B3506" s="84" t="s">
        <v>5078</v>
      </c>
      <c r="C3506" s="86" t="s">
        <v>5</v>
      </c>
      <c r="D3506" s="86" t="s">
        <v>2155</v>
      </c>
      <c r="E3506" s="3">
        <v>11.5</v>
      </c>
      <c r="F3506" s="3">
        <f>5.5/4</f>
        <v>1.375</v>
      </c>
      <c r="G3506" s="4">
        <v>43355</v>
      </c>
      <c r="J3506" s="1">
        <v>3400</v>
      </c>
    </row>
    <row r="3507" spans="2:10">
      <c r="B3507" s="95" t="s">
        <v>5190</v>
      </c>
      <c r="C3507" s="96" t="s">
        <v>9</v>
      </c>
      <c r="D3507" s="96" t="s">
        <v>2150</v>
      </c>
      <c r="E3507" s="3">
        <v>100</v>
      </c>
      <c r="F3507" s="3">
        <v>25</v>
      </c>
      <c r="G3507" s="4">
        <v>44507</v>
      </c>
      <c r="I3507" s="1">
        <v>1600</v>
      </c>
      <c r="J3507" s="1">
        <v>1600</v>
      </c>
    </row>
    <row r="3508" spans="2:10">
      <c r="B3508" s="95" t="s">
        <v>5191</v>
      </c>
      <c r="C3508" s="96" t="s">
        <v>9</v>
      </c>
      <c r="D3508" s="96" t="s">
        <v>2150</v>
      </c>
      <c r="E3508" s="3">
        <v>100</v>
      </c>
      <c r="F3508" s="3">
        <v>10.714285714285714</v>
      </c>
      <c r="G3508" s="4">
        <v>44507</v>
      </c>
      <c r="I3508" s="1">
        <v>1600</v>
      </c>
      <c r="J3508" s="1">
        <v>1600</v>
      </c>
    </row>
    <row r="3509" spans="2:10">
      <c r="B3509" s="95" t="s">
        <v>5199</v>
      </c>
      <c r="C3509" s="96" t="s">
        <v>7</v>
      </c>
      <c r="D3509" s="96" t="s">
        <v>2150</v>
      </c>
      <c r="E3509" s="3">
        <v>20</v>
      </c>
      <c r="F3509" s="3">
        <v>7</v>
      </c>
      <c r="G3509" s="4">
        <v>42317</v>
      </c>
      <c r="J3509" s="1">
        <v>1600</v>
      </c>
    </row>
    <row r="3510" spans="2:10">
      <c r="B3510" s="95" t="s">
        <v>5202</v>
      </c>
      <c r="C3510" s="96" t="s">
        <v>5</v>
      </c>
      <c r="D3510" s="96" t="s">
        <v>2150</v>
      </c>
      <c r="E3510" s="3">
        <v>8.9</v>
      </c>
      <c r="F3510" s="3">
        <f>E3510/6</f>
        <v>1.4833333333333334</v>
      </c>
      <c r="G3510" s="4">
        <v>41839</v>
      </c>
      <c r="J3510" s="1">
        <v>1600</v>
      </c>
    </row>
    <row r="3511" spans="2:10">
      <c r="B3511" s="95" t="s">
        <v>5213</v>
      </c>
      <c r="C3511" s="96" t="s">
        <v>55</v>
      </c>
      <c r="D3511" s="96" t="s">
        <v>5209</v>
      </c>
      <c r="E3511" s="3">
        <v>100</v>
      </c>
      <c r="F3511" s="3">
        <v>30</v>
      </c>
      <c r="G3511" s="4">
        <v>44474</v>
      </c>
    </row>
    <row r="3512" spans="2:10">
      <c r="B3512" s="95" t="s">
        <v>5214</v>
      </c>
      <c r="C3512" s="96" t="s">
        <v>55</v>
      </c>
      <c r="D3512" s="96" t="s">
        <v>5209</v>
      </c>
      <c r="E3512" s="3">
        <v>100</v>
      </c>
      <c r="F3512" s="3">
        <v>14</v>
      </c>
      <c r="G3512" s="4">
        <v>44474</v>
      </c>
    </row>
    <row r="3513" spans="2:10">
      <c r="C3513" s="96" t="s">
        <v>9</v>
      </c>
      <c r="D3513" s="96" t="s">
        <v>5209</v>
      </c>
      <c r="E3513" s="3">
        <v>43</v>
      </c>
      <c r="F3513" s="3">
        <v>20</v>
      </c>
      <c r="G3513" s="4">
        <v>43992</v>
      </c>
    </row>
  </sheetData>
  <hyperlinks>
    <hyperlink ref="J325" r:id="rId1" xr:uid="{A05CDC27-286A-B746-9B5F-5B1E1B4E390C}"/>
    <hyperlink ref="J326"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A6" sqref="A6"/>
    </sheetView>
  </sheetViews>
  <sheetFormatPr defaultColWidth="11" defaultRowHeight="12.75"/>
  <cols>
    <col min="1" max="1" width="5.375" style="78" bestFit="1" customWidth="1"/>
    <col min="2" max="2" width="16.375" style="78" customWidth="1"/>
    <col min="3" max="6" width="11" style="78"/>
    <col min="7" max="7" width="21.875" style="78" customWidth="1"/>
    <col min="8" max="16384" width="11" style="78"/>
  </cols>
  <sheetData>
    <row r="1" spans="1:16">
      <c r="A1" s="28" t="s">
        <v>1194</v>
      </c>
    </row>
    <row r="2" spans="1:16">
      <c r="B2" s="78" t="s">
        <v>4646</v>
      </c>
    </row>
    <row r="4" spans="1:16">
      <c r="B4" s="78" t="s">
        <v>4077</v>
      </c>
      <c r="D4" s="83">
        <f>SUM(D5:D280)</f>
        <v>149255.5</v>
      </c>
    </row>
    <row r="5" spans="1:16">
      <c r="B5" s="78" t="str">
        <f>Companies!B10</f>
        <v>OpenAI</v>
      </c>
      <c r="C5" s="78" t="str">
        <f>Companies!C10</f>
        <v>Private</v>
      </c>
      <c r="D5" s="78">
        <f>Companies!D10</f>
        <v>28700</v>
      </c>
      <c r="E5" s="78" t="str">
        <f>Companies!E10</f>
        <v>N/A</v>
      </c>
      <c r="F5" s="78">
        <f>Companies!F10</f>
        <v>300</v>
      </c>
      <c r="G5" s="78" t="str">
        <f>Companies!H10</f>
        <v>GPT4, ChatGPT, Whisper, Code Interpreter, CoPilot</v>
      </c>
      <c r="H5" s="78" t="str">
        <f>Companies!I10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78" t="str">
        <f>Companies!J10</f>
        <v>Tool</v>
      </c>
      <c r="J5" s="78" t="str">
        <f>Companies!K10</f>
        <v>Language Model</v>
      </c>
      <c r="K5" s="78">
        <f>Companies!L10</f>
        <v>2015</v>
      </c>
      <c r="L5" s="78">
        <f>Companies!M10</f>
        <v>0</v>
      </c>
      <c r="M5" s="78" t="str">
        <f>Companies!N10</f>
        <v>Wisdom Ventures, Thrive Capital, SVA, Sequoia Capital, K2 Global, a16z</v>
      </c>
      <c r="N5" s="78" t="str">
        <f>Companies!O10</f>
        <v>N/A</v>
      </c>
      <c r="O5" s="78" t="str">
        <f>Companies!P10</f>
        <v>10B at 19B</v>
      </c>
      <c r="P5" s="78" t="str">
        <f>Companies!Q10</f>
        <v>Microsoft</v>
      </c>
    </row>
    <row r="6" spans="1:16">
      <c r="B6" s="78" t="str">
        <f>Companies!B17</f>
        <v>SenseTime</v>
      </c>
      <c r="C6" s="78" t="str">
        <f>Companies!C17</f>
        <v>20 HK</v>
      </c>
      <c r="D6" s="78">
        <f>Companies!D17</f>
        <v>11000</v>
      </c>
      <c r="E6" s="78" t="str">
        <f>Companies!E17</f>
        <v>IPO</v>
      </c>
      <c r="F6" s="78">
        <f>Companies!F17</f>
        <v>740</v>
      </c>
      <c r="G6" s="78" t="str">
        <f>Companies!H17</f>
        <v>Surveillance</v>
      </c>
      <c r="H6" s="78" t="str">
        <f>Companies!I17</f>
        <v>Li Xu, Xiagang Wang, Bing Xu</v>
      </c>
      <c r="I6" s="78" t="str">
        <f>Companies!J17</f>
        <v>Enterprise</v>
      </c>
      <c r="J6" s="78" t="str">
        <f>Companies!K17</f>
        <v>Surveillance</v>
      </c>
      <c r="K6" s="78">
        <f>Companies!L17</f>
        <v>41913</v>
      </c>
      <c r="L6" s="78" t="str">
        <f>Companies!M17</f>
        <v>Chinese</v>
      </c>
      <c r="M6" s="78" t="str">
        <f>Companies!N17</f>
        <v>IPO</v>
      </c>
      <c r="N6" s="78" t="str">
        <f>Companies!O17</f>
        <v>Series D: 5B valuation</v>
      </c>
      <c r="O6" s="78">
        <f>Companies!P17</f>
        <v>1000</v>
      </c>
      <c r="P6" s="78" t="str">
        <f>Companies!Q17</f>
        <v>Softbank</v>
      </c>
    </row>
    <row r="7" spans="1:16">
      <c r="B7" s="78" t="str">
        <f>Companies!B20</f>
        <v>Scale</v>
      </c>
      <c r="C7" s="78" t="str">
        <f>Companies!C20</f>
        <v>Private</v>
      </c>
      <c r="D7" s="78">
        <f>Companies!D20</f>
        <v>7000</v>
      </c>
      <c r="E7" s="78" t="str">
        <f>Companies!E20</f>
        <v>Series E</v>
      </c>
      <c r="F7" s="78">
        <f>Companies!F20</f>
        <v>325</v>
      </c>
      <c r="G7" s="78" t="str">
        <f>Companies!H20</f>
        <v>Labeling</v>
      </c>
      <c r="H7" s="78" t="str">
        <f>Companies!I20</f>
        <v>Alexandr Wang</v>
      </c>
      <c r="I7" s="78" t="str">
        <f>Companies!J20</f>
        <v>Tool</v>
      </c>
      <c r="J7" s="78" t="str">
        <f>Companies!K20</f>
        <v>MLOps</v>
      </c>
      <c r="K7" s="78">
        <f>Companies!L20</f>
        <v>42522</v>
      </c>
      <c r="L7" s="78" t="str">
        <f>Companies!M20</f>
        <v>Lucy Guo co-founder</v>
      </c>
      <c r="M7" s="78" t="str">
        <f>Companies!N20</f>
        <v>Tiger, Coatue, Y Combinator, Wellington, Index, Human Capital, Greenoaks, Founders Fund, Durable Capital, Dragoneer</v>
      </c>
      <c r="N7" s="78" t="str">
        <f>Companies!O20</f>
        <v>Series D: 3.5B valuation</v>
      </c>
      <c r="O7" s="78">
        <f>Companies!P20</f>
        <v>155</v>
      </c>
      <c r="P7" s="78" t="str">
        <f>Companies!Q20</f>
        <v>Tiger, Bradley Horowitz</v>
      </c>
    </row>
    <row r="8" spans="1:16">
      <c r="B8" s="78" t="str">
        <f>Companies!B21</f>
        <v>Gong.io</v>
      </c>
      <c r="C8" s="78" t="str">
        <f>Companies!C21</f>
        <v>Private</v>
      </c>
      <c r="D8" s="78">
        <f>Companies!D21</f>
        <v>7000</v>
      </c>
      <c r="E8" s="78" t="str">
        <f>Companies!E21</f>
        <v>Series E</v>
      </c>
      <c r="F8" s="78">
        <f>Companies!F21</f>
        <v>250</v>
      </c>
      <c r="G8" s="78" t="str">
        <f>Companies!H21</f>
        <v>Revenue cycle management, transcription</v>
      </c>
      <c r="H8" s="78" t="str">
        <f>Companies!I21</f>
        <v>Eilon Reshef</v>
      </c>
      <c r="I8" s="78" t="str">
        <f>Companies!J21</f>
        <v>Enterprise</v>
      </c>
      <c r="J8" s="78" t="str">
        <f>Companies!K21</f>
        <v>Sales</v>
      </c>
      <c r="K8" s="78">
        <f>Companies!L21</f>
        <v>2015</v>
      </c>
      <c r="L8" s="78" t="str">
        <f>Companies!M21</f>
        <v>178m ARR</v>
      </c>
      <c r="M8" s="78" t="str">
        <f>Companies!N21</f>
        <v>Franklin Templeton, Tiger, Thrive, Sequoia, Salesforce, Coatue</v>
      </c>
      <c r="N8" s="78" t="str">
        <f>Companies!O21</f>
        <v>Series D</v>
      </c>
      <c r="O8" s="78">
        <f>Companies!P21</f>
        <v>200</v>
      </c>
      <c r="P8" s="78" t="str">
        <f>Companies!Q21</f>
        <v>Coatue, Wing, Thrive, Sequoia, Salesforce, Norwest, NextWorld, Index, Battery</v>
      </c>
    </row>
    <row r="9" spans="1:16">
      <c r="B9" s="78" t="str">
        <f>Companies!B23</f>
        <v>SambaNova Systems</v>
      </c>
      <c r="C9" s="78" t="str">
        <f>Companies!C23</f>
        <v>Private</v>
      </c>
      <c r="D9" s="78">
        <f>Companies!D23</f>
        <v>4400</v>
      </c>
      <c r="E9" s="78" t="str">
        <f>Companies!E23</f>
        <v>Series D</v>
      </c>
      <c r="F9" s="78">
        <f>Companies!F23</f>
        <v>676</v>
      </c>
      <c r="G9" s="78" t="str">
        <f>Companies!H23</f>
        <v>GAI for enterprise and government, Hardware</v>
      </c>
      <c r="H9" s="78" t="str">
        <f>Companies!I23</f>
        <v>Christopher Ré, Kunle Olukotun, Rodrigo Liang</v>
      </c>
      <c r="I9" s="78" t="str">
        <f>Companies!J23</f>
        <v>Enterprise</v>
      </c>
      <c r="J9" s="78" t="str">
        <f>Companies!K23</f>
        <v>Platform</v>
      </c>
      <c r="K9" s="78">
        <f>Companies!L23</f>
        <v>2017</v>
      </c>
      <c r="L9" s="78">
        <f>Companies!M23</f>
        <v>0</v>
      </c>
      <c r="M9" s="78" t="str">
        <f>Companies!N23</f>
        <v>SoftBank, Walden International, Temasek, Intel, Google, GIC, Celesta, BlackRock</v>
      </c>
      <c r="N9" s="78" t="str">
        <f>Companies!O23</f>
        <v>Series C at 2.3B</v>
      </c>
      <c r="O9" s="78">
        <f>Companies!P23</f>
        <v>250</v>
      </c>
      <c r="P9" s="78" t="str">
        <f>Companies!Q23</f>
        <v>BlackRock, Walden International, Redline Capital, Intel, Google, Celesta</v>
      </c>
    </row>
    <row r="10" spans="1:16">
      <c r="B10" s="78" t="str">
        <f>Companies!B24</f>
        <v>UBTech Robotics</v>
      </c>
      <c r="C10" s="78" t="str">
        <f>Companies!C24</f>
        <v>Private</v>
      </c>
      <c r="D10" s="78">
        <f>Companies!D24</f>
        <v>4200</v>
      </c>
      <c r="E10" s="78" t="str">
        <f>Companies!E24</f>
        <v>Series C</v>
      </c>
      <c r="F10" s="78">
        <f>Companies!F24</f>
        <v>820</v>
      </c>
      <c r="G10" s="78" t="str">
        <f>Companies!H24</f>
        <v>Chinese AI/robotics</v>
      </c>
      <c r="H10" s="78" t="str">
        <f>Companies!I24</f>
        <v>James Zhou</v>
      </c>
      <c r="I10" s="78" t="str">
        <f>Companies!J24</f>
        <v>Enterprise</v>
      </c>
      <c r="J10" s="78" t="str">
        <f>Companies!K24</f>
        <v>Robotics</v>
      </c>
      <c r="K10" s="78">
        <f>Companies!L24</f>
        <v>2012</v>
      </c>
      <c r="L10" s="78">
        <f>Companies!M24</f>
        <v>0</v>
      </c>
      <c r="M10" s="78" t="str">
        <f>Companies!N24</f>
        <v>Tencent, Telstra Ventures, Minsheng Securities, Haier, Green Pine, CreditEase, CDH Investments</v>
      </c>
      <c r="N10" s="78" t="str">
        <f>Companies!O24</f>
        <v>Series B at 900m</v>
      </c>
      <c r="O10" s="78">
        <f>Companies!P24</f>
        <v>100</v>
      </c>
      <c r="P10" s="78" t="str">
        <f>Companies!Q24</f>
        <v>CDH Investments, CITIC Securities, Qiming Venture Partners</v>
      </c>
    </row>
    <row r="11" spans="1:16">
      <c r="B11" s="78" t="str">
        <f>Companies!B25</f>
        <v>Anthropic</v>
      </c>
      <c r="C11" s="78" t="str">
        <f>Companies!C25</f>
        <v>Private</v>
      </c>
      <c r="D11" s="78">
        <f>Companies!D25</f>
        <v>4100</v>
      </c>
      <c r="E11" s="78" t="str">
        <f>Companies!E25</f>
        <v>Series C</v>
      </c>
      <c r="F11" s="78">
        <f>Companies!F25</f>
        <v>450</v>
      </c>
      <c r="G11" s="78" t="str">
        <f>Companies!H25</f>
        <v>Claude</v>
      </c>
      <c r="H11" s="78" t="str">
        <f>Companies!I25</f>
        <v>Dario Amodei, Tom Brown</v>
      </c>
      <c r="I11" s="78" t="str">
        <f>Companies!J25</f>
        <v>Tool</v>
      </c>
      <c r="J11" s="78" t="str">
        <f>Companies!K25</f>
        <v>Language Model</v>
      </c>
      <c r="K11" s="78">
        <f>Companies!L25</f>
        <v>2021</v>
      </c>
      <c r="L11" s="78" t="str">
        <f>Companies!M25</f>
        <v>Public benefit corp, EA-coded</v>
      </c>
      <c r="M11" s="78" t="str">
        <f>Companies!N25</f>
        <v>Spark, Zoom, Sound, Salesforce, Menlo, Google</v>
      </c>
      <c r="N11" s="78" t="str">
        <f>Companies!O25</f>
        <v>One-Off</v>
      </c>
      <c r="O11" s="78">
        <f>Companies!P25</f>
        <v>300</v>
      </c>
      <c r="P11" s="78" t="str">
        <f>Companies!Q25</f>
        <v>Google</v>
      </c>
    </row>
    <row r="12" spans="1:16">
      <c r="B12" s="78" t="str">
        <f>Companies!B27</f>
        <v>Inflection AI</v>
      </c>
      <c r="C12" s="78" t="str">
        <f>Companies!C27</f>
        <v>Private</v>
      </c>
      <c r="D12" s="78">
        <f>Companies!D27</f>
        <v>4000</v>
      </c>
      <c r="E12" s="78" t="str">
        <f>Companies!E27</f>
        <v>Series A</v>
      </c>
      <c r="F12" s="78">
        <f>Companies!F27</f>
        <v>1300</v>
      </c>
      <c r="G12" s="78" t="str">
        <f>Companies!H27</f>
        <v>Pi</v>
      </c>
      <c r="H12" s="78" t="str">
        <f>Companies!I27</f>
        <v>Reid Hoffman, Mustafa Suleyman</v>
      </c>
      <c r="I12" s="78" t="str">
        <f>Companies!J27</f>
        <v>Consumer</v>
      </c>
      <c r="J12" s="78" t="str">
        <f>Companies!K27</f>
        <v>Chatbot</v>
      </c>
      <c r="K12" s="78">
        <f>Companies!L27</f>
        <v>2022</v>
      </c>
      <c r="L12" s="78" t="str">
        <f>Companies!M27</f>
        <v>Said they wanted to raise $600m in March 2023, hasn’t materialized</v>
      </c>
      <c r="M12" s="78" t="str">
        <f>Companies!N27</f>
        <v>Microsoft, Reid Hoffman, Bill Gates, Eric Schmidt, NVIDIA</v>
      </c>
      <c r="N12" s="78" t="str">
        <f>Companies!O27</f>
        <v>Series A</v>
      </c>
      <c r="O12" s="78">
        <f>Companies!P27</f>
        <v>225</v>
      </c>
      <c r="P12" s="78" t="str">
        <f>Companies!Q27</f>
        <v>Greylock</v>
      </c>
    </row>
    <row r="13" spans="1:16">
      <c r="B13" s="78" t="str">
        <f>Companies!B31</f>
        <v>MEGVII</v>
      </c>
      <c r="C13" s="78" t="str">
        <f>Companies!C31</f>
        <v>Private</v>
      </c>
      <c r="D13" s="78">
        <f>Companies!D31</f>
        <v>3300</v>
      </c>
      <c r="E13" s="78" t="str">
        <f>Companies!E31</f>
        <v>Series D</v>
      </c>
      <c r="F13" s="78">
        <f>Companies!F31</f>
        <v>750</v>
      </c>
      <c r="G13" s="78" t="str">
        <f>Companies!H31</f>
        <v>AI Engine, Brain++, Face++, surveillance</v>
      </c>
      <c r="H13" s="78" t="str">
        <f>Companies!I31</f>
        <v>Qi Yin, Wenbin Tang, Yang Mu</v>
      </c>
      <c r="I13" s="78" t="str">
        <f>Companies!J31</f>
        <v>Enterprise</v>
      </c>
      <c r="J13" s="78" t="str">
        <f>Companies!K31</f>
        <v>Surveillance</v>
      </c>
      <c r="K13" s="78">
        <f>Companies!L31</f>
        <v>2011</v>
      </c>
      <c r="L13" s="78" t="str">
        <f>Companies!M31</f>
        <v>IPO soon</v>
      </c>
      <c r="M13" s="78" t="str">
        <f>Companies!N31</f>
        <v>Bank of China Group Investment, Macquarie, ICBC, Alibaba, ADIA</v>
      </c>
      <c r="N13" s="78" t="str">
        <f>Companies!O31</f>
        <v>Series C</v>
      </c>
      <c r="O13" s="78">
        <f>Companies!P31</f>
        <v>460</v>
      </c>
      <c r="P13" s="78" t="str">
        <f>Companies!Q31</f>
        <v>Foxconn, Ant, Sunshine Insurance, SK Group, Russia-China Investment Fund, China Reform Holdings</v>
      </c>
    </row>
    <row r="14" spans="1:16">
      <c r="B14" s="78" t="str">
        <f>Companies!B32</f>
        <v>Dataiku</v>
      </c>
      <c r="C14" s="78" t="str">
        <f>Companies!C32</f>
        <v>Private</v>
      </c>
      <c r="D14" s="78">
        <f>Companies!D32</f>
        <v>3500</v>
      </c>
      <c r="E14" s="78" t="str">
        <f>Companies!E32</f>
        <v>Series F</v>
      </c>
      <c r="F14" s="78">
        <f>Companies!F32</f>
        <v>200</v>
      </c>
      <c r="G14" s="78" t="str">
        <f>Companies!H32</f>
        <v>Data Science/ML platform</v>
      </c>
      <c r="H14" s="78" t="str">
        <f>Companies!I32</f>
        <v>Clément Stenac, Florian Douetteau, Marc Batty, Thomas Cabrol</v>
      </c>
      <c r="I14" s="78" t="str">
        <f>Companies!J32</f>
        <v>Enterprise</v>
      </c>
      <c r="J14" s="78" t="str">
        <f>Companies!K32</f>
        <v>Platform</v>
      </c>
      <c r="K14" s="78">
        <f>Companies!L32</f>
        <v>2013</v>
      </c>
      <c r="L14" s="78">
        <f>Companies!M32</f>
        <v>0</v>
      </c>
      <c r="M14" s="78" t="str">
        <f>Companies!N32</f>
        <v>Wellington, Insight Partners, Eurazeo, Olivier Pomel</v>
      </c>
      <c r="N14" s="78" t="str">
        <f>Companies!O32</f>
        <v>Series E</v>
      </c>
      <c r="O14" s="78" t="str">
        <f>Companies!P32</f>
        <v>400 at 4.2B</v>
      </c>
      <c r="P14" s="78" t="str">
        <f>Companies!Q32</f>
        <v>Tiger, Snowflake, Lightrock, Insight, ICONIQ, FirstMark, Eurazeo, Dawn Capital, CapitalG, Battery, Olivier Pomel</v>
      </c>
    </row>
    <row r="15" spans="1:16">
      <c r="B15" s="78" t="str">
        <f>Companies!B34</f>
        <v>4Paradigm</v>
      </c>
      <c r="C15" s="78" t="str">
        <f>Companies!C34</f>
        <v>Private</v>
      </c>
      <c r="D15" s="78">
        <f>Companies!D34</f>
        <v>3500</v>
      </c>
      <c r="E15" s="78" t="str">
        <f>Companies!E34</f>
        <v>Series D</v>
      </c>
      <c r="F15" s="78">
        <f>Companies!F34</f>
        <v>700</v>
      </c>
      <c r="G15" s="78" t="str">
        <f>Companies!H34</f>
        <v>Chinese AI/ML Platform</v>
      </c>
      <c r="H15" s="78" t="str">
        <f>Companies!I34</f>
        <v>Feng Tian, Qiang Yang, Shiwei Hu, Wenyuan Dai, Yuqiang Chen</v>
      </c>
      <c r="I15" s="78" t="str">
        <f>Companies!J34</f>
        <v>Enterprise</v>
      </c>
      <c r="J15" s="78" t="str">
        <f>Companies!K34</f>
        <v>MLOps</v>
      </c>
      <c r="K15" s="78">
        <f>Companies!L34</f>
        <v>2014</v>
      </c>
      <c r="L15" s="78" t="str">
        <f>Companies!M34</f>
        <v>IPO Soon</v>
      </c>
      <c r="M15" s="78" t="str">
        <f>Companies!N34</f>
        <v>Primavera Capital, HOPU, Boyu, Sequoia Capital China, Mubadala, Junci Investment, Jinyi Capital, Haitong, Goldman Sachs, FountainVest, CITIC, China Securities, China Reform, China Jianyin, Chinda Development Bank</v>
      </c>
      <c r="N15" s="78" t="str">
        <f>Companies!O34</f>
        <v>Series C</v>
      </c>
      <c r="O15" s="78" t="str">
        <f>Companies!P34</f>
        <v>230 at 1.8B</v>
      </c>
      <c r="P15" s="78" t="str">
        <f>Companies!Q34</f>
        <v>Lenovo, Green Pine, Co-Stone Venture, Cisco, CITIC, Capikris Foundation, Songhe Capital, Cornerstone Capital</v>
      </c>
    </row>
    <row r="16" spans="1:16">
      <c r="B16" s="78" t="str">
        <f>Companies!B36</f>
        <v>SymphonyAI</v>
      </c>
      <c r="C16" s="78" t="str">
        <f>Companies!C36</f>
        <v>Private</v>
      </c>
      <c r="D16" s="78">
        <f>Companies!D36</f>
        <v>3000</v>
      </c>
      <c r="E16" s="78" t="str">
        <f>Companies!E36</f>
        <v>N/A</v>
      </c>
      <c r="F16" s="78" t="str">
        <f>Companies!F36</f>
        <v>N/A</v>
      </c>
      <c r="G16" s="78" t="str">
        <f>Companies!H36</f>
        <v>Vertical focused, eg AML</v>
      </c>
      <c r="H16" s="78" t="str">
        <f>Companies!I36</f>
        <v>Romesh Wadhwani</v>
      </c>
      <c r="I16" s="78" t="str">
        <f>Companies!J36</f>
        <v>Enterprise</v>
      </c>
      <c r="J16" s="78" t="str">
        <f>Companies!K36</f>
        <v>Analytics</v>
      </c>
      <c r="K16" s="78">
        <f>Companies!L36</f>
        <v>2017</v>
      </c>
      <c r="L16" s="78" t="str">
        <f>Companies!M36</f>
        <v>Self-funded by Romesh Wadhwani, &gt;220m in revenue allegedly</v>
      </c>
      <c r="M16" s="78" t="str">
        <f>Companies!N36</f>
        <v>N/A</v>
      </c>
      <c r="N16" s="78" t="str">
        <f>Companies!O36</f>
        <v>N/A</v>
      </c>
      <c r="O16" s="78" t="str">
        <f>Companies!P36</f>
        <v>N/A</v>
      </c>
      <c r="P16" s="78" t="str">
        <f>Companies!Q36</f>
        <v>N/A</v>
      </c>
    </row>
    <row r="17" spans="2:16">
      <c r="B17" s="78" t="str">
        <f>Companies!B37</f>
        <v>Stability AI</v>
      </c>
      <c r="C17" s="78" t="str">
        <f>Companies!C37</f>
        <v>Private</v>
      </c>
      <c r="D17" s="78">
        <f>Companies!D37</f>
        <v>3000</v>
      </c>
      <c r="E17" s="78" t="str">
        <f>Companies!E37</f>
        <v>Seed</v>
      </c>
      <c r="F17" s="78">
        <f>Companies!F37</f>
        <v>100</v>
      </c>
      <c r="G17" s="78" t="str">
        <f>Companies!H37</f>
        <v>Stable Diffusion</v>
      </c>
      <c r="H17" s="78" t="str">
        <f>Companies!I37</f>
        <v>Emad Mostaque</v>
      </c>
      <c r="I17" s="78" t="str">
        <f>Companies!J37</f>
        <v>Consumer</v>
      </c>
      <c r="J17" s="78" t="str">
        <f>Companies!K37</f>
        <v>Content</v>
      </c>
      <c r="K17" s="78">
        <f>Companies!L37</f>
        <v>2019</v>
      </c>
      <c r="L17" s="78" t="str">
        <f>Companies!M37</f>
        <v>CEO is sketchy</v>
      </c>
      <c r="M17" s="78" t="str">
        <f>Companies!N37</f>
        <v>Coatue, Fourth Revolution, Kadmos, Lightspeed, O'Shaughnessy</v>
      </c>
      <c r="N17" s="78" t="str">
        <f>Companies!O37</f>
        <v>N/A</v>
      </c>
      <c r="O17" s="78" t="str">
        <f>Companies!P37</f>
        <v>N/A</v>
      </c>
      <c r="P17" s="78" t="str">
        <f>Companies!Q37</f>
        <v>N/A</v>
      </c>
    </row>
    <row r="18" spans="2:16">
      <c r="B18" s="78" t="str">
        <f>Companies!B40</f>
        <v>Shield AI</v>
      </c>
      <c r="C18" s="78" t="str">
        <f>Companies!C40</f>
        <v>Private</v>
      </c>
      <c r="D18" s="78">
        <f>Companies!D40</f>
        <v>2200</v>
      </c>
      <c r="E18" s="78" t="str">
        <f>Companies!E40</f>
        <v>Series E</v>
      </c>
      <c r="F18" s="78">
        <f>Companies!F40</f>
        <v>90</v>
      </c>
      <c r="G18" s="78" t="str">
        <f>Companies!H40</f>
        <v>AI Pilot</v>
      </c>
      <c r="H18" s="78" t="str">
        <f>Companies!I40</f>
        <v>Andrew Reiter, Brandon Tseng, Ryan Tseng</v>
      </c>
      <c r="I18" s="78" t="str">
        <f>Companies!J40</f>
        <v>Defense</v>
      </c>
      <c r="J18" s="78" t="str">
        <f>Companies!K40</f>
        <v>Aircraft</v>
      </c>
      <c r="K18" s="78">
        <f>Companies!L40</f>
        <v>2015</v>
      </c>
      <c r="L18" s="78">
        <f>Companies!M40</f>
        <v>0</v>
      </c>
      <c r="M18" s="78" t="str">
        <f>Companies!N40</f>
        <v>Snowpoint, SVB, Riot, Point72, Homebrew, Disruptive, Breyer, a16z</v>
      </c>
      <c r="N18" s="78" t="str">
        <f>Companies!O40</f>
        <v>Series D</v>
      </c>
      <c r="O18" s="78" t="str">
        <f>Companies!P40</f>
        <v>210 at 1B</v>
      </c>
      <c r="P18" s="78" t="str">
        <f>Companies!Q40</f>
        <v>Disruptive, Point72, Breyer, a16z</v>
      </c>
    </row>
    <row r="19" spans="2:16">
      <c r="B19" s="78" t="str">
        <f>Companies!B42</f>
        <v>Moveworks</v>
      </c>
      <c r="C19" s="78" t="str">
        <f>Companies!C42</f>
        <v>Private</v>
      </c>
      <c r="D19" s="78">
        <f>Companies!D42</f>
        <v>2100</v>
      </c>
      <c r="E19" s="78" t="str">
        <f>Companies!E42</f>
        <v>Series C</v>
      </c>
      <c r="F19" s="78">
        <f>Companies!F42</f>
        <v>200</v>
      </c>
      <c r="G19" s="78" t="str">
        <f>Companies!H42</f>
        <v>Conversational Bots</v>
      </c>
      <c r="H19" s="78" t="str">
        <f>Companies!I42</f>
        <v>Bhavin Shah</v>
      </c>
      <c r="I19" s="78" t="str">
        <f>Companies!J42</f>
        <v>Enterprise</v>
      </c>
      <c r="J19" s="78" t="str">
        <f>Companies!K42</f>
        <v>Employee Experience</v>
      </c>
      <c r="K19" s="78">
        <f>Companies!L42</f>
        <v>2016</v>
      </c>
      <c r="L19" s="78">
        <f>Companies!M42</f>
        <v>0</v>
      </c>
      <c r="M19" s="78" t="str">
        <f>Companies!N42</f>
        <v>Tiger, Alkeon</v>
      </c>
      <c r="N19" s="78" t="str">
        <f>Companies!O42</f>
        <v>Series B</v>
      </c>
      <c r="O19" s="78">
        <f>Companies!P42</f>
        <v>75</v>
      </c>
      <c r="P19" s="78" t="str">
        <f>Companies!Q42</f>
        <v>Sapphire Ventures, Kleiner Perkins, ICONIQ Capital, Lightspeed, Comerica Bank's Technology, Bain, John Thompson</v>
      </c>
    </row>
    <row r="20" spans="2:16">
      <c r="B20" s="78" t="str">
        <f>Companies!B43</f>
        <v>Cohere</v>
      </c>
      <c r="C20" s="78" t="str">
        <f>Companies!C43</f>
        <v>Private</v>
      </c>
      <c r="D20" s="78">
        <f>Companies!D43</f>
        <v>2000</v>
      </c>
      <c r="E20" s="78" t="str">
        <f>Companies!E43</f>
        <v>Series C</v>
      </c>
      <c r="F20" s="78">
        <f>Companies!F43</f>
        <v>270</v>
      </c>
      <c r="G20" s="78" t="str">
        <f>Companies!H43</f>
        <v>Command</v>
      </c>
      <c r="H20" s="78" t="str">
        <f>Companies!I43</f>
        <v>Aidan Gomez, Nick Frosst</v>
      </c>
      <c r="I20" s="78" t="str">
        <f>Companies!J43</f>
        <v>Tool</v>
      </c>
      <c r="J20" s="78" t="str">
        <f>Companies!K43</f>
        <v>Language Model</v>
      </c>
      <c r="K20" s="78">
        <f>Companies!L43</f>
        <v>2019</v>
      </c>
      <c r="L20" s="78" t="str">
        <f>Companies!M43</f>
        <v>Wanted higher valuation</v>
      </c>
      <c r="M20" s="78" t="str">
        <f>Companies!N43</f>
        <v>Inovia, Thomvest, SentinelOne, Schroders, Salesforce, Oracle, Nvidia, Mirae, Index, DTCP</v>
      </c>
      <c r="N20" s="78" t="str">
        <f>Companies!O43</f>
        <v>Series B</v>
      </c>
      <c r="O20" s="78">
        <f>Companies!P43</f>
        <v>130</v>
      </c>
      <c r="P20" s="78" t="str">
        <f>Companies!Q43</f>
        <v>Tiger, Section32, Radical Ventures, Index Ventures, Geoff Hinton, Raqel Urtasun, Fei-Fei Li, Pieter Abbeel</v>
      </c>
    </row>
    <row r="21" spans="2:16">
      <c r="B21" s="78" t="str">
        <f>Companies!B45</f>
        <v>Hugging Face</v>
      </c>
      <c r="C21" s="78" t="str">
        <f>Companies!C45</f>
        <v>Private</v>
      </c>
      <c r="D21" s="78">
        <f>Companies!D45</f>
        <v>2000</v>
      </c>
      <c r="E21" s="78" t="str">
        <f>Companies!E45</f>
        <v>Series C</v>
      </c>
      <c r="F21" s="78">
        <f>Companies!F45</f>
        <v>100</v>
      </c>
      <c r="G21" s="78" t="str">
        <f>Companies!H45</f>
        <v>HuggingChat</v>
      </c>
      <c r="H21" s="78" t="str">
        <f>Companies!I45</f>
        <v>Clement Delangue</v>
      </c>
      <c r="I21" s="78" t="str">
        <f>Companies!J45</f>
        <v>Tool</v>
      </c>
      <c r="J21" s="78" t="str">
        <f>Companies!K45</f>
        <v>MLOps</v>
      </c>
      <c r="K21" s="78">
        <f>Companies!L45</f>
        <v>2016</v>
      </c>
      <c r="L21" s="78" t="str">
        <f>Companies!M45</f>
        <v>OpenAssistant</v>
      </c>
      <c r="M21" s="78" t="str">
        <f>Companies!N45</f>
        <v>Lux Capital, Thirty Five Ventures, SVA, Sequoia Capital, Cygni Capital, Coatue, Betaworks, Rich Kleiman, Olivier Pomel, Kevin Durant, AIX Ventures, Addition, A.Capital</v>
      </c>
      <c r="N21" s="78" t="str">
        <f>Companies!O45</f>
        <v>Series B</v>
      </c>
      <c r="O21" s="78">
        <f>Companies!P45</f>
        <v>40</v>
      </c>
      <c r="P21" s="78" t="str">
        <f>Companies!Q45</f>
        <v>Addition, Rich Kleiman, Richard Socher, Paul St. John, Olivier Pomel, Lux Capital, Kevin Durant, Florian Douetteau, Dev Ittycheria, Betaworks, Augusto Marietti, Alex Wang, A. Capital</v>
      </c>
    </row>
    <row r="22" spans="2:16">
      <c r="B22" s="78" t="str">
        <f>Companies!B46</f>
        <v>Xiaoice (fka Bombax)</v>
      </c>
      <c r="C22" s="78" t="str">
        <f>Companies!C46</f>
        <v>Private</v>
      </c>
      <c r="D22" s="78">
        <f>Companies!D46</f>
        <v>2000</v>
      </c>
      <c r="E22" s="78" t="str">
        <f>Companies!E46</f>
        <v>Series B</v>
      </c>
      <c r="F22" s="78">
        <f>Companies!F46</f>
        <v>138</v>
      </c>
      <c r="G22" s="78" t="str">
        <f>Companies!H46</f>
        <v>Digital humans, chatbot</v>
      </c>
      <c r="H22" s="78">
        <f>Companies!I46</f>
        <v>0</v>
      </c>
      <c r="I22" s="78" t="str">
        <f>Companies!J46</f>
        <v>Enterprise</v>
      </c>
      <c r="J22" s="78" t="str">
        <f>Companies!K46</f>
        <v>Avatars</v>
      </c>
      <c r="K22" s="78">
        <f>Companies!L46</f>
        <v>2014</v>
      </c>
      <c r="L22" s="78" t="str">
        <f>Companies!M46</f>
        <v>Microsoft spinout? 660m users WW?</v>
      </c>
      <c r="M22" s="78" t="str">
        <f>Companies!N46</f>
        <v>N/A</v>
      </c>
      <c r="N22" s="78" t="str">
        <f>Companies!O46</f>
        <v>Series A</v>
      </c>
      <c r="O22" s="78" t="str">
        <f>Companies!P46</f>
        <v>N/A</v>
      </c>
      <c r="P22" s="78" t="str">
        <f>Companies!Q46</f>
        <v>Hillhouse, Wuyuan Capital, Northern Light Venture, Neumann Advisors, NetEase, IDG Capital, GGV Capital, 5Y Capital</v>
      </c>
    </row>
    <row r="23" spans="2:16">
      <c r="B23" s="78" t="str">
        <f>Companies!B47</f>
        <v>Squirrel AI Learning</v>
      </c>
      <c r="C23" s="78" t="str">
        <f>Companies!C47</f>
        <v>Private</v>
      </c>
      <c r="D23" s="78">
        <f>Companies!D47</f>
        <v>2000</v>
      </c>
      <c r="E23" s="78" t="str">
        <f>Companies!E47</f>
        <v>Series C</v>
      </c>
      <c r="F23" s="78">
        <f>Companies!F47</f>
        <v>50</v>
      </c>
      <c r="G23" s="78">
        <f>Companies!H47</f>
        <v>0</v>
      </c>
      <c r="H23" s="78" t="str">
        <f>Companies!I47</f>
        <v>Derek Li, Jason Wei Zhou, Wei Cui</v>
      </c>
      <c r="I23" s="78" t="str">
        <f>Companies!J47</f>
        <v>Consumer</v>
      </c>
      <c r="J23" s="78" t="str">
        <f>Companies!K47</f>
        <v>Education</v>
      </c>
      <c r="K23" s="78">
        <f>Companies!L47</f>
        <v>2014</v>
      </c>
      <c r="L23" s="78">
        <f>Companies!M47</f>
        <v>0</v>
      </c>
      <c r="M23" s="78" t="str">
        <f>Companies!N47</f>
        <v>SIG China, CITIC, NGP</v>
      </c>
      <c r="N23" s="78" t="str">
        <f>Companies!O47</f>
        <v>Series B</v>
      </c>
      <c r="O23" s="78">
        <f>Companies!P47</f>
        <v>150</v>
      </c>
      <c r="P23" s="78" t="str">
        <f>Companies!Q47</f>
        <v>SIG China, Tiantu Capital, NGP Capital, China-ASEAN etst Investment Cooperation Fund</v>
      </c>
    </row>
    <row r="24" spans="2:16">
      <c r="B24" s="78" t="str">
        <f>Companies!B50</f>
        <v>EightFold AI</v>
      </c>
      <c r="C24" s="78" t="str">
        <f>Companies!C50</f>
        <v>Private</v>
      </c>
      <c r="D24" s="78">
        <f>Companies!D50</f>
        <v>1900</v>
      </c>
      <c r="E24" s="78" t="str">
        <f>Companies!E50</f>
        <v>Series E</v>
      </c>
      <c r="F24" s="78">
        <f>Companies!F50</f>
        <v>220</v>
      </c>
      <c r="G24" s="78" t="str">
        <f>Companies!H50</f>
        <v>Upskilling, Internal placements</v>
      </c>
      <c r="H24" s="78" t="str">
        <f>Companies!I50</f>
        <v>Ashutosh Garg, Varun Kacholia</v>
      </c>
      <c r="I24" s="78" t="str">
        <f>Companies!J50</f>
        <v>Enterprise</v>
      </c>
      <c r="J24" s="78" t="str">
        <f>Companies!K50</f>
        <v>Recruiting</v>
      </c>
      <c r="K24" s="78">
        <f>Companies!L50</f>
        <v>2016</v>
      </c>
      <c r="L24" s="78">
        <f>Companies!M50</f>
        <v>0</v>
      </c>
      <c r="M24" s="78" t="str">
        <f>Companies!N50</f>
        <v>SoftBank, Lightspeed, IVP, General Catalyst, Foundation, Capital One</v>
      </c>
      <c r="N24" s="78" t="str">
        <f>Companies!O50</f>
        <v>Series D</v>
      </c>
      <c r="O24" s="78" t="str">
        <f>Companies!P50</f>
        <v>125 at 875m</v>
      </c>
      <c r="P24" s="78" t="str">
        <f>Companies!Q50</f>
        <v>General Catalyst, Lightspeed, IVP, Foundation, Capital One</v>
      </c>
    </row>
    <row r="25" spans="2:16">
      <c r="B25" s="78" t="str">
        <f>Companies!B52</f>
        <v>Jasper</v>
      </c>
      <c r="C25" s="78" t="str">
        <f>Companies!C52</f>
        <v>Private</v>
      </c>
      <c r="D25" s="78">
        <f>Companies!D52</f>
        <v>1500</v>
      </c>
      <c r="E25" s="78" t="str">
        <f>Companies!E52</f>
        <v>Series A</v>
      </c>
      <c r="F25" s="78">
        <f>Companies!F52</f>
        <v>125</v>
      </c>
      <c r="G25" s="78" t="str">
        <f>Companies!H52</f>
        <v>Writing</v>
      </c>
      <c r="H25" s="78" t="str">
        <f>Companies!I52</f>
        <v>John Morgan, Dave Rogenmoser</v>
      </c>
      <c r="I25" s="78" t="str">
        <f>Companies!J52</f>
        <v>Consumer</v>
      </c>
      <c r="J25" s="78" t="str">
        <f>Companies!K52</f>
        <v>Content</v>
      </c>
      <c r="K25" s="78">
        <f>Companies!L52</f>
        <v>2021</v>
      </c>
      <c r="L25" s="78" t="str">
        <f>Companies!M52</f>
        <v>Uses GPT3.5</v>
      </c>
      <c r="M25" s="78" t="str">
        <f>Companies!N52</f>
        <v>Coatue, Insight Partners, Foundation Capital, Bessemer, IVP, HubSpot, Founders Circle</v>
      </c>
      <c r="N25" s="78" t="str">
        <f>Companies!O52</f>
        <v>Seed</v>
      </c>
      <c r="O25" s="78">
        <f>Companies!P52</f>
        <v>6</v>
      </c>
      <c r="P25" s="78" t="str">
        <f>Companies!Q52</f>
        <v>AAF, Foundation, Four Cities</v>
      </c>
    </row>
    <row r="26" spans="2:16">
      <c r="B26" s="78" t="str">
        <f>Companies!B54</f>
        <v>Builder.ai</v>
      </c>
      <c r="C26" s="78" t="str">
        <f>Companies!C54</f>
        <v>Private</v>
      </c>
      <c r="D26" s="78">
        <f>Companies!D54</f>
        <v>1500</v>
      </c>
      <c r="E26" s="78" t="str">
        <f>Companies!E54</f>
        <v>Series D</v>
      </c>
      <c r="F26" s="78">
        <f>Companies!F54</f>
        <v>250</v>
      </c>
      <c r="G26" s="78" t="str">
        <f>Companies!H54</f>
        <v>No-code app development</v>
      </c>
      <c r="H26" s="78" t="str">
        <f>Companies!I54</f>
        <v>Sachin Dev Duggal, Saurabh Dhoot</v>
      </c>
      <c r="I26" s="78" t="str">
        <f>Companies!J54</f>
        <v>Enterprise</v>
      </c>
      <c r="J26" s="78" t="str">
        <f>Companies!K54</f>
        <v>Programming</v>
      </c>
      <c r="K26" s="78">
        <f>Companies!L54</f>
        <v>2016</v>
      </c>
      <c r="L26" s="78" t="str">
        <f>Companies!M54</f>
        <v>MSFT partnership</v>
      </c>
      <c r="M26" s="78" t="str">
        <f>Companies!N54</f>
        <v>Qatar, Jungle Ventures, Insight Partners, ICONIQ Capital, Blue Lion Global</v>
      </c>
      <c r="N26" s="78" t="str">
        <f>Companies!O54</f>
        <v>Series C</v>
      </c>
      <c r="O26" s="78">
        <f>Companies!P54</f>
        <v>100</v>
      </c>
      <c r="P26" s="78" t="str">
        <f>Companies!Q54</f>
        <v>Insight Partners, WndrCo, Jungle Ventures, IFC, Blue Lion, Revo Capital, Nikesh Arora</v>
      </c>
    </row>
    <row r="27" spans="2:16">
      <c r="B27" s="78" t="str">
        <f>Companies!B55</f>
        <v>Runway</v>
      </c>
      <c r="C27" s="78" t="str">
        <f>Companies!C55</f>
        <v>Private</v>
      </c>
      <c r="D27" s="78">
        <f>Companies!D55</f>
        <v>1400</v>
      </c>
      <c r="E27" s="78" t="str">
        <f>Companies!E55</f>
        <v>Series D</v>
      </c>
      <c r="F27" s="78">
        <f>Companies!F55</f>
        <v>100</v>
      </c>
      <c r="G27" s="78" t="str">
        <f>Companies!H55</f>
        <v>Text-to-Video</v>
      </c>
      <c r="H27" s="78" t="str">
        <f>Companies!I55</f>
        <v>Cristobal Valenzuela, Anastasis Germanidis</v>
      </c>
      <c r="I27" s="78" t="str">
        <f>Companies!J55</f>
        <v>Consumer</v>
      </c>
      <c r="J27" s="78" t="str">
        <f>Companies!K55</f>
        <v>Video</v>
      </c>
      <c r="K27" s="78">
        <f>Companies!L55</f>
        <v>43101</v>
      </c>
      <c r="L27" s="78" t="str">
        <f>Companies!M55</f>
        <v>Text-to-video, text-to-speech. Hundreds of thousands of users - Coatue</v>
      </c>
      <c r="M27" s="78" t="str">
        <f>Companies!N55</f>
        <v>Rogue VC, Google</v>
      </c>
      <c r="N27" s="78" t="str">
        <f>Companies!O55</f>
        <v>Series C</v>
      </c>
      <c r="O27" s="78">
        <f>Companies!P55</f>
        <v>50</v>
      </c>
      <c r="P27" s="78" t="str">
        <f>Companies!Q55</f>
        <v>Lux, Madrona, Felicis, Compound, Coatue, Amplify</v>
      </c>
    </row>
    <row r="28" spans="2:16">
      <c r="B28" s="78" t="str">
        <f>Companies!B56</f>
        <v>K Health</v>
      </c>
      <c r="C28" s="78" t="str">
        <f>Companies!C56</f>
        <v>Private</v>
      </c>
      <c r="D28" s="78">
        <f>Companies!D56</f>
        <v>1300</v>
      </c>
      <c r="E28" s="78" t="str">
        <f>Companies!E56</f>
        <v>Series E</v>
      </c>
      <c r="F28" s="78">
        <f>Companies!F56</f>
        <v>132</v>
      </c>
      <c r="G28" s="78" t="str">
        <f>Companies!H56</f>
        <v>Healthcare app</v>
      </c>
      <c r="H28" s="78" t="str">
        <f>Companies!I56</f>
        <v>Allon Bloch</v>
      </c>
      <c r="I28" s="78" t="str">
        <f>Companies!J56</f>
        <v>Consumer</v>
      </c>
      <c r="J28" s="78" t="str">
        <f>Companies!K56</f>
        <v>Healthcare</v>
      </c>
      <c r="K28" s="78">
        <f>Companies!L56</f>
        <v>2016</v>
      </c>
      <c r="L28" s="78">
        <f>Companies!M56</f>
        <v>0</v>
      </c>
      <c r="M28" s="78" t="str">
        <f>Companies!N56</f>
        <v>Valor Equity Partners, PICO Venture Partners, GGV Capital, Primary Ventures, Max Ventures, Marcy Venture Partners, LTS Investments, Kaiser Permanente, Counterpart Advisors, BoxGroup, Bienville Capital, Atreides Ventures, 14W</v>
      </c>
      <c r="N28" s="78" t="str">
        <f>Companies!O56</f>
        <v>Series D</v>
      </c>
      <c r="O28" s="78">
        <f>Companies!P56</f>
        <v>42</v>
      </c>
      <c r="P28" s="78" t="str">
        <f>Companies!Q56</f>
        <v>Valor Equity Partners, PICO Venture Partners, Max Ventures, Marcy Venture Partners, Atreides Management, 14W</v>
      </c>
    </row>
    <row r="29" spans="2:16">
      <c r="B29" s="78" t="str">
        <f>Companies!B57</f>
        <v>Paradox</v>
      </c>
      <c r="C29" s="78" t="str">
        <f>Companies!C57</f>
        <v>Private</v>
      </c>
      <c r="D29" s="78">
        <f>Companies!D57</f>
        <v>1300</v>
      </c>
      <c r="E29" s="78" t="str">
        <f>Companies!E57</f>
        <v>Series C</v>
      </c>
      <c r="F29" s="78">
        <f>Companies!F57</f>
        <v>200</v>
      </c>
      <c r="G29" s="78" t="str">
        <f>Companies!H57</f>
        <v>Olivia, AI recruiter, onboarding</v>
      </c>
      <c r="H29" s="78" t="str">
        <f>Companies!I57</f>
        <v>Aaron Matos</v>
      </c>
      <c r="I29" s="78" t="str">
        <f>Companies!J57</f>
        <v>Enterprise</v>
      </c>
      <c r="J29" s="78" t="str">
        <f>Companies!K57</f>
        <v>Recruiting</v>
      </c>
      <c r="K29" s="78">
        <f>Companies!L57</f>
        <v>2016</v>
      </c>
      <c r="L29" s="78">
        <f>Companies!M57</f>
        <v>0</v>
      </c>
      <c r="M29" s="78" t="str">
        <f>Companies!N57</f>
        <v>Thoma Bravo, Stripes, Sapphire, Workday, Willoughby Capital, Twilio, Principia Growth, Indeed, Geodesic Capital, DLA Piper, Brighton Park, Blue Cloud</v>
      </c>
      <c r="N29" s="78" t="str">
        <f>Companies!O57</f>
        <v>Series B</v>
      </c>
      <c r="O29" s="78">
        <f>Companies!P57</f>
        <v>40</v>
      </c>
      <c r="P29" s="78" t="str">
        <f>Companies!Q57</f>
        <v>Brighton Park</v>
      </c>
    </row>
    <row r="30" spans="2:16">
      <c r="B30" s="78" t="str">
        <f>Companies!B60</f>
        <v>Ada.cx (Toronto)</v>
      </c>
      <c r="C30" s="78" t="str">
        <f>Companies!C60</f>
        <v>Private</v>
      </c>
      <c r="D30" s="78">
        <f>Companies!D60</f>
        <v>1100</v>
      </c>
      <c r="E30" s="78" t="str">
        <f>Companies!E60</f>
        <v>Series C</v>
      </c>
      <c r="F30" s="78">
        <f>Companies!F60</f>
        <v>130</v>
      </c>
      <c r="G30" s="78" t="str">
        <f>Companies!H60</f>
        <v>CX Chatbots</v>
      </c>
      <c r="H30" s="78" t="str">
        <f>Companies!I60</f>
        <v>David Hariri, Mike Murchison</v>
      </c>
      <c r="I30" s="78" t="str">
        <f>Companies!J60</f>
        <v>Enterprise</v>
      </c>
      <c r="J30" s="78" t="str">
        <f>Companies!K60</f>
        <v>Customer Service</v>
      </c>
      <c r="K30" s="78">
        <f>Companies!L60</f>
        <v>2016</v>
      </c>
      <c r="L30" s="78">
        <f>Companies!M60</f>
        <v>0</v>
      </c>
      <c r="M30" s="78" t="str">
        <f>Companies!N60</f>
        <v>Spark Capital, Tiger, Version One, Giant Ventures, FirstMark, Burst Capital, Bessemer, Accel</v>
      </c>
      <c r="N30" s="78" t="str">
        <f>Companies!O60</f>
        <v>Series B</v>
      </c>
      <c r="O30" s="78">
        <f>Companies!P60</f>
        <v>44</v>
      </c>
      <c r="P30" s="78" t="str">
        <f>Companies!Q60</f>
        <v>Accel, Version One, Ramen Ventures, Leaders Fund, FirstMark, Burst Capital, Bessemer, Accel</v>
      </c>
    </row>
    <row r="31" spans="2:16">
      <c r="B31" s="78" t="str">
        <f>Companies!B61</f>
        <v>Weights and Biases</v>
      </c>
      <c r="C31" s="78" t="str">
        <f>Companies!C61</f>
        <v>Private</v>
      </c>
      <c r="D31" s="78">
        <f>Companies!D61</f>
        <v>1000</v>
      </c>
      <c r="E31" s="78" t="str">
        <f>Companies!E61</f>
        <v>Series C</v>
      </c>
      <c r="F31" s="78">
        <f>Companies!F61</f>
        <v>135</v>
      </c>
      <c r="G31" s="78" t="str">
        <f>Companies!H61</f>
        <v>Model Tool Platform</v>
      </c>
      <c r="H31" s="78" t="str">
        <f>Companies!I61</f>
        <v>Lukas Biewald, Chris Pelt, Shawn Lewis</v>
      </c>
      <c r="I31" s="78" t="str">
        <f>Companies!J61</f>
        <v>Tool</v>
      </c>
      <c r="J31" s="78" t="str">
        <f>Companies!K61</f>
        <v>MLOps</v>
      </c>
      <c r="K31" s="78">
        <f>Companies!L61</f>
        <v>2017</v>
      </c>
      <c r="L31" s="78" t="str">
        <f>Companies!M61</f>
        <v>OpenAI is a customer</v>
      </c>
      <c r="M31" s="78" t="str">
        <f>Companies!N61</f>
        <v>Nvidia, Coatue, Bond, Insight Partners, Felicis</v>
      </c>
      <c r="N31" s="78" t="str">
        <f>Companies!O61</f>
        <v>Series B</v>
      </c>
      <c r="O31" s="78">
        <f>Companies!P61</f>
        <v>45</v>
      </c>
      <c r="P31" s="78" t="str">
        <f>Companies!Q61</f>
        <v>Insight Partners, Bloomberg Beta, Richard Socher, Jeff Hammerbacher, Nat Friedman, Trinity Ventures, Pieter Abbeel, Coatue, Tom Preston-Werner</v>
      </c>
    </row>
    <row r="32" spans="2:16">
      <c r="B32" s="78" t="str">
        <f>Companies!B62</f>
        <v>Character AI</v>
      </c>
      <c r="C32" s="78" t="str">
        <f>Companies!C62</f>
        <v>Private</v>
      </c>
      <c r="D32" s="78">
        <f>Companies!D62</f>
        <v>1000</v>
      </c>
      <c r="E32" s="78" t="str">
        <f>Companies!E62</f>
        <v>Series A</v>
      </c>
      <c r="F32" s="78">
        <f>Companies!F62</f>
        <v>150</v>
      </c>
      <c r="G32" s="78" t="str">
        <f>Companies!H62</f>
        <v>Character.ai</v>
      </c>
      <c r="H32" s="78" t="str">
        <f>Companies!I62</f>
        <v>Noam Shazeer</v>
      </c>
      <c r="I32" s="78" t="str">
        <f>Companies!J62</f>
        <v>Consumer</v>
      </c>
      <c r="J32" s="78" t="str">
        <f>Companies!K62</f>
        <v>Chatbot</v>
      </c>
      <c r="K32" s="78">
        <f>Companies!L62</f>
        <v>2021</v>
      </c>
      <c r="L32" s="78" t="str">
        <f>Companies!M62</f>
        <v>Noam invented transformers</v>
      </c>
      <c r="M32" s="78" t="str">
        <f>Companies!N62</f>
        <v>Andreessen Horowitz, A.Capital, Elad Gil, Nat Friedman, SVA</v>
      </c>
      <c r="N32" s="78" t="str">
        <f>Companies!O62</f>
        <v>Seed</v>
      </c>
      <c r="O32" s="78" t="str">
        <f>Companies!P62</f>
        <v>N/A</v>
      </c>
      <c r="P32" s="78" t="str">
        <f>Companies!Q62</f>
        <v>A.Capital, SVA, Paul Buchheit, Nat Friedman, Elad Gil</v>
      </c>
    </row>
    <row r="33" spans="2:16">
      <c r="B33" s="78" t="str">
        <f>Companies!B63</f>
        <v>Adept AI</v>
      </c>
      <c r="C33" s="78" t="str">
        <f>Companies!C63</f>
        <v>Private</v>
      </c>
      <c r="D33" s="78">
        <f>Companies!D63</f>
        <v>1000</v>
      </c>
      <c r="E33" s="78" t="str">
        <f>Companies!E63</f>
        <v>Series B</v>
      </c>
      <c r="F33" s="78">
        <f>Companies!F63</f>
        <v>350</v>
      </c>
      <c r="G33" s="78" t="str">
        <f>Companies!H63</f>
        <v>N/A</v>
      </c>
      <c r="H33" s="78" t="str">
        <f>Companies!I63</f>
        <v>David Luan</v>
      </c>
      <c r="I33" s="78" t="str">
        <f>Companies!J63</f>
        <v>Enterprise</v>
      </c>
      <c r="J33" s="78" t="str">
        <f>Companies!K63</f>
        <v>Assistant</v>
      </c>
      <c r="K33" s="78">
        <f>Companies!L63</f>
        <v>2022</v>
      </c>
      <c r="L33" s="78" t="str">
        <f>Companies!M63</f>
        <v>Pre-product…</v>
      </c>
      <c r="M33" s="78" t="str">
        <f>Companies!N63</f>
        <v>Spark Capital, General Catalyst, PSP Growth, NVDA, MSFT, Greylock, Frontiers Capital, Caterina Fake, Atlassian, Addition, A.Capital, SVA, Workday</v>
      </c>
      <c r="N33" s="78" t="str">
        <f>Companies!O63</f>
        <v>Series A</v>
      </c>
      <c r="O33" s="78">
        <f>Companies!P63</f>
        <v>65</v>
      </c>
      <c r="P33" s="78" t="str">
        <f>Companies!Q63</f>
        <v>Greylock, Andrej Karpathy, Addition, Chris Re, Howie Liu, Joe Morrissey, Root Ventures, Sarah Meyohas, Scott Belsky</v>
      </c>
    </row>
    <row r="34" spans="2:16">
      <c r="B34" s="78" t="str">
        <f>Companies!B64</f>
        <v>Midjourney</v>
      </c>
      <c r="C34" s="78" t="str">
        <f>Companies!C64</f>
        <v>Private</v>
      </c>
      <c r="D34" s="78">
        <f>Companies!D64</f>
        <v>1000</v>
      </c>
      <c r="E34" s="78" t="str">
        <f>Companies!E64</f>
        <v>Self-Funded</v>
      </c>
      <c r="F34" s="78">
        <f>Companies!F64</f>
        <v>0</v>
      </c>
      <c r="G34" s="78" t="str">
        <f>Companies!H64</f>
        <v>Discord Bot</v>
      </c>
      <c r="H34" s="78" t="str">
        <f>Companies!I64</f>
        <v>David Holz</v>
      </c>
      <c r="I34" s="78" t="str">
        <f>Companies!J64</f>
        <v>Consumer</v>
      </c>
      <c r="J34" s="78" t="str">
        <f>Companies!K64</f>
        <v>Content</v>
      </c>
      <c r="K34" s="78">
        <f>Companies!L64</f>
        <v>44754</v>
      </c>
      <c r="L34" s="78" t="str">
        <f>Companies!M64</f>
        <v>No outside investors, only 9 employees</v>
      </c>
      <c r="M34" s="78" t="str">
        <f>Companies!N64</f>
        <v>N/A</v>
      </c>
      <c r="N34" s="78" t="str">
        <f>Companies!O64</f>
        <v>N/A</v>
      </c>
      <c r="O34" s="78" t="str">
        <f>Companies!P64</f>
        <v>N/A</v>
      </c>
      <c r="P34" s="78" t="str">
        <f>Companies!Q64</f>
        <v>N/A</v>
      </c>
    </row>
    <row r="35" spans="2:16">
      <c r="B35" s="78" t="str">
        <f>Companies!B67</f>
        <v>AnyVision/Oosto</v>
      </c>
      <c r="C35" s="78" t="str">
        <f>Companies!C67</f>
        <v>Private</v>
      </c>
      <c r="D35" s="78">
        <f>Companies!D67</f>
        <v>1000</v>
      </c>
      <c r="E35" s="78" t="str">
        <f>Companies!E67</f>
        <v>Series C</v>
      </c>
      <c r="F35" s="78">
        <f>Companies!F67</f>
        <v>235</v>
      </c>
      <c r="G35" s="78" t="str">
        <f>Companies!H67</f>
        <v>CV, security</v>
      </c>
      <c r="H35" s="78" t="str">
        <f>Companies!I67</f>
        <v>Eylon Etshtein, Neil Robertson, Shlomo Benartzi</v>
      </c>
      <c r="I35" s="78" t="str">
        <f>Companies!J67</f>
        <v>Enterprise</v>
      </c>
      <c r="J35" s="78" t="str">
        <f>Companies!K67</f>
        <v>Surveillance</v>
      </c>
      <c r="K35" s="78">
        <f>Companies!L67</f>
        <v>2015</v>
      </c>
      <c r="L35" s="78">
        <f>Companies!M67</f>
        <v>0</v>
      </c>
      <c r="M35" s="78" t="str">
        <f>Companies!N67</f>
        <v>SoftBank, Eldridge, Qualcomm, Lightspeed</v>
      </c>
      <c r="N35" s="78" t="str">
        <f>Companies!O67</f>
        <v>Series B</v>
      </c>
      <c r="O35" s="78">
        <f>Companies!P67</f>
        <v>43</v>
      </c>
      <c r="P35" s="78" t="str">
        <f>Companies!Q67</f>
        <v>Qualcomm, Lightspeed, Eldridge, DJF, Bosch</v>
      </c>
    </row>
    <row r="36" spans="2:16">
      <c r="B36" s="78" t="str">
        <f>Companies!B68</f>
        <v>Glean</v>
      </c>
      <c r="C36" s="78" t="str">
        <f>Companies!C68</f>
        <v>Private</v>
      </c>
      <c r="D36" s="78">
        <f>Companies!D68</f>
        <v>1000</v>
      </c>
      <c r="E36" s="78" t="str">
        <f>Companies!E68</f>
        <v>Series C</v>
      </c>
      <c r="F36" s="78">
        <f>Companies!F68</f>
        <v>100</v>
      </c>
      <c r="G36" s="78" t="str">
        <f>Companies!H68</f>
        <v>Enterprise Search</v>
      </c>
      <c r="H36" s="78" t="str">
        <f>Companies!I68</f>
        <v>Arvind Jain</v>
      </c>
      <c r="I36" s="78" t="str">
        <f>Companies!J68</f>
        <v>Enterprise</v>
      </c>
      <c r="J36" s="78" t="str">
        <f>Companies!K68</f>
        <v>Business Intelligence</v>
      </c>
      <c r="K36" s="78">
        <f>Companies!L68</f>
        <v>2019</v>
      </c>
      <c r="L36" s="78" t="str">
        <f>Companies!M68</f>
        <v>Seems overhyped</v>
      </c>
      <c r="M36" s="78" t="str">
        <f>Companies!N68</f>
        <v>Sequoia, Slack Fund, Lightspeed, Kleiner Perkins, General Catalyst</v>
      </c>
      <c r="N36" s="78" t="str">
        <f>Companies!O68</f>
        <v>Series B</v>
      </c>
      <c r="O36" s="78">
        <f>Companies!P68</f>
        <v>40</v>
      </c>
      <c r="P36" s="78" t="str">
        <f>Companies!Q68</f>
        <v>General Catalyst, Slack, Lightpseed, Kleiner Perkins</v>
      </c>
    </row>
    <row r="37" spans="2:16">
      <c r="B37" s="78" t="str">
        <f>Companies!B69</f>
        <v>People.ai</v>
      </c>
      <c r="C37" s="78" t="str">
        <f>Companies!C69</f>
        <v>Private</v>
      </c>
      <c r="D37" s="78">
        <f>Companies!D69</f>
        <v>1000</v>
      </c>
      <c r="E37" s="78" t="str">
        <f>Companies!E69</f>
        <v>Series D</v>
      </c>
      <c r="F37" s="78">
        <f>Companies!F69</f>
        <v>100</v>
      </c>
      <c r="G37" s="78" t="str">
        <f>Companies!H69</f>
        <v>Revenue/Sales Management</v>
      </c>
      <c r="H37" s="78" t="str">
        <f>Companies!I69</f>
        <v>Oleg Rogynskyy</v>
      </c>
      <c r="I37" s="78" t="str">
        <f>Companies!J69</f>
        <v>Enterprise</v>
      </c>
      <c r="J37" s="78" t="str">
        <f>Companies!K69</f>
        <v>CRM</v>
      </c>
      <c r="K37" s="78">
        <f>Companies!L69</f>
        <v>2016</v>
      </c>
      <c r="L37" s="78">
        <f>Companies!M69</f>
        <v>0</v>
      </c>
      <c r="M37" s="78" t="str">
        <f>Companies!N69</f>
        <v>Mubadala Capital, Akkadian Ventures, Sand Hill Angels, Lightspeed Venture Partners, ICONIQ, Gaingels</v>
      </c>
      <c r="N37" s="78" t="str">
        <f>Companies!O69</f>
        <v>Series C</v>
      </c>
      <c r="O37" s="78">
        <f>Companies!P69</f>
        <v>60</v>
      </c>
      <c r="P37" s="78" t="str">
        <f>Companies!Q69</f>
        <v>ICONIQ, Y Combinator, Maropost Ventures, GGV Capital, Frontline Ventures, a16z, Lightspeed Venture Partners, John Thompson, Godfrey Sullivan, Frank Slootman</v>
      </c>
    </row>
    <row r="38" spans="2:16">
      <c r="B38" s="78" t="str">
        <f>Companies!B70</f>
        <v>Tecton</v>
      </c>
      <c r="C38" s="78" t="str">
        <f>Companies!C70</f>
        <v>Private</v>
      </c>
      <c r="D38" s="78">
        <f>Companies!D70</f>
        <v>1000</v>
      </c>
      <c r="E38" s="78" t="str">
        <f>Companies!E70</f>
        <v>Series C</v>
      </c>
      <c r="F38" s="78">
        <f>Companies!F70</f>
        <v>100</v>
      </c>
      <c r="G38" s="78" t="str">
        <f>Companies!H70</f>
        <v>Feature Store</v>
      </c>
      <c r="H38" s="78" t="str">
        <f>Companies!I70</f>
        <v>Michael Del Balso, Kevin Stumpf</v>
      </c>
      <c r="I38" s="78" t="str">
        <f>Companies!J70</f>
        <v>Tool</v>
      </c>
      <c r="J38" s="78" t="str">
        <f>Companies!K70</f>
        <v>MLOps</v>
      </c>
      <c r="K38" s="78">
        <f>Companies!L70</f>
        <v>2019</v>
      </c>
      <c r="L38" s="78" t="str">
        <f>Companies!M70</f>
        <v>Original Uber AI team</v>
      </c>
      <c r="M38" s="78" t="str">
        <f>Companies!N70</f>
        <v>Kleiner Perkins, Tiger, Snowflake, Sequoia, Databricks, Bain, a16z</v>
      </c>
      <c r="N38" s="78" t="str">
        <f>Companies!O70</f>
        <v>Series B</v>
      </c>
      <c r="O38" s="78">
        <f>Companies!P70</f>
        <v>35</v>
      </c>
      <c r="P38" s="78" t="str">
        <f>Companies!Q70</f>
        <v>Sequoia, a16z</v>
      </c>
    </row>
    <row r="39" spans="2:16">
      <c r="B39" s="78" t="str">
        <f>Companies!B71</f>
        <v>Parametrix AI</v>
      </c>
      <c r="C39" s="78" t="str">
        <f>Companies!C71</f>
        <v>Private</v>
      </c>
      <c r="D39" s="78">
        <f>Companies!D71</f>
        <v>1000</v>
      </c>
      <c r="E39" s="78" t="str">
        <f>Companies!E71</f>
        <v>Series B</v>
      </c>
      <c r="F39" s="78">
        <f>Companies!F71</f>
        <v>100</v>
      </c>
      <c r="G39" s="78" t="str">
        <f>Companies!H71</f>
        <v>Crazy video game NPC thingy</v>
      </c>
      <c r="H39" s="78" t="str">
        <f>Companies!I71</f>
        <v>Liu Yongsheng</v>
      </c>
      <c r="I39" s="78" t="str">
        <f>Companies!J71</f>
        <v>Consumer</v>
      </c>
      <c r="J39" s="78" t="str">
        <f>Companies!K71</f>
        <v>Game, NPC world</v>
      </c>
      <c r="K39" s="78">
        <f>Companies!L71</f>
        <v>43466</v>
      </c>
      <c r="L39" s="78" t="str">
        <f>Companies!M71</f>
        <v>Chinese</v>
      </c>
      <c r="M39" s="78" t="str">
        <f>Companies!N71</f>
        <v>Sequoia China, Gaorong, 5Y</v>
      </c>
      <c r="N39" s="78" t="str">
        <f>Companies!O71</f>
        <v>Series A</v>
      </c>
      <c r="O39" s="78">
        <f>Companies!P71</f>
        <v>30</v>
      </c>
      <c r="P39" s="78" t="str">
        <f>Companies!Q71</f>
        <v>5Y, Gaorong</v>
      </c>
    </row>
    <row r="40" spans="2:16">
      <c r="B40" s="78" t="str">
        <f>Companies!B72</f>
        <v>Anyscale</v>
      </c>
      <c r="C40" s="78" t="str">
        <f>Companies!C72</f>
        <v>Private</v>
      </c>
      <c r="D40" s="78">
        <f>Companies!D72</f>
        <v>1000</v>
      </c>
      <c r="E40" s="78" t="str">
        <f>Companies!E72</f>
        <v>Series C</v>
      </c>
      <c r="F40" s="78">
        <f>Companies!F72</f>
        <v>99</v>
      </c>
      <c r="G40" s="78" t="str">
        <f>Companies!H72</f>
        <v>Platform</v>
      </c>
      <c r="H40" s="78" t="str">
        <f>Companies!I72</f>
        <v>Ion Stoica, Michael Jordan, Philipp Moritz, Robert Nishihara</v>
      </c>
      <c r="I40" s="78" t="str">
        <f>Companies!J72</f>
        <v>Tool</v>
      </c>
      <c r="J40" s="78" t="str">
        <f>Companies!K72</f>
        <v>MLOps</v>
      </c>
      <c r="K40" s="78">
        <f>Companies!L72</f>
        <v>2019</v>
      </c>
      <c r="L40" s="78" t="str">
        <f>Companies!M72</f>
        <v>Team who created Ray</v>
      </c>
      <c r="M40" s="78" t="str">
        <f>Companies!N72</f>
        <v>Intel, Addition, Foundation, Sancus</v>
      </c>
      <c r="N40" s="78" t="str">
        <f>Companies!O72</f>
        <v>Series C-1</v>
      </c>
      <c r="O40" s="78">
        <f>Companies!P72</f>
        <v>100</v>
      </c>
      <c r="P40" s="78" t="str">
        <f>Companies!Q72</f>
        <v>a16z, Addition, NEA, Intel, Foundation</v>
      </c>
    </row>
    <row r="41" spans="2:16">
      <c r="B41" s="78" t="str">
        <f>Companies!B73</f>
        <v>Synthesia</v>
      </c>
      <c r="C41" s="78" t="str">
        <f>Companies!C73</f>
        <v>Private</v>
      </c>
      <c r="D41" s="78">
        <f>Companies!D73</f>
        <v>1000</v>
      </c>
      <c r="E41" s="78" t="str">
        <f>Companies!E73</f>
        <v>Series C</v>
      </c>
      <c r="F41" s="78">
        <f>Companies!F73</f>
        <v>90</v>
      </c>
      <c r="G41" s="78">
        <f>Companies!H73</f>
        <v>0</v>
      </c>
      <c r="H41" s="78" t="str">
        <f>Companies!I73</f>
        <v>Lourdes Agapito, Matthias Niessner, Steffen Tjerrild, Victor Riperbelli</v>
      </c>
      <c r="I41" s="78" t="str">
        <f>Companies!J73</f>
        <v>Enterprise</v>
      </c>
      <c r="J41" s="78" t="str">
        <f>Companies!K73</f>
        <v>Video</v>
      </c>
      <c r="K41" s="78">
        <f>Companies!L73</f>
        <v>2017</v>
      </c>
      <c r="L41" s="78">
        <f>Companies!M73</f>
        <v>0</v>
      </c>
      <c r="M41" s="78" t="str">
        <f>Companies!N73</f>
        <v>Accel, nVentures, Kleiner Perkins, Google Ventures, FirstMark, Olivier Pomel, Amjad Masad, Alex Wang</v>
      </c>
      <c r="N41" s="78" t="str">
        <f>Companies!O73</f>
        <v>Series B</v>
      </c>
      <c r="O41" s="78">
        <f>Companies!P73</f>
        <v>50</v>
      </c>
      <c r="P41" s="78" t="str">
        <f>Companies!Q73</f>
        <v>Kleiner Perkins, Seedcap, s16vc, MMC Ventures, LDV Capital, Google Ventures, FirstMark</v>
      </c>
    </row>
    <row r="42" spans="2:16">
      <c r="B42" s="78" t="str">
        <f>Companies!B74</f>
        <v>Snorkel AI</v>
      </c>
      <c r="C42" s="78" t="str">
        <f>Companies!C74</f>
        <v>Private</v>
      </c>
      <c r="D42" s="78">
        <f>Companies!D74</f>
        <v>1000</v>
      </c>
      <c r="E42" s="78" t="str">
        <f>Companies!E74</f>
        <v>Series C</v>
      </c>
      <c r="F42" s="78">
        <f>Companies!F74</f>
        <v>85</v>
      </c>
      <c r="G42" s="78" t="str">
        <f>Companies!H74</f>
        <v>Snorkel Flow: Data Labeling</v>
      </c>
      <c r="H42" s="78" t="str">
        <f>Companies!I74</f>
        <v>Lee Fixel</v>
      </c>
      <c r="I42" s="78" t="str">
        <f>Companies!J74</f>
        <v>Enterprise</v>
      </c>
      <c r="J42" s="78" t="str">
        <f>Companies!K74</f>
        <v>MLOps</v>
      </c>
      <c r="K42" s="78">
        <f>Companies!L74</f>
        <v>2019</v>
      </c>
      <c r="L42" s="78" t="str">
        <f>Companies!M74</f>
        <v>Quiet</v>
      </c>
      <c r="M42" s="78" t="str">
        <f>Companies!N74</f>
        <v>BlackRock, Addition, Lightspeed, Greylock, Google Ventures, Nepenthe, Stonebridge, Walden</v>
      </c>
      <c r="N42" s="78" t="str">
        <f>Companies!O74</f>
        <v>Series B</v>
      </c>
      <c r="O42" s="78">
        <f>Companies!P74</f>
        <v>35</v>
      </c>
      <c r="P42" s="78" t="str">
        <f>Companies!Q74</f>
        <v>Lightspeed, Nepenthe, In-Q-Tel, Greylock, Google, Boston Trust Walden, Blackrock</v>
      </c>
    </row>
    <row r="43" spans="2:16">
      <c r="B43" s="78" t="str">
        <f>Companies!B75</f>
        <v>Typeface</v>
      </c>
      <c r="C43" s="78" t="str">
        <f>Companies!C75</f>
        <v>Private</v>
      </c>
      <c r="D43" s="78">
        <f>Companies!D75</f>
        <v>1000</v>
      </c>
      <c r="E43" s="78" t="str">
        <f>Companies!E75</f>
        <v>Series B</v>
      </c>
      <c r="F43" s="78">
        <f>Companies!F75</f>
        <v>100</v>
      </c>
      <c r="G43" s="78">
        <f>Companies!H75</f>
        <v>0</v>
      </c>
      <c r="H43" s="78" t="str">
        <f>Companies!I75</f>
        <v>Abhay Parasnis</v>
      </c>
      <c r="I43" s="78" t="str">
        <f>Companies!J75</f>
        <v>Enterprise</v>
      </c>
      <c r="J43" s="78" t="str">
        <f>Companies!K75</f>
        <v>Content</v>
      </c>
      <c r="K43" s="78">
        <f>Companies!L75</f>
        <v>2022</v>
      </c>
      <c r="L43" s="78">
        <f>Companies!M75</f>
        <v>0</v>
      </c>
      <c r="M43" s="78" t="str">
        <f>Companies!N75</f>
        <v>Salesforce, Lightspeed, Madrona, GV, Menlo, Microsoft</v>
      </c>
      <c r="N43" s="78" t="str">
        <f>Companies!O75</f>
        <v>Series A</v>
      </c>
      <c r="O43" s="78">
        <f>Companies!P75</f>
        <v>65</v>
      </c>
      <c r="P43" s="78" t="str">
        <f>Companies!Q75</f>
        <v>Lightspeed, GV, M12, Menlo Ventures</v>
      </c>
    </row>
    <row r="44" spans="2:16">
      <c r="B44" s="78" t="str">
        <f>Companies!B76</f>
        <v>Observe.AI</v>
      </c>
      <c r="C44" s="78" t="str">
        <f>Companies!C76</f>
        <v>Private</v>
      </c>
      <c r="D44" s="78">
        <f>Companies!D76</f>
        <v>800</v>
      </c>
      <c r="E44" s="78" t="str">
        <f>Companies!E76</f>
        <v>Series C</v>
      </c>
      <c r="F44" s="78">
        <f>Companies!F76</f>
        <v>125</v>
      </c>
      <c r="G44" s="78" t="str">
        <f>Companies!H76</f>
        <v>Call center</v>
      </c>
      <c r="H44" s="78" t="str">
        <f>Companies!I76</f>
        <v>Sharath Keshava Narayana, Swapnil Jain</v>
      </c>
      <c r="I44" s="78" t="str">
        <f>Companies!J76</f>
        <v>Enterprise</v>
      </c>
      <c r="J44" s="78" t="str">
        <f>Companies!K76</f>
        <v>Call Centers</v>
      </c>
      <c r="K44" s="78">
        <f>Companies!L76</f>
        <v>2017</v>
      </c>
      <c r="L44" s="78">
        <f>Companies!M76</f>
        <v>0</v>
      </c>
      <c r="M44" s="78" t="str">
        <f>Companies!N76</f>
        <v>Softbank, Zoom, Steadview, Scale, NGP Capital, Nexus Venture Partners, Next47, Menlo Ventures, Emergent Ventures</v>
      </c>
      <c r="N44" s="78" t="str">
        <f>Companies!O76</f>
        <v>Series B</v>
      </c>
      <c r="O44" s="78">
        <f>Companies!P76</f>
        <v>54</v>
      </c>
      <c r="P44" s="78" t="str">
        <f>Companies!Q76</f>
        <v>Menlo Ventures, Scale Venture Partners, NGP Capital, Next47, Emergent Ventures, Bossanova Investimentos</v>
      </c>
    </row>
    <row r="45" spans="2:16">
      <c r="B45" s="78" t="str">
        <f>Companies!B77</f>
        <v>OpenSpace</v>
      </c>
      <c r="C45" s="78" t="str">
        <f>Companies!C77</f>
        <v>Private</v>
      </c>
      <c r="D45" s="78">
        <f>Companies!D77</f>
        <v>800</v>
      </c>
      <c r="E45" s="78" t="str">
        <f>Companies!E77</f>
        <v>Series D</v>
      </c>
      <c r="F45" s="78">
        <f>Companies!F77</f>
        <v>111</v>
      </c>
      <c r="G45" s="78" t="str">
        <f>Companies!H77</f>
        <v>Construction CV analytics</v>
      </c>
      <c r="H45" s="78" t="str">
        <f>Companies!I77</f>
        <v>Jeevan Kalanithi, Michael Fleischman, Philip DeCamp</v>
      </c>
      <c r="I45" s="78" t="str">
        <f>Companies!J77</f>
        <v>Enterprise</v>
      </c>
      <c r="J45" s="78" t="str">
        <f>Companies!K77</f>
        <v>Construction</v>
      </c>
      <c r="K45" s="78">
        <f>Companies!L77</f>
        <v>2017</v>
      </c>
      <c r="L45" s="78">
        <f>Companies!M77</f>
        <v>0</v>
      </c>
      <c r="M45" s="78" t="str">
        <f>Companies!N77</f>
        <v>PSP Growth, Taronga, GreenPoint, Sino Group, Nine Four Ventures, Navitas, Mirae, Menlo, Lux, JLL Spark, Harmonic Growth, Fischer Homes, BlackRock, Alpaca VC, Alkeon</v>
      </c>
      <c r="N45" s="78" t="str">
        <f>Companies!O77</f>
        <v>Series C</v>
      </c>
      <c r="O45" s="78">
        <f>Companies!P77</f>
        <v>55</v>
      </c>
      <c r="P45" s="78" t="str">
        <f>Companies!Q77</f>
        <v>Alkeon, Zigg, PSP, New World Development, Navitas, Menlo, Lux, JLL, GreenPoint</v>
      </c>
    </row>
    <row r="46" spans="2:16">
      <c r="B46" s="78" t="str">
        <f>Companies!B78</f>
        <v>Shift Technology</v>
      </c>
      <c r="C46" s="78" t="str">
        <f>Companies!C78</f>
        <v>Private</v>
      </c>
      <c r="D46" s="78">
        <f>Companies!D78</f>
        <v>794</v>
      </c>
      <c r="E46" s="78" t="str">
        <f>Companies!E78</f>
        <v>Series D</v>
      </c>
      <c r="F46" s="78">
        <f>Companies!F78</f>
        <v>220</v>
      </c>
      <c r="G46" s="78" t="str">
        <f>Companies!H78</f>
        <v>Underwriting, compliance, claims, etc.</v>
      </c>
      <c r="H46" s="78" t="str">
        <f>Companies!I78</f>
        <v>David Durrleman, Eric Sibony, Jeremy Jawish</v>
      </c>
      <c r="I46" s="78" t="str">
        <f>Companies!J78</f>
        <v>Enterprise</v>
      </c>
      <c r="J46" s="78" t="str">
        <f>Companies!K78</f>
        <v>Insurance</v>
      </c>
      <c r="K46" s="78">
        <f>Companies!L78</f>
        <v>2013</v>
      </c>
      <c r="L46" s="78">
        <f>Companies!M78</f>
        <v>0</v>
      </c>
      <c r="M46" s="78" t="str">
        <f>Companies!N78</f>
        <v>Guidewire, Advent, General Catalyst, Bessemer, Alma Mundi, Accel</v>
      </c>
      <c r="N46" s="78" t="str">
        <f>Companies!O78</f>
        <v>Series D</v>
      </c>
      <c r="O46" s="78" t="str">
        <f>Companies!P78</f>
        <v>220 at 780</v>
      </c>
      <c r="P46" s="78" t="str">
        <f>Companies!Q78</f>
        <v>Advent, IRIS, Guidewire, General Catalyst, Bessemer, Avenir, Accel</v>
      </c>
    </row>
    <row r="47" spans="2:16">
      <c r="B47" s="78" t="str">
        <f>Companies!B80</f>
        <v>Meero</v>
      </c>
      <c r="C47" s="78" t="str">
        <f>Companies!C80</f>
        <v>Private</v>
      </c>
      <c r="D47" s="78">
        <f>Companies!D80</f>
        <v>770</v>
      </c>
      <c r="E47" s="78" t="str">
        <f>Companies!E80</f>
        <v>Series C</v>
      </c>
      <c r="F47" s="78">
        <f>Companies!F80</f>
        <v>230</v>
      </c>
      <c r="G47" s="78" t="str">
        <f>Companies!H80</f>
        <v>Photography</v>
      </c>
      <c r="H47" s="78" t="str">
        <f>Companies!I80</f>
        <v>Guillaume Lestrade, Thomas Rebaud</v>
      </c>
      <c r="I47" s="78" t="str">
        <f>Companies!J80</f>
        <v>Enterprise</v>
      </c>
      <c r="J47" s="78" t="str">
        <f>Companies!K80</f>
        <v>Photos</v>
      </c>
      <c r="K47" s="78">
        <f>Companies!L80</f>
        <v>2016</v>
      </c>
      <c r="L47" s="78">
        <f>Companies!M80</f>
        <v>0</v>
      </c>
      <c r="M47" s="78" t="str">
        <f>Companies!N80</f>
        <v>Prime Ventures, Eurazeo, Avenir, White Star, Idinvest, GR Capital, Global Founders Capital, Cascade, Alven, Aglae</v>
      </c>
      <c r="N47" s="78" t="str">
        <f>Companies!O80</f>
        <v>Series B</v>
      </c>
      <c r="O47" s="78">
        <f>Companies!P80</f>
        <v>45</v>
      </c>
      <c r="P47" s="78" t="str">
        <f>Companies!Q80</f>
        <v>White Star, Idinvest, Alven, Global Founders Capital, Aglae, Nicolas Douay, Jeremy Yap</v>
      </c>
    </row>
    <row r="48" spans="2:16">
      <c r="B48" s="78" t="str">
        <f>Companies!B81</f>
        <v>Pinecone</v>
      </c>
      <c r="C48" s="78" t="str">
        <f>Companies!C81</f>
        <v>Private</v>
      </c>
      <c r="D48" s="78">
        <f>Companies!D81</f>
        <v>750</v>
      </c>
      <c r="E48" s="78" t="str">
        <f>Companies!E81</f>
        <v>Series B</v>
      </c>
      <c r="F48" s="78">
        <f>Companies!F81</f>
        <v>100</v>
      </c>
      <c r="G48" s="78" t="str">
        <f>Companies!H81</f>
        <v>Vector Database</v>
      </c>
      <c r="H48" s="78" t="str">
        <f>Companies!I81</f>
        <v>Edo Liberty</v>
      </c>
      <c r="I48" s="78" t="str">
        <f>Companies!J81</f>
        <v>Tool</v>
      </c>
      <c r="J48" s="78" t="str">
        <f>Companies!K81</f>
        <v>Vector Store</v>
      </c>
      <c r="K48" s="78">
        <f>Companies!L81</f>
        <v>2019</v>
      </c>
      <c r="L48" s="78" t="str">
        <f>Companies!M81</f>
        <v>Popular VectorDB</v>
      </c>
      <c r="M48" s="78" t="str">
        <f>Companies!N81</f>
        <v>a16z, ICONIQ, Menlo, Wing Venture</v>
      </c>
      <c r="N48" s="78" t="str">
        <f>Companies!O81</f>
        <v>Series A</v>
      </c>
      <c r="O48" s="78">
        <f>Companies!P81</f>
        <v>28</v>
      </c>
      <c r="P48" s="78" t="str">
        <f>Companies!Q81</f>
        <v>Wing, Tiger, Menlo</v>
      </c>
    </row>
    <row r="49" spans="2:16">
      <c r="B49" s="78" t="str">
        <f>Companies!B82</f>
        <v>OctoML</v>
      </c>
      <c r="C49" s="78" t="str">
        <f>Companies!C82</f>
        <v>Private</v>
      </c>
      <c r="D49" s="78">
        <f>Companies!D82</f>
        <v>750</v>
      </c>
      <c r="E49" s="78" t="str">
        <f>Companies!E82</f>
        <v>Series C</v>
      </c>
      <c r="F49" s="78">
        <f>Companies!F82</f>
        <v>85</v>
      </c>
      <c r="G49" s="78" t="str">
        <f>Companies!H82</f>
        <v>ML Platform</v>
      </c>
      <c r="H49" s="78" t="str">
        <f>Companies!I82</f>
        <v>Luis Ceze</v>
      </c>
      <c r="I49" s="78" t="str">
        <f>Companies!J82</f>
        <v>Tool</v>
      </c>
      <c r="J49" s="78" t="str">
        <f>Companies!K82</f>
        <v>MLOps</v>
      </c>
      <c r="K49" s="78">
        <f>Companies!L82</f>
        <v>43670</v>
      </c>
      <c r="L49" s="78" t="str">
        <f>Companies!M82</f>
        <v>Built on Apache TVM</v>
      </c>
      <c r="M49" s="78" t="str">
        <f>Companies!N82</f>
        <v>Tiger, Madrona, Amplify, Addition</v>
      </c>
      <c r="N49" s="78" t="str">
        <f>Companies!O82</f>
        <v>Series B</v>
      </c>
      <c r="O49" s="78">
        <f>Companies!P82</f>
        <v>28</v>
      </c>
      <c r="P49" s="78" t="str">
        <f>Companies!Q82</f>
        <v>Addition, Amplify, Madrona</v>
      </c>
    </row>
    <row r="50" spans="2:16">
      <c r="B50" s="78" t="str">
        <f>Companies!B84</f>
        <v>Weka</v>
      </c>
      <c r="C50" s="78" t="str">
        <f>Companies!C84</f>
        <v>Private</v>
      </c>
      <c r="D50" s="78">
        <f>Companies!D84</f>
        <v>615</v>
      </c>
      <c r="E50" s="78" t="str">
        <f>Companies!E84</f>
        <v>Series D</v>
      </c>
      <c r="F50" s="78">
        <f>Companies!F84</f>
        <v>135</v>
      </c>
      <c r="G50" s="78" t="str">
        <f>Companies!H84</f>
        <v>Data Platform</v>
      </c>
      <c r="H50" s="78" t="str">
        <f>Companies!I84</f>
        <v>Liran Zvibel, Maor BenDayan</v>
      </c>
      <c r="I50" s="78" t="str">
        <f>Companies!J84</f>
        <v>Enterprise</v>
      </c>
      <c r="J50" s="78" t="str">
        <f>Companies!K84</f>
        <v>MLOps</v>
      </c>
      <c r="K50" s="78">
        <f>Companies!L84</f>
        <v>2013</v>
      </c>
      <c r="L50" s="78">
        <f>Companies!M84</f>
        <v>0</v>
      </c>
      <c r="M50" s="78" t="str">
        <f>Companies!N84</f>
        <v>Generation, Samsung, Qualcomm, NVIDIA, Norwest, MoreTech Ventures, Mirae, Micron, Lumir, Key 1, Hewlett Packard Enterprise, Gemini Israel, Celesta, Atreides, 10D</v>
      </c>
      <c r="N50" s="78" t="str">
        <f>Companies!O84</f>
        <v>Series C</v>
      </c>
      <c r="O50" s="78">
        <f>Companies!P84</f>
        <v>73</v>
      </c>
      <c r="P50" s="78" t="str">
        <f>Companies!Q84</f>
        <v>Hitachi, NVIDIA, MoreTech, Micron, Key 1, Ibex, HPE, Cisco</v>
      </c>
    </row>
    <row r="51" spans="2:16">
      <c r="B51" s="78" t="str">
        <f>Companies!B85</f>
        <v>AI21 Labs</v>
      </c>
      <c r="C51" s="78" t="str">
        <f>Companies!C85</f>
        <v>Private</v>
      </c>
      <c r="D51" s="78">
        <f>Companies!D85</f>
        <v>600</v>
      </c>
      <c r="E51" s="78" t="str">
        <f>Companies!E85</f>
        <v>Series B</v>
      </c>
      <c r="F51" s="78">
        <f>Companies!F85</f>
        <v>64</v>
      </c>
      <c r="G51" s="78" t="str">
        <f>Companies!H85</f>
        <v>Jurassic-2</v>
      </c>
      <c r="H51" s="78" t="str">
        <f>Companies!I85</f>
        <v>Ori Goshen</v>
      </c>
      <c r="I51" s="78" t="str">
        <f>Companies!J85</f>
        <v>Tool</v>
      </c>
      <c r="J51" s="78" t="str">
        <f>Companies!K85</f>
        <v>Language Model</v>
      </c>
      <c r="K51" s="78">
        <f>Companies!L85</f>
        <v>2017</v>
      </c>
      <c r="L51" s="78" t="str">
        <f>Companies!M85</f>
        <v>API</v>
      </c>
      <c r="M51" s="78" t="str">
        <f>Companies!N85</f>
        <v>Ahren Innovation, Pitango VC, TPY Capital, Walden Catalyst</v>
      </c>
      <c r="N51" s="78" t="str">
        <f>Companies!O85</f>
        <v>Series B</v>
      </c>
      <c r="O51" s="78">
        <f>Companies!P85</f>
        <v>20</v>
      </c>
      <c r="P51" s="78" t="str">
        <f>Companies!Q85</f>
        <v>Walden Catalyst</v>
      </c>
    </row>
    <row r="52" spans="2:16">
      <c r="B52" s="78" t="str">
        <f>Companies!B86</f>
        <v>Descript</v>
      </c>
      <c r="C52" s="78" t="str">
        <f>Companies!C86</f>
        <v>Private</v>
      </c>
      <c r="D52" s="78">
        <f>Companies!D86</f>
        <v>550</v>
      </c>
      <c r="E52" s="78" t="str">
        <f>Companies!E86</f>
        <v>Series C</v>
      </c>
      <c r="F52" s="78">
        <f>Companies!F86</f>
        <v>50</v>
      </c>
      <c r="G52" s="78" t="str">
        <f>Companies!H86</f>
        <v>Video Editor</v>
      </c>
      <c r="H52" s="78" t="str">
        <f>Companies!I86</f>
        <v>Andrew Mason</v>
      </c>
      <c r="I52" s="78" t="str">
        <f>Companies!J86</f>
        <v>Consumer</v>
      </c>
      <c r="J52" s="78" t="str">
        <f>Companies!K86</f>
        <v>Video</v>
      </c>
      <c r="K52" s="78">
        <f>Companies!L86</f>
        <v>2017</v>
      </c>
      <c r="L52" s="78" t="str">
        <f>Companies!M86</f>
        <v>Not an AI company</v>
      </c>
      <c r="M52" s="78" t="str">
        <f>Companies!N86</f>
        <v>OpenAI, Spark, Redpoint, Daniel Gross, a16z</v>
      </c>
      <c r="N52" s="78" t="str">
        <f>Companies!O86</f>
        <v>Series B</v>
      </c>
      <c r="O52" s="78">
        <f>Companies!P86</f>
        <v>30</v>
      </c>
      <c r="P52" s="78" t="str">
        <f>Companies!Q86</f>
        <v>Spark Capital, Redpoint, a16z, HubSpot Ventures</v>
      </c>
    </row>
    <row r="53" spans="2:16">
      <c r="B53" s="78" t="str">
        <f>Companies!B87</f>
        <v>Vianai</v>
      </c>
      <c r="C53" s="78" t="str">
        <f>Companies!C87</f>
        <v>Private</v>
      </c>
      <c r="D53" s="78">
        <f>Companies!D87</f>
        <v>500</v>
      </c>
      <c r="E53" s="78" t="str">
        <f>Companies!E87</f>
        <v>Series B</v>
      </c>
      <c r="F53" s="78">
        <f>Companies!F87</f>
        <v>140</v>
      </c>
      <c r="G53" s="78" t="str">
        <f>Companies!H87</f>
        <v>VianOps, ML Monitoring</v>
      </c>
      <c r="H53" s="78" t="str">
        <f>Companies!I87</f>
        <v>Vishal Sikka</v>
      </c>
      <c r="I53" s="78" t="str">
        <f>Companies!J87</f>
        <v>Enterprise</v>
      </c>
      <c r="J53" s="78" t="str">
        <f>Companies!K87</f>
        <v>MLOps</v>
      </c>
      <c r="K53" s="78">
        <f>Companies!L87</f>
        <v>2019</v>
      </c>
      <c r="L53" s="78" t="str">
        <f>Companies!M87</f>
        <v>Seems like a zero</v>
      </c>
      <c r="M53" s="78" t="str">
        <f>Companies!N87</f>
        <v>Softbank, Jim Davidson, Jerry Yang, Henry Kravis, George Roberts</v>
      </c>
      <c r="N53" s="78" t="str">
        <f>Companies!O87</f>
        <v>Seed</v>
      </c>
      <c r="O53" s="78">
        <f>Companies!P87</f>
        <v>50</v>
      </c>
      <c r="P53" s="78" t="str">
        <f>Companies!Q87</f>
        <v>N/A</v>
      </c>
    </row>
    <row r="54" spans="2:16">
      <c r="B54" s="78" t="str">
        <f>Companies!B88</f>
        <v>Petuum</v>
      </c>
      <c r="C54" s="78" t="str">
        <f>Companies!C88</f>
        <v>Private</v>
      </c>
      <c r="D54" s="78">
        <f>Companies!D88</f>
        <v>500</v>
      </c>
      <c r="E54" s="78" t="str">
        <f>Companies!E88</f>
        <v>Series B</v>
      </c>
      <c r="F54" s="78">
        <f>Companies!F88</f>
        <v>93</v>
      </c>
      <c r="G54" s="78" t="str">
        <f>Companies!H88</f>
        <v>No-Code ML Automation</v>
      </c>
      <c r="H54" s="78" t="str">
        <f>Companies!I88</f>
        <v>Eric Xing, Ning Li, Qirong Ho</v>
      </c>
      <c r="I54" s="78" t="str">
        <f>Companies!J88</f>
        <v>Enterprise</v>
      </c>
      <c r="J54" s="78" t="str">
        <f>Companies!K88</f>
        <v>Automation</v>
      </c>
      <c r="K54" s="78">
        <f>Companies!L88</f>
        <v>2016</v>
      </c>
      <c r="L54" s="78" t="str">
        <f>Companies!M88</f>
        <v>Seems dead</v>
      </c>
      <c r="M54" s="78" t="str">
        <f>Companies!N88</f>
        <v>Softbank, Advantech</v>
      </c>
      <c r="N54" s="78" t="str">
        <f>Companies!O88</f>
        <v>Series A</v>
      </c>
      <c r="O54" s="78">
        <f>Companies!P88</f>
        <v>15</v>
      </c>
      <c r="P54" s="78" t="str">
        <f>Companies!Q88</f>
        <v>Advantech Capital, Tencent, Oriza Ventures, Northern Light Venture Capital</v>
      </c>
    </row>
    <row r="55" spans="2:16">
      <c r="B55" s="78" t="str">
        <f>Companies!B90</f>
        <v>Aisera</v>
      </c>
      <c r="C55" s="78" t="str">
        <f>Companies!C90</f>
        <v>Private</v>
      </c>
      <c r="D55" s="78">
        <f>Companies!D90</f>
        <v>500</v>
      </c>
      <c r="E55" s="78" t="str">
        <f>Companies!E90</f>
        <v>Series D</v>
      </c>
      <c r="F55" s="78">
        <f>Companies!F90</f>
        <v>90</v>
      </c>
      <c r="G55" s="78" t="str">
        <f>Companies!H90</f>
        <v>Service desk for customers and employees</v>
      </c>
      <c r="H55" s="78" t="str">
        <f>Companies!I90</f>
        <v>Christos Tryfonas, Muddu Sudhakar</v>
      </c>
      <c r="I55" s="78" t="str">
        <f>Companies!J90</f>
        <v>Enterprise</v>
      </c>
      <c r="J55" s="78" t="str">
        <f>Companies!K90</f>
        <v>Service</v>
      </c>
      <c r="K55" s="78">
        <f>Companies!L90</f>
        <v>2017</v>
      </c>
      <c r="L55" s="78">
        <f>Companies!M90</f>
        <v>0</v>
      </c>
      <c r="M55" s="78" t="str">
        <f>Companies!N90</f>
        <v>Thoma Bravo, Goldman Sachs, Zoom, World Innovation Lab, Webb Investment Network, True Ventures, Silicon Valley Bank, Sherpalo Ventures, Norwest Venture Partners, Menlo Ventures, Khosla Ventures, Icon Ventures, First Round Capital</v>
      </c>
      <c r="N55" s="78" t="str">
        <f>Companies!O90</f>
        <v>Series C</v>
      </c>
      <c r="O55" s="78">
        <f>Companies!P90</f>
        <v>40</v>
      </c>
      <c r="P55" s="78" t="str">
        <f>Companies!Q90</f>
        <v>Icon Ventures, World Innovation Lab, Webb Investment Network, True Ventures, Sherpalo Ventures, Norwest Venture Partners, Menlo Ventures, Khosla Ventures, First Round Capital</v>
      </c>
    </row>
    <row r="56" spans="2:16">
      <c r="B56" s="78" t="str">
        <f>Companies!B91</f>
        <v>Supremind</v>
      </c>
      <c r="C56" s="78" t="str">
        <f>Companies!C91</f>
        <v>Private</v>
      </c>
      <c r="D56" s="78">
        <f>Companies!D91</f>
        <v>500</v>
      </c>
      <c r="E56" s="78" t="str">
        <f>Companies!E91</f>
        <v>Series C</v>
      </c>
      <c r="F56" s="78">
        <f>Companies!F91</f>
        <v>80</v>
      </c>
      <c r="G56" s="78">
        <f>Companies!H91</f>
        <v>0</v>
      </c>
      <c r="H56" s="78">
        <f>Companies!I91</f>
        <v>0</v>
      </c>
      <c r="I56" s="78" t="str">
        <f>Companies!J91</f>
        <v>Enterprise</v>
      </c>
      <c r="J56" s="78" t="str">
        <f>Companies!K91</f>
        <v>Big Surveillance</v>
      </c>
      <c r="K56" s="78">
        <f>Companies!L91</f>
        <v>43497</v>
      </c>
      <c r="L56" s="78" t="str">
        <f>Companies!M91</f>
        <v>Chinese</v>
      </c>
      <c r="M56" s="78" t="str">
        <f>Companies!N91</f>
        <v>ZJ Innopark, Linear Capital, Guochuang Zhongding</v>
      </c>
      <c r="N56" s="78" t="str">
        <f>Companies!O91</f>
        <v>Seed</v>
      </c>
      <c r="O56" s="78">
        <f>Companies!P91</f>
        <v>14</v>
      </c>
      <c r="P56" s="78" t="str">
        <f>Companies!Q91</f>
        <v>Creo Capital, Redpoint Ventures China, Linear Venture, Peihua Capital</v>
      </c>
    </row>
    <row r="57" spans="2:16">
      <c r="B57" s="78" t="str">
        <f>Companies!B92</f>
        <v>Zhipu</v>
      </c>
      <c r="C57" s="78" t="str">
        <f>Companies!C92</f>
        <v>Private</v>
      </c>
      <c r="D57" s="78">
        <f>Companies!D92</f>
        <v>500</v>
      </c>
      <c r="E57" s="78" t="str">
        <f>Companies!E92</f>
        <v>Series B</v>
      </c>
      <c r="F57" s="78" t="str">
        <f>Companies!F92</f>
        <v>N/A</v>
      </c>
      <c r="G57" s="78" t="str">
        <f>Companies!H92</f>
        <v>ChatGLM, GLM-130B, CodeGeeX, CogView</v>
      </c>
      <c r="H57" s="78">
        <f>Companies!I92</f>
        <v>0</v>
      </c>
      <c r="I57" s="78" t="str">
        <f>Companies!J92</f>
        <v>Enterprise</v>
      </c>
      <c r="J57" s="78" t="str">
        <f>Companies!K92</f>
        <v>LLM</v>
      </c>
      <c r="K57" s="78">
        <f>Companies!L92</f>
        <v>2019</v>
      </c>
      <c r="L57" s="78" t="str">
        <f>Companies!M92</f>
        <v>Pretty crazy</v>
      </c>
      <c r="M57" s="78" t="str">
        <f>Companies!N92</f>
        <v>Qiming Venture Partners</v>
      </c>
      <c r="N57" s="78" t="str">
        <f>Companies!O92</f>
        <v>N/A</v>
      </c>
      <c r="O57" s="78" t="str">
        <f>Companies!P92</f>
        <v>N/A</v>
      </c>
      <c r="P57" s="78" t="str">
        <f>Companies!Q92</f>
        <v>N/A</v>
      </c>
    </row>
    <row r="58" spans="2:16">
      <c r="B58" s="78" t="str">
        <f>Companies!B94</f>
        <v>Primer</v>
      </c>
      <c r="C58" s="78" t="str">
        <f>Companies!C94</f>
        <v>Private</v>
      </c>
      <c r="D58" s="78">
        <f>Companies!D94</f>
        <v>500</v>
      </c>
      <c r="E58" s="78" t="str">
        <f>Companies!E94</f>
        <v>Series D</v>
      </c>
      <c r="F58" s="78">
        <f>Companies!F94</f>
        <v>69</v>
      </c>
      <c r="G58" s="78" t="str">
        <f>Companies!H94</f>
        <v>Seems to be DoD/Gov service</v>
      </c>
      <c r="H58" s="78" t="str">
        <f>Companies!I94</f>
        <v>Sean Gourley</v>
      </c>
      <c r="I58" s="78" t="str">
        <f>Companies!J94</f>
        <v>Enterprise</v>
      </c>
      <c r="J58" s="78" t="str">
        <f>Companies!K94</f>
        <v>Government</v>
      </c>
      <c r="K58" s="78">
        <f>Companies!L94</f>
        <v>2015</v>
      </c>
      <c r="L58" s="78">
        <f>Companies!M94</f>
        <v>0</v>
      </c>
      <c r="M58" s="78" t="str">
        <f>Companies!N94</f>
        <v>Addition, US Innovative Technology Fund</v>
      </c>
      <c r="N58" s="78" t="str">
        <f>Companies!O94</f>
        <v>Series C</v>
      </c>
      <c r="O58" s="78">
        <f>Companies!P94</f>
        <v>110</v>
      </c>
      <c r="P58" s="78" t="str">
        <f>Companies!Q94</f>
        <v>Addition, Steadfast, Sands, Hank Crumpton, Lux, DCVC, Amplify</v>
      </c>
    </row>
    <row r="59" spans="2:16">
      <c r="B59" s="78" t="str">
        <f>Companies!B95</f>
        <v>CloudFactory</v>
      </c>
      <c r="C59" s="78" t="str">
        <f>Companies!C95</f>
        <v>Private</v>
      </c>
      <c r="D59" s="78">
        <f>Companies!D95</f>
        <v>400</v>
      </c>
      <c r="E59" s="78" t="str">
        <f>Companies!E95</f>
        <v>Series C</v>
      </c>
      <c r="F59" s="78">
        <f>Companies!F95</f>
        <v>65</v>
      </c>
      <c r="G59" s="78" t="str">
        <f>Companies!H95</f>
        <v>Labeling</v>
      </c>
      <c r="H59" s="78" t="str">
        <f>Companies!I95</f>
        <v>Mark Sears, Tom Puskarich</v>
      </c>
      <c r="I59" s="78" t="str">
        <f>Companies!J95</f>
        <v>Enterprise</v>
      </c>
      <c r="J59" s="78" t="str">
        <f>Companies!K95</f>
        <v>Labeling</v>
      </c>
      <c r="K59" s="78">
        <f>Companies!L95</f>
        <v>2010</v>
      </c>
      <c r="L59" s="78">
        <f>Companies!M95</f>
        <v>0</v>
      </c>
      <c r="M59" s="78" t="str">
        <f>Companies!N95</f>
        <v>Weatherford Capital, FTV Capital</v>
      </c>
      <c r="N59" s="78" t="str">
        <f>Companies!O95</f>
        <v>Series B</v>
      </c>
      <c r="O59" s="78">
        <f>Companies!P95</f>
        <v>7.3</v>
      </c>
      <c r="P59" s="78" t="str">
        <f>Companies!Q95</f>
        <v>The Social Entrepreneurs Fund, Sovereign's Capital, Dolma Impact Fund</v>
      </c>
    </row>
    <row r="60" spans="2:16">
      <c r="B60" s="78" t="str">
        <f>Companies!B96</f>
        <v>ArteraAI (artera.com)</v>
      </c>
      <c r="C60" s="78" t="str">
        <f>Companies!C96</f>
        <v>Private</v>
      </c>
      <c r="D60" s="78">
        <f>Companies!D96</f>
        <v>400</v>
      </c>
      <c r="E60" s="78" t="str">
        <f>Companies!E96</f>
        <v>Series A</v>
      </c>
      <c r="F60" s="78">
        <f>Companies!F96</f>
        <v>90</v>
      </c>
      <c r="G60" s="78" t="str">
        <f>Companies!H96</f>
        <v>Diagnostics</v>
      </c>
      <c r="H60" s="78" t="str">
        <f>Companies!I96</f>
        <v>Andre Esteva</v>
      </c>
      <c r="I60" s="78" t="str">
        <f>Companies!J96</f>
        <v>Enterprise</v>
      </c>
      <c r="J60" s="78" t="str">
        <f>Companies!K96</f>
        <v>Healthcare</v>
      </c>
      <c r="K60" s="78">
        <f>Companies!L96</f>
        <v>2021</v>
      </c>
      <c r="L60" s="78" t="str">
        <f>Companies!M96</f>
        <v>Not really AI?</v>
      </c>
      <c r="M60" s="78" t="str">
        <f>Companies!N96</f>
        <v>Coatue, Breyer Capital, J&amp;J, Koch Disruptive Technologies, Walden Catalyst, Time Ventures, TheFactory, Steve Blank, Michael Driscoll, Marc Benioff, Lip-Bu Tan, Jim Breyer, Jeff Dean, Dennis Wong, Clarence So, Chris Re, Amarjit Gill</v>
      </c>
      <c r="N60" s="78" t="str">
        <f>Companies!O96</f>
        <v>N/A</v>
      </c>
      <c r="O60" s="78" t="str">
        <f>Companies!P96</f>
        <v>N/A</v>
      </c>
      <c r="P60" s="78" t="str">
        <f>Companies!Q96</f>
        <v>N/A</v>
      </c>
    </row>
    <row r="61" spans="2:16">
      <c r="B61" s="78" t="str">
        <f>Companies!B97</f>
        <v>Ada Health</v>
      </c>
      <c r="C61" s="78" t="str">
        <f>Companies!C97</f>
        <v>Private</v>
      </c>
      <c r="D61" s="78">
        <f>Companies!D97</f>
        <v>300</v>
      </c>
      <c r="E61" s="78" t="str">
        <f>Companies!E97</f>
        <v>Series B</v>
      </c>
      <c r="F61" s="78">
        <f>Companies!F97</f>
        <v>120</v>
      </c>
      <c r="G61" s="78" t="str">
        <f>Companies!H97</f>
        <v>Symptom Checker</v>
      </c>
      <c r="H61" s="78" t="str">
        <f>Companies!I97</f>
        <v>Claire Novorol, Daniel Nathrath, Martin Hirsch</v>
      </c>
      <c r="I61" s="78" t="str">
        <f>Companies!J97</f>
        <v>Enterprise</v>
      </c>
      <c r="J61" s="78" t="str">
        <f>Companies!K97</f>
        <v>Health</v>
      </c>
      <c r="K61" s="78">
        <f>Companies!L97</f>
        <v>2011</v>
      </c>
      <c r="L61" s="78">
        <f>Companies!M97</f>
        <v>0</v>
      </c>
      <c r="M61" s="78" t="str">
        <f>Companies!N97</f>
        <v>Leaps by Bayer, Bertelsmann, Farallon, Red River West, Vitruvian Partners, Samsung Catalyst Fund, Mutschler Ventures, Inteligo, F4</v>
      </c>
      <c r="N61" s="78" t="str">
        <f>Companies!O97</f>
        <v>Series A</v>
      </c>
      <c r="O61" s="78">
        <f>Companies!P97</f>
        <v>50</v>
      </c>
      <c r="P61" s="78" t="str">
        <f>Companies!Q97</f>
        <v>Vitruvian Partners, June Fund, Cumberland VC</v>
      </c>
    </row>
    <row r="62" spans="2:16">
      <c r="B62" s="78" t="str">
        <f>Companies!B98</f>
        <v>Climavision</v>
      </c>
      <c r="C62" s="78" t="str">
        <f>Companies!C98</f>
        <v>Private</v>
      </c>
      <c r="D62" s="78">
        <f>Companies!D98</f>
        <v>300</v>
      </c>
      <c r="E62" s="78" t="str">
        <f>Companies!E98</f>
        <v>Series A</v>
      </c>
      <c r="F62" s="78">
        <f>Companies!F98</f>
        <v>100</v>
      </c>
      <c r="G62" s="78" t="str">
        <f>Companies!H98</f>
        <v>Forecasting. "Dalton AI"</v>
      </c>
      <c r="H62" s="78" t="str">
        <f>Companies!I98</f>
        <v>Chris Goode</v>
      </c>
      <c r="I62" s="78" t="str">
        <f>Companies!J98</f>
        <v>Enterprise</v>
      </c>
      <c r="J62" s="78" t="str">
        <f>Companies!K98</f>
        <v>Weather</v>
      </c>
      <c r="K62" s="78">
        <f>Companies!L98</f>
        <v>2020</v>
      </c>
      <c r="L62" s="78">
        <f>Companies!M98</f>
        <v>0</v>
      </c>
      <c r="M62" s="78" t="str">
        <f>Companies!N98</f>
        <v>The Rise Fund</v>
      </c>
      <c r="N62" s="78" t="str">
        <f>Companies!O98</f>
        <v>N/A</v>
      </c>
      <c r="O62" s="78" t="str">
        <f>Companies!P98</f>
        <v>N/A</v>
      </c>
      <c r="P62" s="78" t="str">
        <f>Companies!Q98</f>
        <v>N/A</v>
      </c>
    </row>
    <row r="63" spans="2:16">
      <c r="B63" s="78" t="str">
        <f>Companies!B99</f>
        <v>Rossum</v>
      </c>
      <c r="C63" s="78" t="str">
        <f>Companies!C99</f>
        <v>Private</v>
      </c>
      <c r="D63" s="78">
        <f>Companies!D99</f>
        <v>300</v>
      </c>
      <c r="E63" s="78" t="str">
        <f>Companies!E99</f>
        <v>Series A</v>
      </c>
      <c r="F63" s="78">
        <f>Companies!F99</f>
        <v>86.399999999999991</v>
      </c>
      <c r="G63" s="78" t="str">
        <f>Companies!H99</f>
        <v>Document intake</v>
      </c>
      <c r="H63" s="78" t="str">
        <f>Companies!I99</f>
        <v>Petr Baudis, Tomas Gogar, Tomas Tunys</v>
      </c>
      <c r="I63" s="78" t="str">
        <f>Companies!J99</f>
        <v>Enterprise</v>
      </c>
      <c r="J63" s="78" t="str">
        <f>Companies!K99</f>
        <v>Document</v>
      </c>
      <c r="K63" s="78">
        <f>Companies!L99</f>
        <v>2017</v>
      </c>
      <c r="L63" s="78" t="str">
        <f>Companies!M99</f>
        <v>KYC, AP, Supply Chain</v>
      </c>
      <c r="M63" s="78" t="str">
        <f>Companies!N99</f>
        <v>General Catalyst, Verissimo Ventures, Seedcamp, MITON, LocalGlobe, Dig Ventures, Elad Gil</v>
      </c>
      <c r="N63" s="78" t="str">
        <f>Companies!O99</f>
        <v>Seed</v>
      </c>
      <c r="O63" s="78">
        <f>Companies!P99</f>
        <v>8.5</v>
      </c>
      <c r="P63" s="78" t="str">
        <f>Companies!Q99</f>
        <v>LocalGlobe, Vijay Pandurangan, StartupYard, Seedcamp, Ryan Petersen, MITON, Michael Stoppelman, Elad Gil</v>
      </c>
    </row>
    <row r="64" spans="2:16">
      <c r="B64" s="78" t="str">
        <f>Companies!B100</f>
        <v>PolyAI</v>
      </c>
      <c r="C64" s="78" t="str">
        <f>Companies!C100</f>
        <v>Private</v>
      </c>
      <c r="D64" s="78">
        <f>Companies!D100</f>
        <v>260</v>
      </c>
      <c r="E64" s="78" t="str">
        <f>Companies!E100</f>
        <v>Series A</v>
      </c>
      <c r="F64" s="78">
        <f>Companies!F100</f>
        <v>40</v>
      </c>
      <c r="G64" s="78" t="str">
        <f>Companies!H100</f>
        <v>Customer Service</v>
      </c>
      <c r="H64" s="78">
        <f>Companies!I100</f>
        <v>0</v>
      </c>
      <c r="I64" s="78" t="str">
        <f>Companies!J100</f>
        <v>Enterprise</v>
      </c>
      <c r="J64" s="78" t="str">
        <f>Companies!K100</f>
        <v>Customer Service</v>
      </c>
      <c r="K64" s="78">
        <f>Companies!L100</f>
        <v>2017</v>
      </c>
      <c r="L64" s="78">
        <f>Companies!M100</f>
        <v>0</v>
      </c>
      <c r="M64" s="78" t="str">
        <f>Companies!N100</f>
        <v>Georgian, Twilio, Point72 Ventures, Khosla Ventures, Amadeus Capital Partners</v>
      </c>
      <c r="N64" s="78" t="str">
        <f>Companies!O100</f>
        <v>Series A</v>
      </c>
      <c r="O64" s="78">
        <f>Companies!P100</f>
        <v>14</v>
      </c>
      <c r="P64" s="78" t="str">
        <f>Companies!Q100</f>
        <v>Khosla Ventures, Sands Capital Ventures, Point72 Ventures, Passion Capital, Entrepreneur First, Amadeus Capital Partners</v>
      </c>
    </row>
    <row r="65" spans="2:16">
      <c r="B65" s="78" t="str">
        <f>Companies!B101</f>
        <v>Tome</v>
      </c>
      <c r="C65" s="78" t="str">
        <f>Companies!C101</f>
        <v>Private</v>
      </c>
      <c r="D65" s="78">
        <f>Companies!D101</f>
        <v>257</v>
      </c>
      <c r="E65" s="78" t="str">
        <f>Companies!E101</f>
        <v>Series B</v>
      </c>
      <c r="F65" s="78">
        <f>Companies!F101</f>
        <v>43</v>
      </c>
      <c r="G65" s="78" t="str">
        <f>Companies!H101</f>
        <v>Powerpoint</v>
      </c>
      <c r="H65" s="78">
        <f>Companies!I101</f>
        <v>0</v>
      </c>
      <c r="I65" s="78" t="str">
        <f>Companies!J101</f>
        <v>Enterprise</v>
      </c>
      <c r="J65" s="78" t="str">
        <f>Companies!K101</f>
        <v>Content</v>
      </c>
      <c r="K65" s="78" t="str">
        <f>Companies!L101</f>
        <v>2020</v>
      </c>
      <c r="L65" s="78">
        <f>Companies!M101</f>
        <v>0</v>
      </c>
      <c r="M65" s="78" t="str">
        <f>Companies!N101</f>
        <v>Lightspeed, Greylock, Coatue, Wing Venture Capital, Eric Schmidt, Emad Mostaque, David Luan, Bipul Sinha, Audacious Ventures, 8VC</v>
      </c>
      <c r="N65" s="78" t="str">
        <f>Companies!O101</f>
        <v>Series A</v>
      </c>
      <c r="O65" s="78">
        <f>Companies!P101</f>
        <v>26</v>
      </c>
      <c r="P65" s="78" t="str">
        <f>Companies!Q101</f>
        <v>Coatue, Greylock, Audacious Ventures</v>
      </c>
    </row>
    <row r="66" spans="2:16">
      <c r="B66" s="78" t="str">
        <f>Companies!B102</f>
        <v>Vedrai</v>
      </c>
      <c r="C66" s="78" t="str">
        <f>Companies!C102</f>
        <v>Private</v>
      </c>
      <c r="D66" s="78">
        <f>Companies!D102</f>
        <v>250</v>
      </c>
      <c r="E66" s="78" t="str">
        <f>Companies!E102</f>
        <v>Series A</v>
      </c>
      <c r="F66" s="78">
        <f>Companies!F102</f>
        <v>50</v>
      </c>
      <c r="G66" s="78">
        <f>Companies!H102</f>
        <v>0</v>
      </c>
      <c r="H66" s="78">
        <f>Companies!I102</f>
        <v>0</v>
      </c>
      <c r="I66" s="78" t="str">
        <f>Companies!J102</f>
        <v>Enterprise</v>
      </c>
      <c r="J66" s="78" t="str">
        <f>Companies!K102</f>
        <v>Agents</v>
      </c>
      <c r="K66" s="78">
        <f>Companies!L102</f>
        <v>44075</v>
      </c>
      <c r="L66" s="78">
        <f>Companies!M102</f>
        <v>0</v>
      </c>
      <c r="M66" s="78" t="str">
        <f>Companies!N102</f>
        <v>Not disclosed</v>
      </c>
      <c r="N66" s="78" t="str">
        <f>Companies!O102</f>
        <v>Seed</v>
      </c>
      <c r="O66" s="78">
        <f>Companies!P102</f>
        <v>6</v>
      </c>
      <c r="P66" s="78" t="str">
        <f>Companies!Q102</f>
        <v>Pietro Giuliani, Giorgio Chiellini, Andrea Bocelli</v>
      </c>
    </row>
    <row r="67" spans="2:16">
      <c r="B67" s="78" t="str">
        <f>Companies!B103</f>
        <v>Abacus.AI</v>
      </c>
      <c r="C67" s="78" t="str">
        <f>Companies!C103</f>
        <v>Private</v>
      </c>
      <c r="D67" s="78">
        <f>Companies!D103</f>
        <v>250</v>
      </c>
      <c r="E67" s="78" t="str">
        <f>Companies!E103</f>
        <v>Series C</v>
      </c>
      <c r="F67" s="78">
        <f>Companies!F103</f>
        <v>50</v>
      </c>
      <c r="G67" s="78" t="str">
        <f>Companies!H103</f>
        <v>Enterprise focus</v>
      </c>
      <c r="H67" s="78" t="str">
        <f>Companies!I103</f>
        <v>Arvind Sundararajan</v>
      </c>
      <c r="I67" s="78" t="str">
        <f>Companies!J103</f>
        <v>Tool</v>
      </c>
      <c r="J67" s="78" t="str">
        <f>Companies!K103</f>
        <v>MLOps</v>
      </c>
      <c r="K67" s="78">
        <f>Companies!L103</f>
        <v>43556</v>
      </c>
      <c r="L67" s="78">
        <f>Companies!M103</f>
        <v>0</v>
      </c>
      <c r="M67" s="78" t="str">
        <f>Companies!N103</f>
        <v>Tiger, Index, Coatue, Alkeon</v>
      </c>
      <c r="N67" s="78" t="str">
        <f>Companies!O103</f>
        <v>Series B</v>
      </c>
      <c r="O67" s="78">
        <f>Companies!P103</f>
        <v>22</v>
      </c>
      <c r="P67" s="78" t="str">
        <f>Companies!Q103</f>
        <v>Index, Decibel, Coatue</v>
      </c>
    </row>
    <row r="68" spans="2:16">
      <c r="B68" s="78" t="str">
        <f>Companies!B104</f>
        <v>Fetch.ai</v>
      </c>
      <c r="C68" s="78" t="str">
        <f>Companies!C104</f>
        <v>Private</v>
      </c>
      <c r="D68" s="78">
        <f>Companies!D104</f>
        <v>250</v>
      </c>
      <c r="E68" s="78" t="str">
        <f>Companies!E104</f>
        <v>Series A</v>
      </c>
      <c r="F68" s="78">
        <f>Companies!F104</f>
        <v>40</v>
      </c>
      <c r="G68" s="78" t="str">
        <f>Companies!H104</f>
        <v>"Agentverse"</v>
      </c>
      <c r="H68" s="78" t="str">
        <f>Companies!I104</f>
        <v>Humayun Sheikh, Thomas Hain, Toby Simpson</v>
      </c>
      <c r="I68" s="78" t="str">
        <f>Companies!J104</f>
        <v>Consumer</v>
      </c>
      <c r="J68" s="78" t="str">
        <f>Companies!K104</f>
        <v>Blockchain Dev Platform</v>
      </c>
      <c r="K68" s="78">
        <f>Companies!L104</f>
        <v>2017</v>
      </c>
      <c r="L68" s="78" t="str">
        <f>Companies!M104</f>
        <v>Hard to take seriously</v>
      </c>
      <c r="M68" s="78" t="str">
        <f>Companies!N104</f>
        <v>DWF Labs</v>
      </c>
      <c r="N68" s="78" t="str">
        <f>Companies!O104</f>
        <v>Seed</v>
      </c>
      <c r="O68" s="78">
        <f>Companies!P104</f>
        <v>5</v>
      </c>
      <c r="P68" s="78" t="str">
        <f>Companies!Q104</f>
        <v>GDA Group</v>
      </c>
    </row>
    <row r="69" spans="2:16">
      <c r="B69" s="78" t="str">
        <f>Companies!B105</f>
        <v>Infinitus Systems (infinitus.ai)</v>
      </c>
      <c r="C69" s="78" t="str">
        <f>Companies!C105</f>
        <v>Private</v>
      </c>
      <c r="D69" s="78">
        <f>Companies!D105</f>
        <v>245</v>
      </c>
      <c r="E69" s="78" t="str">
        <f>Companies!E105</f>
        <v>Series B</v>
      </c>
      <c r="F69" s="78">
        <f>Companies!F105</f>
        <v>30</v>
      </c>
      <c r="G69" s="78" t="str">
        <f>Companies!H105</f>
        <v>Clinical call automation</v>
      </c>
      <c r="H69" s="78">
        <f>Companies!I105</f>
        <v>0</v>
      </c>
      <c r="I69" s="78" t="str">
        <f>Companies!J105</f>
        <v>Enterprise</v>
      </c>
      <c r="J69" s="78" t="str">
        <f>Companies!K105</f>
        <v>Healthcare</v>
      </c>
      <c r="K69" s="78">
        <f>Companies!L105</f>
        <v>43497</v>
      </c>
      <c r="L69" s="78" t="str">
        <f>Companies!M105</f>
        <v>Healthcare</v>
      </c>
      <c r="M69" s="78" t="str">
        <f>Companies!N105</f>
        <v>Google Ventures, Kleiner Perkins, Operator Partners, Coatue, Aashima Gupta</v>
      </c>
      <c r="N69" s="78" t="str">
        <f>Companies!O105</f>
        <v>Series A</v>
      </c>
      <c r="O69" s="78">
        <f>Companies!P105</f>
        <v>21.4</v>
      </c>
      <c r="P69" s="78" t="str">
        <f>Companies!Q105</f>
        <v>Coatue, Kleiner Perkins, Tau Ventures, Quiet Capital, Qasar Younis, Ian Goodfellow, Gradient Ventures, Gokul Rajaram, Firebolt Ventures, Aparna Chennapragada</v>
      </c>
    </row>
    <row r="70" spans="2:16">
      <c r="B70" s="78" t="str">
        <f>Companies!B106</f>
        <v>Mistral AI</v>
      </c>
      <c r="C70" s="78" t="str">
        <f>Companies!C106</f>
        <v>Private</v>
      </c>
      <c r="D70" s="78">
        <f>Companies!D106</f>
        <v>240</v>
      </c>
      <c r="E70" s="78" t="str">
        <f>Companies!E106</f>
        <v>Seed</v>
      </c>
      <c r="F70" s="78">
        <f>Companies!F106</f>
        <v>120</v>
      </c>
      <c r="G70" s="78" t="str">
        <f>Companies!H106</f>
        <v>LLM</v>
      </c>
      <c r="H70" s="78" t="str">
        <f>Companies!I106</f>
        <v>Timothee Lacroix, Guillaume Lample, Arthur Mensch</v>
      </c>
      <c r="I70" s="78" t="str">
        <f>Companies!J106</f>
        <v>Tool</v>
      </c>
      <c r="J70" s="78" t="str">
        <f>Companies!K106</f>
        <v>Language Model</v>
      </c>
      <c r="K70" s="78" t="str">
        <f>Companies!L106</f>
        <v>2023</v>
      </c>
      <c r="L70" s="78" t="str">
        <f>Companies!M106</f>
        <v>Worked on Llama at META</v>
      </c>
      <c r="M70" s="78" t="str">
        <f>Companies!N106</f>
        <v>Lightspeed, Index Ventures, Sofina, Redpoint, Motier Ventures, LocalGlobe, La Famiglia, JCDecaux Holding SA, Headline, Firstminute, Exor, Bpifrance, Eric Schmidt, Xavier Niel, Rodolphe Saade</v>
      </c>
      <c r="N70" s="78" t="str">
        <f>Companies!O106</f>
        <v>N/A</v>
      </c>
      <c r="O70" s="78" t="str">
        <f>Companies!P106</f>
        <v>N/A</v>
      </c>
      <c r="P70" s="78" t="str">
        <f>Companies!Q106</f>
        <v>N/A</v>
      </c>
    </row>
    <row r="71" spans="2:16">
      <c r="B71" s="78" t="str">
        <f>Companies!B107</f>
        <v>Woebot Health</v>
      </c>
      <c r="C71" s="78" t="str">
        <f>Companies!C107</f>
        <v>Private</v>
      </c>
      <c r="D71" s="78">
        <f>Companies!D107</f>
        <v>200</v>
      </c>
      <c r="E71" s="78" t="str">
        <f>Companies!E107</f>
        <v>Series B</v>
      </c>
      <c r="F71" s="78">
        <f>Companies!F107</f>
        <v>90</v>
      </c>
      <c r="G71" s="78" t="str">
        <f>Companies!H107</f>
        <v>Mental Health</v>
      </c>
      <c r="H71" s="78" t="str">
        <f>Companies!I107</f>
        <v>Alison Darcy</v>
      </c>
      <c r="I71" s="78" t="str">
        <f>Companies!J107</f>
        <v>Consumer</v>
      </c>
      <c r="J71" s="78" t="str">
        <f>Companies!K107</f>
        <v>Healthcare</v>
      </c>
      <c r="K71" s="78">
        <f>Companies!L107</f>
        <v>2017</v>
      </c>
      <c r="L71" s="78">
        <f>Companies!M107</f>
        <v>0</v>
      </c>
      <c r="M71" s="78" t="str">
        <f>Companies!N107</f>
        <v>Temasek, Jazz, What If, Owl Ventures, NEA, Mirae Asset, Kicker Ventures, Gaingels, Bossanova, BlackRock, Alumni Ventures, AI Fund</v>
      </c>
      <c r="N71" s="78" t="str">
        <f>Companies!O107</f>
        <v>Corporate</v>
      </c>
      <c r="O71" s="78">
        <f>Companies!P107</f>
        <v>9.5</v>
      </c>
      <c r="P71" s="78" t="str">
        <f>Companies!Q107</f>
        <v>Leaps by Bayer</v>
      </c>
    </row>
    <row r="72" spans="2:16">
      <c r="B72" s="78" t="str">
        <f>Companies!B108</f>
        <v>Ascertain</v>
      </c>
      <c r="C72" s="78" t="str">
        <f>Companies!C108</f>
        <v>Private</v>
      </c>
      <c r="D72" s="78">
        <f>Companies!D108</f>
        <v>200</v>
      </c>
      <c r="E72" s="78" t="str">
        <f>Companies!E108</f>
        <v>Seed</v>
      </c>
      <c r="F72" s="78">
        <f>Companies!F108</f>
        <v>100</v>
      </c>
      <c r="G72" s="78" t="str">
        <f>Companies!H108</f>
        <v>Venture studio/platform</v>
      </c>
      <c r="H72" s="78">
        <f>Companies!I108</f>
        <v>0</v>
      </c>
      <c r="I72" s="78" t="str">
        <f>Companies!J108</f>
        <v>Enterprise</v>
      </c>
      <c r="J72" s="78" t="str">
        <f>Companies!K108</f>
        <v>Healthcare</v>
      </c>
      <c r="K72" s="78">
        <f>Companies!L108</f>
        <v>2022</v>
      </c>
      <c r="L72" s="78">
        <f>Companies!M108</f>
        <v>0</v>
      </c>
      <c r="M72" s="78" t="str">
        <f>Companies!N108</f>
        <v>Northwell, Aegis Ventures</v>
      </c>
      <c r="N72" s="78" t="str">
        <f>Companies!O108</f>
        <v>N/A</v>
      </c>
      <c r="O72" s="78" t="str">
        <f>Companies!P108</f>
        <v>N/A</v>
      </c>
      <c r="P72" s="78" t="str">
        <f>Companies!Q108</f>
        <v>N/A</v>
      </c>
    </row>
    <row r="73" spans="2:16">
      <c r="B73" s="78" t="str">
        <f>Companies!B109</f>
        <v>Reka</v>
      </c>
      <c r="C73" s="78" t="str">
        <f>Companies!C109</f>
        <v>Private</v>
      </c>
      <c r="D73" s="78">
        <f>Companies!D109</f>
        <v>200</v>
      </c>
      <c r="E73" s="78" t="str">
        <f>Companies!E109</f>
        <v>Series A</v>
      </c>
      <c r="F73" s="78">
        <f>Companies!F109</f>
        <v>58</v>
      </c>
      <c r="G73" s="78" t="str">
        <f>Companies!H109</f>
        <v>Yasa: enterprise LLM</v>
      </c>
      <c r="H73" s="78">
        <f>Companies!I109</f>
        <v>0</v>
      </c>
      <c r="I73" s="78" t="str">
        <f>Companies!J109</f>
        <v>Enterprise</v>
      </c>
      <c r="J73" s="78" t="str">
        <f>Companies!K109</f>
        <v>Language Model</v>
      </c>
      <c r="K73" s="78" t="str">
        <f>Companies!L109</f>
        <v>2022?</v>
      </c>
      <c r="L73" s="78">
        <f>Companies!M109</f>
        <v>0</v>
      </c>
      <c r="M73" s="78" t="str">
        <f>Companies!N109</f>
        <v>DST Global Partners, Radical Ventures, Snowflake</v>
      </c>
      <c r="N73" s="78" t="str">
        <f>Companies!O109</f>
        <v>N/A</v>
      </c>
      <c r="O73" s="78" t="str">
        <f>Companies!P109</f>
        <v>N/A</v>
      </c>
      <c r="P73" s="78" t="str">
        <f>Companies!Q109</f>
        <v>N/A</v>
      </c>
    </row>
    <row r="74" spans="2:16">
      <c r="B74" s="78" t="str">
        <f>Companies!B110</f>
        <v>Artera (artera.io, Well Health)</v>
      </c>
      <c r="C74" s="78" t="str">
        <f>Companies!C110</f>
        <v>Private</v>
      </c>
      <c r="D74" s="78">
        <f>Companies!D110</f>
        <v>200</v>
      </c>
      <c r="E74" s="78" t="str">
        <f>Companies!E110</f>
        <v>Series C</v>
      </c>
      <c r="F74" s="78">
        <f>Companies!F110</f>
        <v>45</v>
      </c>
      <c r="G74" s="78" t="str">
        <f>Companies!H110</f>
        <v>Patient communication</v>
      </c>
      <c r="H74" s="78" t="str">
        <f>Companies!I110</f>
        <v>Guillaume De Zwirek, Joe Tischler</v>
      </c>
      <c r="I74" s="78" t="str">
        <f>Companies!J110</f>
        <v>Enterprise</v>
      </c>
      <c r="J74" s="78" t="str">
        <f>Companies!K110</f>
        <v>Healthcare</v>
      </c>
      <c r="K74" s="78">
        <f>Companies!L110</f>
        <v>2015</v>
      </c>
      <c r="L74" s="78">
        <f>Companies!M110</f>
        <v>0</v>
      </c>
      <c r="M74" s="78" t="str">
        <f>Companies!N110</f>
        <v>Lead Edge Capital, Summation Health Ventures, Structure Capital, Martin Ventures, Jackson Square Ventures, Health Velocity Capital, Freestyle Capital</v>
      </c>
      <c r="N74" s="78" t="str">
        <f>Companies!O110</f>
        <v>Series B</v>
      </c>
      <c r="O74" s="78" t="str">
        <f>Companies!P110</f>
        <v>N/A</v>
      </c>
      <c r="P74" s="78" t="str">
        <f>Companies!Q110</f>
        <v>Techstars, Freestyle Capital</v>
      </c>
    </row>
    <row r="75" spans="2:16">
      <c r="B75" s="78" t="str">
        <f>Companies!B111</f>
        <v>Playground.ai</v>
      </c>
      <c r="C75" s="78" t="str">
        <f>Companies!C111</f>
        <v>Private</v>
      </c>
      <c r="D75" s="78">
        <f>Companies!D111</f>
        <v>200</v>
      </c>
      <c r="E75" s="78" t="str">
        <f>Companies!E111</f>
        <v>Series A</v>
      </c>
      <c r="F75" s="78">
        <f>Companies!F111</f>
        <v>40.799999999999997</v>
      </c>
      <c r="G75" s="78">
        <f>Companies!H111</f>
        <v>0</v>
      </c>
      <c r="H75" s="78" t="str">
        <f>Companies!I111</f>
        <v>Suhail Doshi</v>
      </c>
      <c r="I75" s="78" t="str">
        <f>Companies!J111</f>
        <v>Enterprise</v>
      </c>
      <c r="J75" s="78" t="str">
        <f>Companies!K111</f>
        <v>Graphics</v>
      </c>
      <c r="K75" s="78">
        <f>Companies!L111</f>
        <v>0</v>
      </c>
      <c r="L75" s="78" t="str">
        <f>Companies!M111</f>
        <v>YC</v>
      </c>
      <c r="M75" s="78" t="str">
        <f>Companies!N111</f>
        <v>Paul Graham, Garry Tan, Raymond Tonsing, Max Levchin, Arjun Lall, Alda Dennis, Justin Kain, Immad Akhund, Solomon Hykes, Aaron Levie, Adora Cheung, Elad Gil, Balaji Srinivasan, Sanjay Dastoor, Oliver Cameron, Ron Conway, Paul Buchheit, Charlie Cheever.</v>
      </c>
      <c r="N75" s="78">
        <f>Companies!O111</f>
        <v>0</v>
      </c>
      <c r="O75" s="78">
        <f>Companies!P111</f>
        <v>0</v>
      </c>
      <c r="P75" s="78">
        <f>Companies!Q111</f>
        <v>0</v>
      </c>
    </row>
    <row r="76" spans="2:16">
      <c r="B76" s="78" t="str">
        <f>Companies!B112</f>
        <v>Syllable</v>
      </c>
      <c r="C76" s="78" t="str">
        <f>Companies!C112</f>
        <v>Private</v>
      </c>
      <c r="D76" s="78">
        <f>Companies!D112</f>
        <v>200</v>
      </c>
      <c r="E76" s="78" t="str">
        <f>Companies!E112</f>
        <v>Series C</v>
      </c>
      <c r="F76" s="78">
        <f>Companies!F112</f>
        <v>40</v>
      </c>
      <c r="G76" s="78" t="str">
        <f>Companies!H112</f>
        <v>NLP for healthcare contact</v>
      </c>
      <c r="H76" s="78" t="str">
        <f>Companies!I112</f>
        <v>Andrew Rogers, Gui Bastos, Kobus Jooste</v>
      </c>
      <c r="I76" s="78" t="str">
        <f>Companies!J112</f>
        <v>Enterprise</v>
      </c>
      <c r="J76" s="78" t="str">
        <f>Companies!K112</f>
        <v>Healthcare</v>
      </c>
      <c r="K76" s="78">
        <f>Companies!L112</f>
        <v>2016</v>
      </c>
      <c r="L76" s="78" t="str">
        <f>Companies!M112</f>
        <v>Pre-LLM</v>
      </c>
      <c r="M76" s="78" t="str">
        <f>Companies!N112</f>
        <v>TCV, Verily, Section 32, Oak HC/FT</v>
      </c>
      <c r="N76" s="78" t="str">
        <f>Companies!O112</f>
        <v>Series B</v>
      </c>
      <c r="O76" s="78">
        <f>Companies!P112</f>
        <v>28</v>
      </c>
      <c r="P76" s="78" t="str">
        <f>Companies!Q112</f>
        <v>Oak HC/FT, Section 32</v>
      </c>
    </row>
    <row r="77" spans="2:16">
      <c r="B77" s="78" t="str">
        <f>Companies!B113</f>
        <v>Ambi Robotics</v>
      </c>
      <c r="C77" s="78" t="str">
        <f>Companies!C113</f>
        <v>Private</v>
      </c>
      <c r="D77" s="78">
        <f>Companies!D113</f>
        <v>200</v>
      </c>
      <c r="E77" s="78" t="str">
        <f>Companies!E113</f>
        <v>Series A</v>
      </c>
      <c r="F77" s="78">
        <f>Companies!F113</f>
        <v>32</v>
      </c>
      <c r="G77" s="78" t="str">
        <f>Companies!H113</f>
        <v>Parcel sorter</v>
      </c>
      <c r="H77" s="78" t="str">
        <f>Companies!I113</f>
        <v>David Gealy, Jeff Mahler, Ken Goldberg, Matt Matl, Stephen McKinley</v>
      </c>
      <c r="I77" s="78" t="str">
        <f>Companies!J113</f>
        <v>Hardware</v>
      </c>
      <c r="J77" s="78" t="str">
        <f>Companies!K113</f>
        <v>Robotics</v>
      </c>
      <c r="K77" s="78">
        <f>Companies!L113</f>
        <v>2018</v>
      </c>
      <c r="L77" s="78">
        <f>Companies!M113</f>
        <v>0</v>
      </c>
      <c r="M77" s="78" t="str">
        <f>Companies!N113</f>
        <v>Tiger, Bow Capital, Pitney Bowes, Ahren Innovation</v>
      </c>
      <c r="N77" s="78" t="str">
        <f>Companies!O113</f>
        <v>Series A</v>
      </c>
      <c r="O77" s="78">
        <f>Companies!P113</f>
        <v>26</v>
      </c>
      <c r="P77" s="78" t="str">
        <f>Companies!Q113</f>
        <v>Tiger, Vertex, The House Fund, Bow Capital</v>
      </c>
    </row>
    <row r="78" spans="2:16">
      <c r="B78" s="78" t="str">
        <f>Companies!B114</f>
        <v>D-ID.ai</v>
      </c>
      <c r="C78" s="78" t="str">
        <f>Companies!C114</f>
        <v>Private</v>
      </c>
      <c r="D78" s="78">
        <f>Companies!D114</f>
        <v>200</v>
      </c>
      <c r="E78" s="78" t="str">
        <f>Companies!E114</f>
        <v>Series B</v>
      </c>
      <c r="F78" s="78">
        <f>Companies!F114</f>
        <v>25</v>
      </c>
      <c r="G78" s="78" t="str">
        <f>Companies!H114</f>
        <v>Text-to-Video</v>
      </c>
      <c r="H78" s="78" t="str">
        <f>Companies!I114</f>
        <v>Eliran Kuta, Gil Perry, Sella Blondheim</v>
      </c>
      <c r="I78" s="78" t="str">
        <f>Companies!J114</f>
        <v>Enterprise</v>
      </c>
      <c r="J78" s="78" t="str">
        <f>Companies!K114</f>
        <v>Chatbot</v>
      </c>
      <c r="K78" s="78">
        <f>Companies!L114</f>
        <v>2017</v>
      </c>
      <c r="L78" s="78" t="str">
        <f>Companies!M114</f>
        <v>Impressive</v>
      </c>
      <c r="M78" s="78" t="str">
        <f>Companies!N114</f>
        <v>Macquarie Capital, OurCrowd, Pitango, OIF Ventures, Maverick, Marubeni, AXA Venture</v>
      </c>
      <c r="N78" s="78" t="str">
        <f>Companies!O114</f>
        <v>Series A</v>
      </c>
      <c r="O78" s="78">
        <f>Companies!P114</f>
        <v>13.5</v>
      </c>
      <c r="P78" s="78" t="str">
        <f>Companies!Q114</f>
        <v>AXA Venture, Omron Ventures, Mindset Ventures, Maverick Ventures, Hyundai, AI Alliance, Pitango</v>
      </c>
    </row>
    <row r="79" spans="2:16">
      <c r="B79" s="78" t="str">
        <f>Companies!B115</f>
        <v>John Snow Labs</v>
      </c>
      <c r="C79" s="78" t="str">
        <f>Companies!C115</f>
        <v>Private</v>
      </c>
      <c r="D79" s="78" t="str">
        <f>Companies!D115</f>
        <v>N/A</v>
      </c>
      <c r="E79" s="78" t="str">
        <f>Companies!E115</f>
        <v>No Investors</v>
      </c>
      <c r="F79" s="78" t="str">
        <f>Companies!F115</f>
        <v>N/A</v>
      </c>
      <c r="G79" s="78" t="str">
        <f>Companies!H115</f>
        <v>Healthcare LLM</v>
      </c>
      <c r="H79" s="78" t="str">
        <f>Companies!I115</f>
        <v>N/A</v>
      </c>
      <c r="I79" s="78" t="str">
        <f>Companies!J115</f>
        <v>Enterprise</v>
      </c>
      <c r="J79" s="78" t="str">
        <f>Companies!K115</f>
        <v>Healthcare</v>
      </c>
      <c r="K79" s="78">
        <f>Companies!L115</f>
        <v>2015</v>
      </c>
      <c r="L79" s="78" t="str">
        <f>Companies!M115</f>
        <v>private and profitable, no investors or debt'</v>
      </c>
      <c r="M79" s="78" t="str">
        <f>Companies!N115</f>
        <v>N/A</v>
      </c>
      <c r="N79" s="78" t="str">
        <f>Companies!O115</f>
        <v>N/A</v>
      </c>
      <c r="O79" s="78" t="str">
        <f>Companies!P115</f>
        <v>N/A</v>
      </c>
      <c r="P79" s="78" t="str">
        <f>Companies!Q115</f>
        <v>N/A</v>
      </c>
    </row>
    <row r="80" spans="2:16">
      <c r="B80" s="78" t="str">
        <f>Companies!B116</f>
        <v>Langchain</v>
      </c>
      <c r="C80" s="78" t="str">
        <f>Companies!C116</f>
        <v>Private</v>
      </c>
      <c r="D80" s="78">
        <f>Companies!D116</f>
        <v>200</v>
      </c>
      <c r="E80" s="78" t="str">
        <f>Companies!E116</f>
        <v>Seed</v>
      </c>
      <c r="F80" s="78">
        <f>Companies!F116</f>
        <v>10</v>
      </c>
      <c r="G80" s="78" t="str">
        <f>Companies!H116</f>
        <v>Popular tool</v>
      </c>
      <c r="H80" s="78" t="str">
        <f>Companies!I116</f>
        <v>Harrison Chase</v>
      </c>
      <c r="I80" s="78" t="str">
        <f>Companies!J116</f>
        <v>Tool</v>
      </c>
      <c r="J80" s="78" t="str">
        <f>Companies!K116</f>
        <v>Prompt</v>
      </c>
      <c r="K80" s="78">
        <f>Companies!L116</f>
        <v>41275</v>
      </c>
      <c r="L80" s="78" t="str">
        <f>Companies!M116</f>
        <v>Raising $20m from Sequoia</v>
      </c>
      <c r="M80" s="78" t="str">
        <f>Companies!N116</f>
        <v>Benchmark</v>
      </c>
      <c r="N80" s="78" t="str">
        <f>Companies!O116</f>
        <v>N/A</v>
      </c>
      <c r="O80" s="78" t="str">
        <f>Companies!P116</f>
        <v>N/A</v>
      </c>
      <c r="P80" s="78" t="str">
        <f>Companies!Q116</f>
        <v>N/A</v>
      </c>
    </row>
    <row r="81" spans="2:16">
      <c r="B81" s="78" t="str">
        <f>Companies!B117</f>
        <v>Perplexity AI</v>
      </c>
      <c r="C81" s="78" t="str">
        <f>Companies!C117</f>
        <v>Private</v>
      </c>
      <c r="D81" s="78">
        <f>Companies!D117</f>
        <v>150</v>
      </c>
      <c r="E81" s="78" t="str">
        <f>Companies!E117</f>
        <v>Series A</v>
      </c>
      <c r="F81" s="78">
        <f>Companies!F117</f>
        <v>26</v>
      </c>
      <c r="G81" s="78" t="str">
        <f>Companies!H117</f>
        <v>Search engine</v>
      </c>
      <c r="H81" s="78" t="str">
        <f>Companies!I117</f>
        <v>Andy Konwinski</v>
      </c>
      <c r="I81" s="78" t="str">
        <f>Companies!J117</f>
        <v>Consumer</v>
      </c>
      <c r="J81" s="78" t="str">
        <f>Companies!K117</f>
        <v>Search</v>
      </c>
      <c r="K81" s="78">
        <f>Companies!L117</f>
        <v>2022</v>
      </c>
      <c r="L81" s="78" t="str">
        <f>Companies!M117</f>
        <v>AI Grant batch 1</v>
      </c>
      <c r="M81" s="78" t="str">
        <f>Companies!N117</f>
        <v>Susan Wojcicki, Soleio Cuervo, Paul Buchheit, NEA, Nat Friedman, Jeff Dean, Elad Gil, Databricks, Bob Muglia</v>
      </c>
      <c r="N81" s="78" t="str">
        <f>Companies!O117</f>
        <v>Seed</v>
      </c>
      <c r="O81" s="78">
        <f>Companies!P117</f>
        <v>3.1</v>
      </c>
      <c r="P81" s="78" t="str">
        <f>Companies!Q117</f>
        <v>Elad Gil, Yann LeCun, Pieter Abbeel, Oriol Vinyals, Nat Friedman, Clement Delangue, Ashish Vaswani, Andrej Karpathy, Amjad Masad</v>
      </c>
    </row>
    <row r="82" spans="2:16">
      <c r="B82" s="78" t="str">
        <f>Companies!B118</f>
        <v>Weaviate</v>
      </c>
      <c r="C82" s="78" t="str">
        <f>Companies!C118</f>
        <v>Private</v>
      </c>
      <c r="D82" s="78">
        <f>Companies!D118</f>
        <v>150</v>
      </c>
      <c r="E82" s="78" t="str">
        <f>Companies!E118</f>
        <v>Series B</v>
      </c>
      <c r="F82" s="78">
        <f>Companies!F118</f>
        <v>60</v>
      </c>
      <c r="G82" s="78" t="str">
        <f>Companies!H118</f>
        <v>Vector Database</v>
      </c>
      <c r="H82" s="78">
        <f>Companies!I118</f>
        <v>0</v>
      </c>
      <c r="I82" s="78" t="str">
        <f>Companies!J118</f>
        <v>Tool</v>
      </c>
      <c r="J82" s="78" t="str">
        <f>Companies!K118</f>
        <v>Vector Store</v>
      </c>
      <c r="K82" s="78" t="str">
        <f>Companies!L118</f>
        <v>2019</v>
      </c>
      <c r="L82" s="78">
        <f>Companies!M118</f>
        <v>0</v>
      </c>
      <c r="M82" s="78" t="str">
        <f>Companies!N118</f>
        <v>Index Ventures, NEA, Battery Ventures, Cortical Ventures, ING Ventures, Zetta Venture Partners</v>
      </c>
      <c r="N82" s="78" t="str">
        <f>Companies!O118</f>
        <v>Series A</v>
      </c>
      <c r="O82" s="78">
        <f>Companies!P118</f>
        <v>16.5</v>
      </c>
      <c r="P82" s="78" t="str">
        <f>Companies!Q118</f>
        <v>NEA, Cortical Ventures, Zetta, SAV, ING Ventures, GTMfund</v>
      </c>
    </row>
    <row r="83" spans="2:16">
      <c r="B83" s="78" t="str">
        <f>Companies!B119</f>
        <v>AI Rudder</v>
      </c>
      <c r="C83" s="78" t="str">
        <f>Companies!C119</f>
        <v>Private</v>
      </c>
      <c r="D83" s="78">
        <f>Companies!D119</f>
        <v>150</v>
      </c>
      <c r="E83" s="78" t="str">
        <f>Companies!E119</f>
        <v>Series B</v>
      </c>
      <c r="F83" s="78">
        <f>Companies!F119</f>
        <v>50</v>
      </c>
      <c r="G83" s="78" t="str">
        <f>Companies!H119</f>
        <v>Singaporean GPT call centers</v>
      </c>
      <c r="H83" s="78">
        <f>Companies!I119</f>
        <v>0</v>
      </c>
      <c r="I83" s="78" t="str">
        <f>Companies!J119</f>
        <v>Tool</v>
      </c>
      <c r="J83" s="78" t="str">
        <f>Companies!K119</f>
        <v>Call Center</v>
      </c>
      <c r="K83" s="78">
        <f>Companies!L119</f>
        <v>43647</v>
      </c>
      <c r="L83" s="78">
        <f>Companies!M119</f>
        <v>0</v>
      </c>
      <c r="M83" s="78" t="str">
        <f>Companies!N119</f>
        <v>VenturesLab, Tiger, Peak XV, Huashan Capital, First Plus, Coatue, Cathay Innovation</v>
      </c>
      <c r="N83" s="78" t="str">
        <f>Companies!O119</f>
        <v>Series A</v>
      </c>
      <c r="O83" s="78">
        <f>Companies!P119</f>
        <v>10</v>
      </c>
      <c r="P83" s="78" t="str">
        <f>Companies!Q119</f>
        <v>Sequoia Capital China, Peak XV, Zizhu Xiaomiao Fund, ZhenFund, IMO Ventures, Huashan Capital</v>
      </c>
    </row>
    <row r="84" spans="2:16">
      <c r="B84" s="78" t="str">
        <f>Companies!B120</f>
        <v>HarveyAI</v>
      </c>
      <c r="C84" s="78" t="str">
        <f>Companies!C120</f>
        <v>Private</v>
      </c>
      <c r="D84" s="78">
        <f>Companies!D120</f>
        <v>150</v>
      </c>
      <c r="E84" s="78" t="str">
        <f>Companies!E120</f>
        <v>Series A</v>
      </c>
      <c r="F84" s="78">
        <f>Companies!F120</f>
        <v>21</v>
      </c>
      <c r="G84" s="78" t="str">
        <f>Companies!H120</f>
        <v>GPT Lawyer</v>
      </c>
      <c r="H84" s="78" t="str">
        <f>Companies!I120</f>
        <v>Gabriel Pereyra, Winston Weinberg</v>
      </c>
      <c r="I84" s="78" t="str">
        <f>Companies!J120</f>
        <v>Enterprise</v>
      </c>
      <c r="J84" s="78" t="str">
        <f>Companies!K120</f>
        <v>Legal</v>
      </c>
      <c r="K84" s="78">
        <f>Companies!L120</f>
        <v>44562</v>
      </c>
      <c r="L84" s="78" t="str">
        <f>Companies!M120</f>
        <v>15000 waiting list</v>
      </c>
      <c r="M84" s="78" t="str">
        <f>Companies!N120</f>
        <v>Sequoia, OpenAI, Conviction VC, SVA, Elad Gil</v>
      </c>
      <c r="N84" s="78" t="str">
        <f>Companies!O120</f>
        <v>Seed</v>
      </c>
      <c r="O84" s="78">
        <f>Companies!P120</f>
        <v>5</v>
      </c>
      <c r="P84" s="78" t="str">
        <f>Companies!Q120</f>
        <v>OpenAI, Jeff Dean, Elad Gil</v>
      </c>
    </row>
    <row r="85" spans="2:16">
      <c r="B85" s="78" t="str">
        <f>Companies!B121</f>
        <v>Kumo.AI</v>
      </c>
      <c r="C85" s="78" t="str">
        <f>Companies!C121</f>
        <v>Private</v>
      </c>
      <c r="D85" s="78">
        <f>Companies!D121</f>
        <v>150</v>
      </c>
      <c r="E85" s="78" t="str">
        <f>Companies!E121</f>
        <v>Series B</v>
      </c>
      <c r="F85" s="78">
        <f>Companies!F121</f>
        <v>18</v>
      </c>
      <c r="G85" s="78" t="str">
        <f>Companies!H121</f>
        <v>Revenue/BI</v>
      </c>
      <c r="H85" s="78" t="str">
        <f>Companies!I121</f>
        <v>Dong Wang, Hema Raghavan, Jure Leskovec, Vanja Josifovski</v>
      </c>
      <c r="I85" s="78" t="str">
        <f>Companies!J121</f>
        <v>Enterprise</v>
      </c>
      <c r="J85" s="78" t="str">
        <f>Companies!K121</f>
        <v>Business Intelligence</v>
      </c>
      <c r="K85" s="78">
        <f>Companies!L121</f>
        <v>2021</v>
      </c>
      <c r="L85" s="78">
        <f>Companies!M121</f>
        <v>0</v>
      </c>
      <c r="M85" s="78" t="str">
        <f>Companies!N121</f>
        <v>Sequoia Capital, SVA, A.Capital Ventures, Ronald Conway, Michael Stoppelman, Michael Ovitz, Kevin Hartz, Frank Slootman, Clement Delangue</v>
      </c>
      <c r="N85" s="78" t="str">
        <f>Companies!O121</f>
        <v>Series A</v>
      </c>
      <c r="O85" s="78">
        <f>Companies!P121</f>
        <v>18.5</v>
      </c>
      <c r="P85" s="78" t="str">
        <f>Companies!Q121</f>
        <v>Sequoia, SVA, A.Capital, Tristan handy, Sridhar Ramaswamy, Ronald Conway, Rob Eldridge, Li Fan, Igor Perisic, Greg Greeley, David Chaiken, Cory Scott</v>
      </c>
    </row>
    <row r="86" spans="2:16">
      <c r="B86" s="78" t="str">
        <f>Companies!B122</f>
        <v>AssemblyAI</v>
      </c>
      <c r="C86" s="78" t="str">
        <f>Companies!C122</f>
        <v>Private</v>
      </c>
      <c r="D86" s="78">
        <f>Companies!D122</f>
        <v>150</v>
      </c>
      <c r="E86" s="78" t="str">
        <f>Companies!E122</f>
        <v>Series B</v>
      </c>
      <c r="F86" s="78">
        <f>Companies!F122</f>
        <v>30</v>
      </c>
      <c r="G86" s="78" t="str">
        <f>Companies!H122</f>
        <v>Audio transcription</v>
      </c>
      <c r="H86" s="78" t="str">
        <f>Companies!I122</f>
        <v>Dylan Fox</v>
      </c>
      <c r="I86" s="78" t="str">
        <f>Companies!J122</f>
        <v>Enterprise</v>
      </c>
      <c r="J86" s="78" t="str">
        <f>Companies!K122</f>
        <v>Audio</v>
      </c>
      <c r="K86" s="78">
        <f>Companies!L122</f>
        <v>2017</v>
      </c>
      <c r="L86" s="78">
        <f>Companies!M122</f>
        <v>0</v>
      </c>
      <c r="M86" s="78" t="str">
        <f>Companies!N122</f>
        <v>Insight Partners, Y Combinator, TechNexus, Accel</v>
      </c>
      <c r="N86" s="78" t="str">
        <f>Companies!O122</f>
        <v>Series A</v>
      </c>
      <c r="O86" s="78">
        <f>Companies!P122</f>
        <v>28</v>
      </c>
      <c r="P86" s="78" t="str">
        <f>Companies!Q122</f>
        <v>Accel, Y Combinator, TechNexus, Nat Friedman, John Collison, Daniel Gross</v>
      </c>
    </row>
    <row r="87" spans="2:16">
      <c r="B87" s="78" t="str">
        <f>Companies!B123</f>
        <v>Lightning AI</v>
      </c>
      <c r="C87" s="78" t="str">
        <f>Companies!C123</f>
        <v>Private</v>
      </c>
      <c r="D87" s="78">
        <f>Companies!D123</f>
        <v>150</v>
      </c>
      <c r="E87" s="78" t="str">
        <f>Companies!E123</f>
        <v>Series B</v>
      </c>
      <c r="F87" s="78">
        <f>Companies!F123</f>
        <v>40</v>
      </c>
      <c r="G87" s="78" t="str">
        <f>Companies!H123</f>
        <v>PyTorch Lightning</v>
      </c>
      <c r="H87" s="78">
        <f>Companies!I123</f>
        <v>0</v>
      </c>
      <c r="I87" s="78" t="str">
        <f>Companies!J123</f>
        <v>Tool</v>
      </c>
      <c r="J87" s="78" t="str">
        <f>Companies!K123</f>
        <v>MLOps</v>
      </c>
      <c r="K87" s="78" t="str">
        <f>Companies!L123</f>
        <v>2019</v>
      </c>
      <c r="L87" s="78">
        <f>Companies!M123</f>
        <v>0</v>
      </c>
      <c r="M87" s="78" t="str">
        <f>Companies!N123</f>
        <v>Coatue, Mantis, Index, Firstminute, Bain</v>
      </c>
      <c r="N87" s="78" t="str">
        <f>Companies!O123</f>
        <v>Series A</v>
      </c>
      <c r="O87" s="78">
        <f>Companies!P123</f>
        <v>18.600000000000001</v>
      </c>
      <c r="P87" s="78" t="str">
        <f>Companies!Q123</f>
        <v>Index, Firstminute, Bain</v>
      </c>
    </row>
    <row r="88" spans="2:16">
      <c r="B88" s="78" t="str">
        <f>Companies!B124</f>
        <v>Skan.ai</v>
      </c>
      <c r="C88" s="78" t="str">
        <f>Companies!C124</f>
        <v>Private</v>
      </c>
      <c r="D88" s="78">
        <f>Companies!D124</f>
        <v>150</v>
      </c>
      <c r="E88" s="78" t="str">
        <f>Companies!E124</f>
        <v>Series B</v>
      </c>
      <c r="F88" s="78">
        <f>Companies!F124</f>
        <v>40</v>
      </c>
      <c r="G88" s="78">
        <f>Companies!H124</f>
        <v>0</v>
      </c>
      <c r="H88" s="78">
        <f>Companies!I124</f>
        <v>0</v>
      </c>
      <c r="I88" s="78" t="str">
        <f>Companies!J124</f>
        <v>Enterprise</v>
      </c>
      <c r="J88" s="78" t="str">
        <f>Companies!K124</f>
        <v>Business Intelligence</v>
      </c>
      <c r="K88" s="78">
        <f>Companies!L124</f>
        <v>43361</v>
      </c>
      <c r="L88" s="78">
        <f>Companies!M124</f>
        <v>0</v>
      </c>
      <c r="M88" s="78" t="str">
        <f>Companies!N124</f>
        <v>Dell, Zetta, Liberty Global Ventures, GSR Ventures, Firebolt Ventures, Citi Ventures, Cathay Innovation</v>
      </c>
      <c r="N88" s="78" t="str">
        <f>Companies!O124</f>
        <v>Series A</v>
      </c>
      <c r="O88" s="78">
        <f>Companies!P124</f>
        <v>14</v>
      </c>
      <c r="P88" s="78" t="str">
        <f>Companies!Q124</f>
        <v>Cathay Innovation, Zetta, Plug and Play, Firebolt, Citi, Bloomberg Beta</v>
      </c>
    </row>
    <row r="89" spans="2:16">
      <c r="B89" s="78" t="str">
        <f>Companies!B125</f>
        <v>Sima.AI</v>
      </c>
      <c r="C89" s="78" t="str">
        <f>Companies!C125</f>
        <v>Private</v>
      </c>
      <c r="D89" s="78">
        <f>Companies!D125</f>
        <v>150</v>
      </c>
      <c r="E89" s="78" t="str">
        <f>Companies!E125</f>
        <v>Series B</v>
      </c>
      <c r="F89" s="78">
        <f>Companies!F125</f>
        <v>13</v>
      </c>
      <c r="G89" s="78" t="str">
        <f>Companies!H125</f>
        <v>Palette, semiconductors</v>
      </c>
      <c r="H89" s="78" t="str">
        <f>Companies!I125</f>
        <v>Krishna Rangasayee, Steven J. Rosston</v>
      </c>
      <c r="I89" s="78" t="str">
        <f>Companies!J125</f>
        <v>Hardware</v>
      </c>
      <c r="J89" s="78" t="str">
        <f>Companies!K125</f>
        <v>Compute</v>
      </c>
      <c r="K89" s="78">
        <f>Companies!L125</f>
        <v>43405</v>
      </c>
      <c r="L89" s="78">
        <f>Companies!M125</f>
        <v>0</v>
      </c>
      <c r="M89" s="78" t="str">
        <f>Companies!N125</f>
        <v>VentureTech Alliance, Navin Chaddha</v>
      </c>
      <c r="N89" s="78" t="str">
        <f>Companies!O125</f>
        <v>Series B</v>
      </c>
      <c r="O89" s="78">
        <f>Companies!P125</f>
        <v>37</v>
      </c>
      <c r="P89" s="78" t="str">
        <f>Companies!Q125</f>
        <v>MSD Partners, Wing Venture Capital, +ND Capital, Fidelity, Dell, Amplify Partners, Alter Venture Partners, Lip-Bu Tan</v>
      </c>
    </row>
    <row r="90" spans="2:16">
      <c r="B90" s="78" t="str">
        <f>Companies!B126</f>
        <v>Seekr Technologies</v>
      </c>
      <c r="C90" s="78" t="str">
        <f>Companies!C126</f>
        <v>Private</v>
      </c>
      <c r="D90" s="78">
        <f>Companies!D126</f>
        <v>125</v>
      </c>
      <c r="E90" s="78" t="str">
        <f>Companies!E126</f>
        <v>Series A</v>
      </c>
      <c r="F90" s="78">
        <f>Companies!F126</f>
        <v>65</v>
      </c>
      <c r="G90" s="78" t="str">
        <f>Companies!H126</f>
        <v>Search engine</v>
      </c>
      <c r="H90" s="78" t="str">
        <f>Companies!I126</f>
        <v>Pat Condo</v>
      </c>
      <c r="I90" s="78" t="str">
        <f>Companies!J126</f>
        <v>Consumer</v>
      </c>
      <c r="J90" s="78" t="str">
        <f>Companies!K126</f>
        <v>Search</v>
      </c>
      <c r="K90" s="78">
        <f>Companies!L126</f>
        <v>44228</v>
      </c>
      <c r="L90" s="78">
        <f>Companies!M126</f>
        <v>0</v>
      </c>
      <c r="M90" s="78" t="str">
        <f>Companies!N126</f>
        <v>N/A</v>
      </c>
      <c r="N90" s="78" t="str">
        <f>Companies!O126</f>
        <v>N/A</v>
      </c>
      <c r="O90" s="78" t="str">
        <f>Companies!P126</f>
        <v>N/A</v>
      </c>
      <c r="P90" s="78" t="str">
        <f>Companies!Q126</f>
        <v>N/A</v>
      </c>
    </row>
    <row r="91" spans="2:16">
      <c r="B91" s="78" t="str">
        <f>Companies!B127</f>
        <v>Landing AI</v>
      </c>
      <c r="C91" s="78" t="str">
        <f>Companies!C127</f>
        <v>Private</v>
      </c>
      <c r="D91" s="78">
        <f>Companies!D127</f>
        <v>150</v>
      </c>
      <c r="E91" s="78" t="str">
        <f>Companies!E127</f>
        <v>Series A</v>
      </c>
      <c r="F91" s="78">
        <f>Companies!F127</f>
        <v>57</v>
      </c>
      <c r="G91" s="78" t="str">
        <f>Companies!H127</f>
        <v>Visual inspection for manufacturing</v>
      </c>
      <c r="H91" s="78" t="str">
        <f>Companies!I127</f>
        <v>Andrew Ng</v>
      </c>
      <c r="I91" s="78" t="str">
        <f>Companies!J127</f>
        <v>Enterprise</v>
      </c>
      <c r="J91" s="78" t="str">
        <f>Companies!K127</f>
        <v>Manufacturing</v>
      </c>
      <c r="K91" s="78">
        <f>Companies!L127</f>
        <v>2017</v>
      </c>
      <c r="L91" s="78">
        <f>Companies!M127</f>
        <v>0</v>
      </c>
      <c r="M91" s="78" t="str">
        <f>Companies!N127</f>
        <v>McRock Capital, AI Fund, CPPIB, DRIVE Catalyst, Insight Partners, Intel Capital, Samsung Catalyst Fund, Taiwania Capital Management, Walsin Lihwa</v>
      </c>
      <c r="N91" s="78" t="str">
        <f>Companies!O127</f>
        <v>Seed</v>
      </c>
      <c r="O91" s="78" t="str">
        <f>Companies!P127</f>
        <v>N/A</v>
      </c>
      <c r="P91" s="78" t="str">
        <f>Companies!Q127</f>
        <v>Intel Capital, Samsung, Lenovo, AI Fund</v>
      </c>
    </row>
    <row r="92" spans="2:16">
      <c r="B92" s="78" t="str">
        <f>Companies!B128</f>
        <v>d-Matrix</v>
      </c>
      <c r="C92" s="78" t="str">
        <f>Companies!C128</f>
        <v>Private</v>
      </c>
      <c r="D92" s="78">
        <f>Companies!D128</f>
        <v>125</v>
      </c>
      <c r="E92" s="78" t="str">
        <f>Companies!E128</f>
        <v>Series A</v>
      </c>
      <c r="F92" s="78">
        <f>Companies!F128</f>
        <v>44</v>
      </c>
      <c r="G92" s="78" t="str">
        <f>Companies!H128</f>
        <v>AI Chip</v>
      </c>
      <c r="H92" s="78" t="str">
        <f>Companies!I128</f>
        <v>Sid Sheth</v>
      </c>
      <c r="I92" s="78" t="str">
        <f>Companies!J128</f>
        <v>Tool</v>
      </c>
      <c r="J92" s="78" t="str">
        <f>Companies!K128</f>
        <v>Compute</v>
      </c>
      <c r="K92" s="78" t="str">
        <f>Companies!L128</f>
        <v>2019</v>
      </c>
      <c r="L92" s="78" t="str">
        <f>Companies!M128</f>
        <v>AI Chip</v>
      </c>
      <c r="M92" s="78" t="str">
        <f>Companies!N128</f>
        <v>SK Hynix, Playground Global, Microsoft, Nautilus Venture Partners, Marvell, Entrada Ventures</v>
      </c>
      <c r="N92" s="78" t="str">
        <f>Companies!O128</f>
        <v>Note</v>
      </c>
      <c r="O92" s="78" t="str">
        <f>Companies!P128</f>
        <v>N/A</v>
      </c>
      <c r="P92" s="78" t="str">
        <f>Companies!Q128</f>
        <v>TSVC</v>
      </c>
    </row>
    <row r="93" spans="2:16">
      <c r="B93" s="78" t="str">
        <f>Companies!B129</f>
        <v>Fiddler AI</v>
      </c>
      <c r="C93" s="78" t="str">
        <f>Companies!C129</f>
        <v>Private</v>
      </c>
      <c r="D93" s="78">
        <f>Companies!D129</f>
        <v>125</v>
      </c>
      <c r="E93" s="78" t="str">
        <f>Companies!E129</f>
        <v>Series B</v>
      </c>
      <c r="F93" s="78">
        <f>Companies!F129</f>
        <v>32</v>
      </c>
      <c r="G93" s="78" t="str">
        <f>Companies!H129</f>
        <v>Observability</v>
      </c>
      <c r="H93" s="78" t="str">
        <f>Companies!I129</f>
        <v>Amit Paka, Krishna Gade, Manoj Cheenath</v>
      </c>
      <c r="I93" s="78" t="str">
        <f>Companies!J129</f>
        <v>Enterprise</v>
      </c>
      <c r="J93" s="78" t="str">
        <f>Companies!K129</f>
        <v>MLOps</v>
      </c>
      <c r="K93" s="78">
        <f>Companies!L129</f>
        <v>2018</v>
      </c>
      <c r="L93" s="78">
        <f>Companies!M129</f>
        <v>0</v>
      </c>
      <c r="M93" s="78" t="str">
        <f>Companies!N129</f>
        <v>Insight Partners, Lux Capital, Lockheed Martin Ventures, Lightspeed Venture Partners, Haystack, Bossanova, Bloomberg Beta, Amazon Alexa Fund, Alteryx</v>
      </c>
      <c r="N93" s="78" t="str">
        <f>Companies!O129</f>
        <v>Series A</v>
      </c>
      <c r="O93" s="78">
        <f>Companies!P129</f>
        <v>10.199999999999999</v>
      </c>
      <c r="P93" s="78" t="str">
        <f>Companies!Q129</f>
        <v>Lux Capital, Lightspeed Venture Partners, Haystack, Bloomberg Beta</v>
      </c>
    </row>
    <row r="94" spans="2:16">
      <c r="B94" s="78" t="str">
        <f>Companies!B130</f>
        <v>Generally Intelligent</v>
      </c>
      <c r="C94" s="78" t="str">
        <f>Companies!C130</f>
        <v>Private</v>
      </c>
      <c r="D94" s="78">
        <f>Companies!D130</f>
        <v>125</v>
      </c>
      <c r="E94" s="78" t="str">
        <f>Companies!E130</f>
        <v>Series A</v>
      </c>
      <c r="F94" s="78">
        <f>Companies!F130</f>
        <v>20</v>
      </c>
      <c r="G94" s="78" t="str">
        <f>Companies!H130</f>
        <v>Crackhead stuff, I love it</v>
      </c>
      <c r="H94" s="78" t="str">
        <f>Companies!I130</f>
        <v>Kanjun Qiu, Josh Albrecht</v>
      </c>
      <c r="I94" s="78" t="str">
        <f>Companies!J130</f>
        <v>Stealth</v>
      </c>
      <c r="J94" s="78" t="str">
        <f>Companies!K130</f>
        <v>AGI</v>
      </c>
      <c r="K94" s="78">
        <f>Companies!L130</f>
        <v>2021</v>
      </c>
      <c r="L94" s="78">
        <f>Companies!M130</f>
        <v>0</v>
      </c>
      <c r="M94" s="78" t="str">
        <f>Companies!N130</f>
        <v>Lightspeed, YC, Threshold Ventures, Tom Brown, Jonas Schneider, Drew Houston, Astera Institute, Arash Ferdowsi</v>
      </c>
      <c r="N94" s="78" t="str">
        <f>Companies!O130</f>
        <v>Seed</v>
      </c>
      <c r="O94" s="78" t="str">
        <f>Companies!P130</f>
        <v>N/A</v>
      </c>
      <c r="P94" s="78" t="str">
        <f>Companies!Q130</f>
        <v>YC</v>
      </c>
    </row>
    <row r="95" spans="2:16">
      <c r="B95" s="78" t="str">
        <f>Companies!B131</f>
        <v>Arize AI</v>
      </c>
      <c r="C95" s="78" t="str">
        <f>Companies!C131</f>
        <v>Private</v>
      </c>
      <c r="D95" s="78">
        <f>Companies!D131</f>
        <v>125</v>
      </c>
      <c r="E95" s="78" t="str">
        <f>Companies!E131</f>
        <v>Series B</v>
      </c>
      <c r="F95" s="78">
        <f>Companies!F131</f>
        <v>38</v>
      </c>
      <c r="G95" s="78" t="str">
        <f>Companies!H131</f>
        <v>Observability &amp; Monitoring</v>
      </c>
      <c r="H95" s="78" t="str">
        <f>Companies!I131</f>
        <v>Aparna Dhinakaran, Jason Lopatecki</v>
      </c>
      <c r="I95" s="78" t="str">
        <f>Companies!J131</f>
        <v>Tool</v>
      </c>
      <c r="J95" s="78" t="str">
        <f>Companies!K131</f>
        <v>MLOps</v>
      </c>
      <c r="K95" s="78" t="str">
        <f>Companies!L131</f>
        <v>2020</v>
      </c>
      <c r="L95" s="78">
        <f>Companies!M131</f>
        <v>0</v>
      </c>
      <c r="M95" s="78" t="str">
        <f>Companies!N131</f>
        <v>TCV, Swift Ventures, Foundation Capital, Battery Ventures</v>
      </c>
      <c r="N95" s="78" t="str">
        <f>Companies!O131</f>
        <v>Series A</v>
      </c>
      <c r="O95" s="78">
        <f>Companies!P131</f>
        <v>19</v>
      </c>
      <c r="P95" s="78" t="str">
        <f>Companies!Q131</f>
        <v>Battery Ventures, Trinity Ventures, The House Fund, Swift Ventures, Foundation Capital</v>
      </c>
    </row>
    <row r="96" spans="2:16">
      <c r="B96" s="78" t="str">
        <f>Companies!B132</f>
        <v>Hippocratic</v>
      </c>
      <c r="C96" s="78" t="str">
        <f>Companies!C132</f>
        <v>Private</v>
      </c>
      <c r="D96" s="78">
        <f>Companies!D132</f>
        <v>100</v>
      </c>
      <c r="E96" s="78" t="str">
        <f>Companies!E132</f>
        <v>Seed</v>
      </c>
      <c r="F96" s="78">
        <f>Companies!F132</f>
        <v>50</v>
      </c>
      <c r="G96" s="78" t="str">
        <f>Companies!H132</f>
        <v>Healthcare LLM</v>
      </c>
      <c r="H96" s="78" t="str">
        <f>Companies!I132</f>
        <v>Alex Miller, Munjal Shah, Vishal Parikh</v>
      </c>
      <c r="I96" s="78" t="str">
        <f>Companies!J132</f>
        <v>Enterprise</v>
      </c>
      <c r="J96" s="78" t="str">
        <f>Companies!K132</f>
        <v>Healthcare</v>
      </c>
      <c r="K96" s="78" t="str">
        <f>Companies!L132</f>
        <v>2022</v>
      </c>
      <c r="L96" s="78">
        <f>Companies!M132</f>
        <v>0</v>
      </c>
      <c r="M96" s="78" t="str">
        <f>Companies!N132</f>
        <v>General Analyst, a16z</v>
      </c>
      <c r="N96" s="78" t="str">
        <f>Companies!O132</f>
        <v>N/A</v>
      </c>
      <c r="O96" s="78" t="str">
        <f>Companies!P132</f>
        <v>N/A</v>
      </c>
      <c r="P96" s="78" t="str">
        <f>Companies!Q132</f>
        <v>N/A</v>
      </c>
    </row>
    <row r="97" spans="2:16">
      <c r="B97" s="78" t="str">
        <f>Companies!B133</f>
        <v>Datagen</v>
      </c>
      <c r="C97" s="78" t="str">
        <f>Companies!C133</f>
        <v>Private</v>
      </c>
      <c r="D97" s="78">
        <f>Companies!D133</f>
        <v>100</v>
      </c>
      <c r="E97" s="78" t="str">
        <f>Companies!E133</f>
        <v>Series B</v>
      </c>
      <c r="F97" s="78">
        <f>Companies!F133</f>
        <v>50</v>
      </c>
      <c r="G97" s="78" t="str">
        <f>Companies!H133</f>
        <v>Synthetic character library, mainly enterprise but very cool</v>
      </c>
      <c r="H97" s="78" t="str">
        <f>Companies!I133</f>
        <v>Gil Elbaz</v>
      </c>
      <c r="I97" s="78" t="str">
        <f>Companies!J133</f>
        <v>Tool</v>
      </c>
      <c r="J97" s="78" t="str">
        <f>Companies!K133</f>
        <v>Avatars</v>
      </c>
      <c r="K97" s="78" t="str">
        <f>Companies!L133</f>
        <v>2018</v>
      </c>
      <c r="L97" s="78">
        <f>Companies!M133</f>
        <v>0</v>
      </c>
      <c r="M97" s="78" t="str">
        <f>Companies!N133</f>
        <v>Scale Venture Partners, Viola Ventures, TLV Partners, Spider Capital</v>
      </c>
      <c r="N97" s="78" t="str">
        <f>Companies!O133</f>
        <v>Series A</v>
      </c>
      <c r="O97" s="78">
        <f>Companies!P133</f>
        <v>18.5</v>
      </c>
      <c r="P97" s="78" t="str">
        <f>Companies!Q133</f>
        <v>Viola Ventures, TLV Partners, Spider Capital, Operator Partners, Matias Ventures, Michael Black</v>
      </c>
    </row>
    <row r="98" spans="2:16">
      <c r="B98" s="78" t="str">
        <f>Companies!B134</f>
        <v>Inworld</v>
      </c>
      <c r="C98" s="78" t="str">
        <f>Companies!C134</f>
        <v>Private</v>
      </c>
      <c r="D98" s="78">
        <f>Companies!D134</f>
        <v>100</v>
      </c>
      <c r="E98" s="78" t="str">
        <f>Companies!E134</f>
        <v>Series A</v>
      </c>
      <c r="F98" s="78">
        <f>Companies!F134</f>
        <v>50</v>
      </c>
      <c r="G98" s="78" t="str">
        <f>Companies!H134</f>
        <v>Character templates for NPCs</v>
      </c>
      <c r="H98" s="78" t="str">
        <f>Companies!I134</f>
        <v>Ilya Gelfenbeyn, Kylan Gibbs, Michael Ermolenko</v>
      </c>
      <c r="I98" s="78" t="str">
        <f>Companies!J134</f>
        <v>Consumer</v>
      </c>
      <c r="J98" s="78" t="str">
        <f>Companies!K134</f>
        <v>Gaming</v>
      </c>
      <c r="K98" s="78">
        <f>Companies!L134</f>
        <v>44378</v>
      </c>
      <c r="L98" s="78">
        <f>Companies!M134</f>
        <v>0</v>
      </c>
      <c r="M98" s="78" t="str">
        <f>Companies!N134</f>
        <v>Intel Capital, Section 32, The Venture Reality Fund, SK, NTT Docomo Ventures, Micron Ventures, Microsoft, LG Technology Ventures, Kleiner Perkins, HTC, Founders Fund, First Spark Ventures, CRV, Bitkraft Ventures</v>
      </c>
      <c r="N98" s="78" t="str">
        <f>Companies!O134</f>
        <v>Seed</v>
      </c>
      <c r="O98" s="78">
        <f>Companies!P134</f>
        <v>12.5</v>
      </c>
      <c r="P98" s="78" t="str">
        <f>Companies!Q134</f>
        <v>Bitkraft Ventures, Disney, The Venture Reality Fund, Nate Mitchell, NaHC03, Microsoft, Kleiner Perkins, CRV</v>
      </c>
    </row>
    <row r="99" spans="2:16">
      <c r="B99" s="78" t="str">
        <f>Companies!B135</f>
        <v>Wizard</v>
      </c>
      <c r="C99" s="78" t="str">
        <f>Companies!C135</f>
        <v>Private</v>
      </c>
      <c r="D99" s="78">
        <f>Companies!D135</f>
        <v>100</v>
      </c>
      <c r="E99" s="78" t="str">
        <f>Companies!E135</f>
        <v>Series A</v>
      </c>
      <c r="F99" s="78">
        <f>Companies!F135</f>
        <v>50</v>
      </c>
      <c r="G99" s="78" t="str">
        <f>Companies!H135</f>
        <v>Ecommerce BS</v>
      </c>
      <c r="H99" s="78" t="str">
        <f>Companies!I135</f>
        <v>Marc Lore, Melissa Bridgeford</v>
      </c>
      <c r="I99" s="78" t="str">
        <f>Companies!J135</f>
        <v>Enterprise</v>
      </c>
      <c r="J99" s="78" t="str">
        <f>Companies!K135</f>
        <v>Ecommerce</v>
      </c>
      <c r="K99" s="78">
        <f>Companies!L135</f>
        <v>44440</v>
      </c>
      <c r="L99" s="78">
        <f>Companies!M135</f>
        <v>0</v>
      </c>
      <c r="M99" s="78" t="str">
        <f>Companies!N135</f>
        <v>NEA, Marc Lore, Accel</v>
      </c>
      <c r="N99" s="78" t="str">
        <f>Companies!O135</f>
        <v>N/A</v>
      </c>
      <c r="O99" s="78" t="str">
        <f>Companies!P135</f>
        <v>N/A</v>
      </c>
      <c r="P99" s="78" t="str">
        <f>Companies!Q135</f>
        <v>N/A</v>
      </c>
    </row>
    <row r="100" spans="2:16">
      <c r="B100" s="78" t="str">
        <f>Companies!B136</f>
        <v>Unsupervised</v>
      </c>
      <c r="C100" s="78" t="str">
        <f>Companies!C136</f>
        <v>Private</v>
      </c>
      <c r="D100" s="78">
        <f>Companies!D136</f>
        <v>100</v>
      </c>
      <c r="E100" s="78" t="str">
        <f>Companies!E136</f>
        <v>Series B</v>
      </c>
      <c r="F100" s="78">
        <f>Companies!F136</f>
        <v>35</v>
      </c>
      <c r="G100" s="78">
        <f>Companies!H136</f>
        <v>0</v>
      </c>
      <c r="H100" s="78" t="str">
        <f>Companies!I136</f>
        <v>Noah Horton, Tyler Willis</v>
      </c>
      <c r="I100" s="78" t="str">
        <f>Companies!J136</f>
        <v>Enterprise</v>
      </c>
      <c r="J100" s="78" t="str">
        <f>Companies!K136</f>
        <v>Analytics</v>
      </c>
      <c r="K100" s="78">
        <f>Companies!L136</f>
        <v>2017</v>
      </c>
      <c r="L100" s="78">
        <f>Companies!M136</f>
        <v>0</v>
      </c>
      <c r="M100" s="78" t="str">
        <f>Companies!N136</f>
        <v>SignalFIre, Cathay Innovation, NextGen Venture Partners, Eniac Ventures, Elad Gil, Coatue</v>
      </c>
      <c r="N100" s="78" t="str">
        <f>Companies!O136</f>
        <v>Series A</v>
      </c>
      <c r="O100" s="78">
        <f>Companies!P136</f>
        <v>5.7</v>
      </c>
      <c r="P100" s="78" t="str">
        <f>Companies!Q136</f>
        <v>N/A</v>
      </c>
    </row>
    <row r="101" spans="2:16">
      <c r="B101" s="78" t="str">
        <f>Companies!B137</f>
        <v>The Applied AI Company</v>
      </c>
      <c r="C101" s="78" t="str">
        <f>Companies!C137</f>
        <v>Private</v>
      </c>
      <c r="D101" s="78">
        <f>Companies!D137</f>
        <v>100</v>
      </c>
      <c r="E101" s="78" t="str">
        <f>Companies!E137</f>
        <v>Seed</v>
      </c>
      <c r="F101" s="78">
        <f>Companies!F137</f>
        <v>42</v>
      </c>
      <c r="G101" s="78" t="str">
        <f>Companies!H137</f>
        <v>DeepDoc, Insurance</v>
      </c>
      <c r="H101" s="78">
        <f>Companies!I137</f>
        <v>0</v>
      </c>
      <c r="I101" s="78" t="str">
        <f>Companies!J137</f>
        <v>Enterprise</v>
      </c>
      <c r="J101" s="78" t="str">
        <f>Companies!K137</f>
        <v>Healthcare</v>
      </c>
      <c r="K101" s="78">
        <f>Companies!L137</f>
        <v>44440</v>
      </c>
      <c r="L101" s="78">
        <f>Companies!M137</f>
        <v>0</v>
      </c>
      <c r="M101" s="78" t="str">
        <f>Companies!N137</f>
        <v>G42, Plug and Play, HCS, ARM, Arya Bolurfrushan, Price Stefan</v>
      </c>
      <c r="N101" s="78" t="str">
        <f>Companies!O137</f>
        <v>N/A</v>
      </c>
      <c r="O101" s="78" t="str">
        <f>Companies!P137</f>
        <v>N/A</v>
      </c>
      <c r="P101" s="78" t="str">
        <f>Companies!Q137</f>
        <v>N/A</v>
      </c>
    </row>
    <row r="102" spans="2:16">
      <c r="B102" s="78" t="str">
        <f>Companies!B138</f>
        <v>Irreverant Labs</v>
      </c>
      <c r="C102" s="78" t="str">
        <f>Companies!C138</f>
        <v>Private</v>
      </c>
      <c r="D102" s="78">
        <f>Companies!D138</f>
        <v>100</v>
      </c>
      <c r="E102" s="78" t="str">
        <f>Companies!E138</f>
        <v>Series A</v>
      </c>
      <c r="F102" s="78">
        <f>Companies!F138</f>
        <v>40</v>
      </c>
      <c r="G102" s="78" t="str">
        <f>Companies!H138</f>
        <v>MechaFightClub fail, pivot from crypto</v>
      </c>
      <c r="H102" s="78" t="str">
        <f>Companies!I138</f>
        <v>David Raskino, Rahul Sood</v>
      </c>
      <c r="I102" s="78" t="str">
        <f>Companies!J138</f>
        <v>Consumer</v>
      </c>
      <c r="J102" s="78" t="str">
        <f>Companies!K138</f>
        <v>Games</v>
      </c>
      <c r="K102" s="78">
        <f>Companies!L138</f>
        <v>44501</v>
      </c>
      <c r="L102" s="78">
        <f>Companies!M138</f>
        <v>0</v>
      </c>
      <c r="M102" s="78" t="str">
        <f>Companies!N138</f>
        <v>a16z, Keen Crypto, Mantis Venture Capital, Solana Ventures, Unlock Venture Partners, Sonam Kapoor Ahuja, Michael Ovitz, Keen Crypto, Infinity Ventures Crypto, Advancit Capital, Capitoria</v>
      </c>
      <c r="N102" s="78" t="str">
        <f>Companies!O138</f>
        <v>Seed: $25m valuation</v>
      </c>
      <c r="O102" s="78">
        <f>Companies!P138</f>
        <v>5</v>
      </c>
      <c r="P102" s="78" t="str">
        <f>Companies!Q138</f>
        <v>a16z, Unlock Venture Partners, Mantis Venture Capital, Advancit, Keen Crypto</v>
      </c>
    </row>
    <row r="103" spans="2:16">
      <c r="B103" s="78" t="str">
        <f>Companies!B139</f>
        <v>Capacity</v>
      </c>
      <c r="C103" s="78" t="str">
        <f>Companies!C139</f>
        <v>Private</v>
      </c>
      <c r="D103" s="78">
        <f>Companies!D139</f>
        <v>100</v>
      </c>
      <c r="E103" s="78" t="str">
        <f>Companies!E139</f>
        <v>Series C</v>
      </c>
      <c r="F103" s="78">
        <f>Companies!F139</f>
        <v>38</v>
      </c>
      <c r="G103" s="78" t="str">
        <f>Companies!H139</f>
        <v>AI helpdesk for employees and customers</v>
      </c>
      <c r="H103" s="78" t="str">
        <f>Companies!I139</f>
        <v>Chris Sims, David Karandish</v>
      </c>
      <c r="I103" s="78" t="str">
        <f>Companies!J139</f>
        <v>Enterprise</v>
      </c>
      <c r="J103" s="78" t="str">
        <f>Companies!K139</f>
        <v>Helpdesk</v>
      </c>
      <c r="K103" s="78">
        <f>Companies!L139</f>
        <v>2017</v>
      </c>
      <c r="L103" s="78" t="str">
        <f>Companies!M139</f>
        <v>&gt;1500 customers</v>
      </c>
      <c r="M103" s="78" t="str">
        <f>Companies!N139</f>
        <v>TMC Emerging Technology Fund, Rice Park Capital Management</v>
      </c>
      <c r="N103" s="78" t="str">
        <f>Companies!O139</f>
        <v>Series B</v>
      </c>
      <c r="O103" s="78">
        <f>Companies!P139</f>
        <v>13.5</v>
      </c>
      <c r="P103" s="78" t="str">
        <f>Companies!Q139</f>
        <v>Rice Park, Equity.com</v>
      </c>
    </row>
    <row r="104" spans="2:16">
      <c r="B104" s="78" t="str">
        <f>Companies!B140</f>
        <v>V7</v>
      </c>
      <c r="C104" s="78" t="str">
        <f>Companies!C140</f>
        <v>Private</v>
      </c>
      <c r="D104" s="78">
        <f>Companies!D140</f>
        <v>100</v>
      </c>
      <c r="E104" s="78" t="str">
        <f>Companies!E140</f>
        <v>Series A</v>
      </c>
      <c r="F104" s="78">
        <f>Companies!F140</f>
        <v>30</v>
      </c>
      <c r="G104" s="78" t="str">
        <f>Companies!H140</f>
        <v>Labeling</v>
      </c>
      <c r="H104" s="78" t="str">
        <f>Companies!I140</f>
        <v>Alberto Rizzoli</v>
      </c>
      <c r="I104" s="78" t="str">
        <f>Companies!J140</f>
        <v>Tool</v>
      </c>
      <c r="J104" s="78" t="str">
        <f>Companies!K140</f>
        <v>MLOps</v>
      </c>
      <c r="K104" s="78">
        <f>Companies!L140</f>
        <v>43313</v>
      </c>
      <c r="L104" s="78">
        <f>Companies!M140</f>
        <v>0</v>
      </c>
      <c r="M104" s="78" t="str">
        <f>Companies!N140</f>
        <v>Temasek, Radical Ventures, Partech, Oriol Vinyals, Jose Valim, Francois Collet, Ashish Vaswani, Amadeus Capital, Air Street Capital</v>
      </c>
      <c r="N104" s="78" t="str">
        <f>Companies!O140</f>
        <v>Seed</v>
      </c>
      <c r="O104" s="78">
        <f>Companies!P140</f>
        <v>7</v>
      </c>
      <c r="P104" s="78" t="str">
        <f>Companies!Q140</f>
        <v>N/A</v>
      </c>
    </row>
    <row r="105" spans="2:16">
      <c r="B105" s="78" t="str">
        <f>Companies!B141</f>
        <v>Magic (magic.dev)</v>
      </c>
      <c r="C105" s="78" t="str">
        <f>Companies!C141</f>
        <v>Private</v>
      </c>
      <c r="D105" s="78">
        <f>Companies!D141</f>
        <v>100</v>
      </c>
      <c r="E105" s="78" t="str">
        <f>Companies!E141</f>
        <v>Series A</v>
      </c>
      <c r="F105" s="78">
        <f>Companies!F141</f>
        <v>23</v>
      </c>
      <c r="G105" s="78" t="str">
        <f>Companies!H141</f>
        <v>Auto-programmer</v>
      </c>
      <c r="H105" s="78">
        <f>Companies!I141</f>
        <v>0</v>
      </c>
      <c r="I105" s="78" t="str">
        <f>Companies!J141</f>
        <v>Tool</v>
      </c>
      <c r="J105" s="78" t="str">
        <f>Companies!K141</f>
        <v>Programming</v>
      </c>
      <c r="K105" s="78">
        <f>Companies!L141</f>
        <v>44621</v>
      </c>
      <c r="L105" s="78">
        <f>Companies!M141</f>
        <v>0</v>
      </c>
      <c r="M105" s="78" t="str">
        <f>Companies!N141</f>
        <v>Capital G, Xavier Sarras, Roland Boubela, Noam Brown, Nat Friedman, Mehdi Ghissassi, Klaudius Kalcher, Fredrik Hjelm, Florian Huber, Elad Gil, Daniel Dippold, Bryan Pellegrino, Arthur Breitman, Amplify Partners, Adam Jafer, 10x Founders</v>
      </c>
      <c r="N105" s="78" t="str">
        <f>Companies!O141</f>
        <v>Seed</v>
      </c>
      <c r="O105" s="78">
        <f>Companies!P141</f>
        <v>5.0999999999999996</v>
      </c>
      <c r="P105" s="78" t="str">
        <f>Companies!Q141</f>
        <v>Nat Friedman</v>
      </c>
    </row>
    <row r="106" spans="2:16">
      <c r="B106" s="78" t="str">
        <f>Companies!B142</f>
        <v>Eigen Technologies</v>
      </c>
      <c r="C106" s="78" t="str">
        <f>Companies!C142</f>
        <v>Private</v>
      </c>
      <c r="D106" s="78">
        <f>Companies!D142</f>
        <v>100</v>
      </c>
      <c r="E106" s="78" t="str">
        <f>Companies!E142</f>
        <v>Series B</v>
      </c>
      <c r="F106" s="78">
        <f>Companies!F142</f>
        <v>5</v>
      </c>
      <c r="G106" s="78" t="str">
        <f>Companies!H142</f>
        <v>Document processing/automation</v>
      </c>
      <c r="H106" s="78" t="str">
        <f>Companies!I142</f>
        <v>Jonathan Feuer, Lewis Z. Liu</v>
      </c>
      <c r="I106" s="78" t="str">
        <f>Companies!J142</f>
        <v>Enterprise</v>
      </c>
      <c r="J106" s="78" t="str">
        <f>Companies!K142</f>
        <v>Documents</v>
      </c>
      <c r="K106" s="78">
        <f>Companies!L142</f>
        <v>2015</v>
      </c>
      <c r="L106" s="78">
        <f>Companies!M142</f>
        <v>0</v>
      </c>
      <c r="M106" s="78" t="str">
        <f>Companies!N142</f>
        <v>ING Ventures</v>
      </c>
      <c r="N106" s="78" t="str">
        <f>Companies!O142</f>
        <v>Series B</v>
      </c>
      <c r="O106" s="78" t="str">
        <f>Companies!P142</f>
        <v>37 at 113</v>
      </c>
      <c r="P106" s="78" t="str">
        <f>Companies!Q142</f>
        <v>Lakestar, Dawn Capital, Temasek, Goldman</v>
      </c>
    </row>
    <row r="107" spans="2:16">
      <c r="B107" s="78" t="str">
        <f>Companies!B143</f>
        <v>Modular</v>
      </c>
      <c r="C107" s="78" t="str">
        <f>Companies!C143</f>
        <v>Private</v>
      </c>
      <c r="D107" s="78">
        <f>Companies!D143</f>
        <v>100</v>
      </c>
      <c r="E107" s="78" t="str">
        <f>Companies!E143</f>
        <v>Seed</v>
      </c>
      <c r="F107" s="78">
        <f>Companies!F143</f>
        <v>30</v>
      </c>
      <c r="G107" s="78" t="str">
        <f>Companies!H143</f>
        <v>Mojo</v>
      </c>
      <c r="H107" s="78" t="str">
        <f>Companies!I143</f>
        <v>Chris Lattner, Tim Davis</v>
      </c>
      <c r="I107" s="78" t="str">
        <f>Companies!J143</f>
        <v>Tool</v>
      </c>
      <c r="J107" s="78" t="str">
        <f>Companies!K143</f>
        <v>Compute</v>
      </c>
      <c r="K107" s="78">
        <f>Companies!L143</f>
        <v>44562</v>
      </c>
      <c r="L107" s="78" t="str">
        <f>Companies!M143</f>
        <v>Mojo</v>
      </c>
      <c r="M107" s="78" t="str">
        <f>Companies!N143</f>
        <v>Google, Greylock, SVA, Factory</v>
      </c>
      <c r="N107" s="78" t="str">
        <f>Companies!O143</f>
        <v>N/A</v>
      </c>
      <c r="O107" s="78" t="str">
        <f>Companies!P143</f>
        <v>N/A</v>
      </c>
      <c r="P107" s="78" t="str">
        <f>Companies!Q143</f>
        <v>N/A</v>
      </c>
    </row>
    <row r="108" spans="2:16">
      <c r="B108" s="78" t="str">
        <f>Companies!B144</f>
        <v>Robust Intelligence</v>
      </c>
      <c r="C108" s="78" t="str">
        <f>Companies!C144</f>
        <v>Private</v>
      </c>
      <c r="D108" s="78">
        <f>Companies!D144</f>
        <v>100</v>
      </c>
      <c r="E108" s="78" t="str">
        <f>Companies!E144</f>
        <v>Series B</v>
      </c>
      <c r="F108" s="78">
        <f>Companies!F144</f>
        <v>30</v>
      </c>
      <c r="G108" s="78" t="str">
        <f>Companies!H144</f>
        <v>Stress Test AI Models</v>
      </c>
      <c r="H108" s="78" t="str">
        <f>Companies!I144</f>
        <v>Yaron Singer</v>
      </c>
      <c r="I108" s="78" t="str">
        <f>Companies!J144</f>
        <v>Enterprise</v>
      </c>
      <c r="J108" s="78" t="str">
        <f>Companies!K144</f>
        <v>MLOps</v>
      </c>
      <c r="K108" s="78" t="str">
        <f>Companies!L144</f>
        <v>2019</v>
      </c>
      <c r="L108" s="78">
        <f>Companies!M144</f>
        <v>0</v>
      </c>
      <c r="M108" s="78" t="str">
        <f>Companies!N144</f>
        <v>Tiger, Sequoia, Harpoon, Engineering Capital</v>
      </c>
      <c r="N108" s="78" t="str">
        <f>Companies!O144</f>
        <v>Series A</v>
      </c>
      <c r="O108" s="78">
        <f>Companies!P144</f>
        <v>11</v>
      </c>
      <c r="P108" s="78" t="str">
        <f>Companies!Q144</f>
        <v>Sequoia, Ram Shriram, Harpoon, Engineering Capital, Alex Balkanski</v>
      </c>
    </row>
    <row r="109" spans="2:16">
      <c r="B109" s="78" t="str">
        <f>Companies!B145</f>
        <v>Imagen</v>
      </c>
      <c r="C109" s="78" t="str">
        <f>Companies!C145</f>
        <v>Private</v>
      </c>
      <c r="D109" s="78">
        <f>Companies!D145</f>
        <v>100</v>
      </c>
      <c r="E109" s="78" t="str">
        <f>Companies!E145</f>
        <v>Series A</v>
      </c>
      <c r="F109" s="78">
        <f>Companies!F145</f>
        <v>30</v>
      </c>
      <c r="G109" s="78" t="str">
        <f>Companies!H145</f>
        <v>Lightroom editing assistant</v>
      </c>
      <c r="H109" s="78" t="str">
        <f>Companies!I145</f>
        <v>Ron Oren, Yoav Chai, Yotam Gil</v>
      </c>
      <c r="I109" s="78" t="str">
        <f>Companies!J145</f>
        <v>Consumer</v>
      </c>
      <c r="J109" s="78" t="str">
        <f>Companies!K145</f>
        <v>Photos</v>
      </c>
      <c r="K109" s="78" t="str">
        <f>Companies!L145</f>
        <v>2020</v>
      </c>
      <c r="L109" s="78">
        <f>Companies!M145</f>
        <v>0</v>
      </c>
      <c r="M109" s="78" t="str">
        <f>Companies!N145</f>
        <v>Summit, NFX</v>
      </c>
      <c r="N109" s="78" t="str">
        <f>Companies!O145</f>
        <v>Seed</v>
      </c>
      <c r="O109" s="78">
        <f>Companies!P145</f>
        <v>4</v>
      </c>
      <c r="P109" s="78" t="str">
        <f>Companies!Q145</f>
        <v>NFX</v>
      </c>
    </row>
    <row r="110" spans="2:16">
      <c r="B110" s="78" t="str">
        <f>Companies!B146</f>
        <v>Jina AI</v>
      </c>
      <c r="C110" s="78" t="str">
        <f>Companies!C146</f>
        <v>Private</v>
      </c>
      <c r="D110" s="78">
        <f>Companies!D146</f>
        <v>100</v>
      </c>
      <c r="E110" s="78" t="str">
        <f>Companies!E146</f>
        <v>Series A</v>
      </c>
      <c r="F110" s="78">
        <f>Companies!F146</f>
        <v>30</v>
      </c>
      <c r="G110" s="78" t="str">
        <f>Companies!H146</f>
        <v>Multimodal LLM? LLMops</v>
      </c>
      <c r="H110" s="78" t="str">
        <f>Companies!I146</f>
        <v>Han Xiao, Xuanbin He</v>
      </c>
      <c r="I110" s="78" t="str">
        <f>Companies!J146</f>
        <v>Tool</v>
      </c>
      <c r="J110" s="78" t="str">
        <f>Companies!K146</f>
        <v>MLOps</v>
      </c>
      <c r="K110" s="78">
        <f>Companies!L146</f>
        <v>43862</v>
      </c>
      <c r="L110" s="78">
        <f>Companies!M146</f>
        <v>0</v>
      </c>
      <c r="M110" s="78" t="str">
        <f>Companies!N146</f>
        <v>Canaan, Yunqi Partners, SAP.iO, Mango Capital, GGV Capital</v>
      </c>
      <c r="N110" s="78" t="str">
        <f>Companies!O146</f>
        <v>Seed</v>
      </c>
      <c r="O110" s="78">
        <f>Companies!P146</f>
        <v>5.5</v>
      </c>
      <c r="P110" s="78" t="str">
        <f>Companies!Q146</f>
        <v>GGV Capital, SAP.iO, Yunqi Partners</v>
      </c>
    </row>
    <row r="111" spans="2:16">
      <c r="B111" s="78" t="str">
        <f>Companies!B147</f>
        <v>ElevenLabs</v>
      </c>
      <c r="C111" s="78" t="str">
        <f>Companies!C147</f>
        <v>Private</v>
      </c>
      <c r="D111" s="78">
        <f>Companies!D147</f>
        <v>100</v>
      </c>
      <c r="E111" s="78" t="str">
        <f>Companies!E147</f>
        <v>N/A</v>
      </c>
      <c r="F111" s="78">
        <f>Companies!F147</f>
        <v>18.5</v>
      </c>
      <c r="G111" s="78" t="str">
        <f>Companies!H147</f>
        <v>Voice API</v>
      </c>
      <c r="H111" s="78" t="str">
        <f>Companies!I147</f>
        <v>Mati Staniszewski, Piotr Dabkowski</v>
      </c>
      <c r="I111" s="78" t="str">
        <f>Companies!J147</f>
        <v>Tool</v>
      </c>
      <c r="J111" s="78" t="str">
        <f>Companies!K147</f>
        <v>Voice</v>
      </c>
      <c r="K111" s="78">
        <f>Companies!L147</f>
        <v>44652</v>
      </c>
      <c r="L111" s="78">
        <f>Companies!M147</f>
        <v>0</v>
      </c>
      <c r="M111" s="78" t="str">
        <f>Companies!N147</f>
        <v>a16z, Nat Friedman, Daniel Gross (unofficial)</v>
      </c>
      <c r="N111" s="78" t="str">
        <f>Companies!O147</f>
        <v>Seed</v>
      </c>
      <c r="O111" s="78" t="str">
        <f>Companies!P147</f>
        <v>N/A</v>
      </c>
      <c r="P111" s="78" t="str">
        <f>Companies!Q147</f>
        <v>Nat Friedman, Daniel Gross</v>
      </c>
    </row>
    <row r="112" spans="2:16">
      <c r="B112" s="78" t="str">
        <f>Companies!B148</f>
        <v>Mem</v>
      </c>
      <c r="C112" s="78" t="str">
        <f>Companies!C148</f>
        <v>Private</v>
      </c>
      <c r="D112" s="78">
        <f>Companies!D148</f>
        <v>110</v>
      </c>
      <c r="E112" s="78" t="str">
        <f>Companies!E148</f>
        <v>Series A</v>
      </c>
      <c r="F112" s="78">
        <f>Companies!F148</f>
        <v>23.5</v>
      </c>
      <c r="G112" s="78" t="str">
        <f>Companies!H148</f>
        <v>Productivity tool, note-taking</v>
      </c>
      <c r="H112" s="78" t="str">
        <f>Companies!I148</f>
        <v>Dennis Xu, Kevin Moody</v>
      </c>
      <c r="I112" s="78" t="str">
        <f>Companies!J148</f>
        <v>Enterprise</v>
      </c>
      <c r="J112" s="78" t="str">
        <f>Companies!K148</f>
        <v>Tool</v>
      </c>
      <c r="K112" s="78">
        <f>Companies!L148</f>
        <v>44292</v>
      </c>
      <c r="L112" s="78">
        <f>Companies!M148</f>
        <v>0</v>
      </c>
      <c r="M112" s="78" t="str">
        <f>Companies!N148</f>
        <v>OpenAI, Oana Olteanu, Firestream Ventures, Material V</v>
      </c>
      <c r="N112" s="78" t="str">
        <f>Companies!O148</f>
        <v>Seed</v>
      </c>
      <c r="O112" s="78">
        <f>Companies!P148</f>
        <v>5.6</v>
      </c>
      <c r="P112" s="78" t="str">
        <f>Companies!Q148</f>
        <v xml:space="preserve">a16z, Unusual Ventures, The Todd &amp; Rahul Angel Fund, Shrug Capital, Floodgate, Dreamers VC, a16z Cultural Leadership Fund, Tony Liu, Todd Goldberg, Rahul Vohra, Lenny Rachitsky, Julia Lipton, Harry Stebbings, </v>
      </c>
    </row>
    <row r="113" spans="2:16">
      <c r="B113" s="78" t="str">
        <f>Companies!B149</f>
        <v>Neo Cybernetica</v>
      </c>
      <c r="C113" s="78" t="str">
        <f>Companies!C149</f>
        <v>Private</v>
      </c>
      <c r="D113" s="78">
        <f>Companies!D149</f>
        <v>100</v>
      </c>
      <c r="E113" s="78" t="str">
        <f>Companies!E149</f>
        <v>Seed</v>
      </c>
      <c r="F113" s="78">
        <f>Companies!F149</f>
        <v>30</v>
      </c>
      <c r="G113" s="78" t="str">
        <f>Companies!H149</f>
        <v>Stealth</v>
      </c>
      <c r="H113" s="78" t="str">
        <f>Companies!I149</f>
        <v>Jeremy Achin, Dmytro Zahanych</v>
      </c>
      <c r="I113" s="78" t="str">
        <f>Companies!J149</f>
        <v>Stealth</v>
      </c>
      <c r="J113" s="78" t="str">
        <f>Companies!K149</f>
        <v>Robotics</v>
      </c>
      <c r="K113" s="78">
        <f>Companies!L149</f>
        <v>2021</v>
      </c>
      <c r="L113" s="78">
        <f>Companies!M149</f>
        <v>0</v>
      </c>
      <c r="M113" s="78" t="str">
        <f>Companies!N149</f>
        <v>NEA, Open Field Capital, B5 Capital, Cortical Ventures</v>
      </c>
      <c r="N113" s="78" t="str">
        <f>Companies!O149</f>
        <v>N/A</v>
      </c>
      <c r="O113" s="78" t="str">
        <f>Companies!P149</f>
        <v>N/A</v>
      </c>
      <c r="P113" s="78" t="str">
        <f>Companies!Q149</f>
        <v>N/A</v>
      </c>
    </row>
    <row r="114" spans="2:16">
      <c r="B114" s="78" t="str">
        <f>Companies!B150</f>
        <v>Merlyn Mind</v>
      </c>
      <c r="C114" s="78" t="str">
        <f>Companies!C150</f>
        <v>Private</v>
      </c>
      <c r="D114" s="78">
        <f>Companies!D150</f>
        <v>100</v>
      </c>
      <c r="E114" s="78" t="str">
        <f>Companies!E150</f>
        <v>N/A</v>
      </c>
      <c r="F114" s="78">
        <f>Companies!F150</f>
        <v>29</v>
      </c>
      <c r="G114" s="78" t="str">
        <f>Companies!H150</f>
        <v>Robots for teachers</v>
      </c>
      <c r="H114" s="78" t="str">
        <f>Companies!I150</f>
        <v>Satya Nitta</v>
      </c>
      <c r="I114" s="78" t="str">
        <f>Companies!J150</f>
        <v>Enterprise</v>
      </c>
      <c r="J114" s="78" t="str">
        <f>Companies!K150</f>
        <v>Hardware</v>
      </c>
      <c r="K114" s="78">
        <f>Companies!L150</f>
        <v>43344</v>
      </c>
      <c r="L114" s="78">
        <f>Companies!M150</f>
        <v>0</v>
      </c>
      <c r="M114" s="78" t="str">
        <f>Companies!N150</f>
        <v>Learn Capital</v>
      </c>
      <c r="N114" s="78" t="str">
        <f>Companies!O150</f>
        <v>N/A</v>
      </c>
      <c r="O114" s="78" t="str">
        <f>Companies!P150</f>
        <v>N/A</v>
      </c>
      <c r="P114" s="78" t="str">
        <f>Companies!Q150</f>
        <v>N/A</v>
      </c>
    </row>
    <row r="115" spans="2:16">
      <c r="B115" s="78" t="str">
        <f>Companies!B151</f>
        <v>Upstage AI</v>
      </c>
      <c r="C115" s="78" t="str">
        <f>Companies!C151</f>
        <v>Private</v>
      </c>
      <c r="D115" s="78">
        <f>Companies!D151</f>
        <v>100</v>
      </c>
      <c r="E115" s="78" t="str">
        <f>Companies!E151</f>
        <v>Series A</v>
      </c>
      <c r="F115" s="78">
        <f>Companies!F151</f>
        <v>28</v>
      </c>
      <c r="G115" s="78" t="str">
        <f>Companies!H151</f>
        <v>Consumer AI</v>
      </c>
      <c r="H115" s="78">
        <f>Companies!I151</f>
        <v>0</v>
      </c>
      <c r="I115" s="78" t="str">
        <f>Companies!J151</f>
        <v>Diverse</v>
      </c>
      <c r="J115" s="78" t="str">
        <f>Companies!K151</f>
        <v>Diverse</v>
      </c>
      <c r="K115" s="78" t="str">
        <f>Companies!L151</f>
        <v>2020</v>
      </c>
      <c r="L115" s="78">
        <f>Companies!M151</f>
        <v>0</v>
      </c>
      <c r="M115" s="78" t="str">
        <f>Companies!N151</f>
        <v>Softbank Ventures Asia, Company K Partners, Stonebridge Capital, TBT, Primer Sazze Partners, Premier Partners</v>
      </c>
      <c r="N115" s="78" t="str">
        <f>Companies!O151</f>
        <v>N/A</v>
      </c>
      <c r="O115" s="78" t="str">
        <f>Companies!P151</f>
        <v>N/A</v>
      </c>
      <c r="P115" s="78" t="str">
        <f>Companies!Q151</f>
        <v>N/A</v>
      </c>
    </row>
    <row r="116" spans="2:16">
      <c r="B116" s="78" t="str">
        <f>Companies!B152</f>
        <v>ExpressSteuer</v>
      </c>
      <c r="C116" s="78" t="str">
        <f>Companies!C152</f>
        <v>Private</v>
      </c>
      <c r="D116" s="78">
        <f>Companies!D152</f>
        <v>100</v>
      </c>
      <c r="E116" s="78" t="str">
        <f>Companies!E152</f>
        <v>Series A</v>
      </c>
      <c r="F116" s="78">
        <f>Companies!F152</f>
        <v>28</v>
      </c>
      <c r="G116" s="78" t="str">
        <f>Companies!H152</f>
        <v>German Tax returns</v>
      </c>
      <c r="H116" s="78">
        <f>Companies!I152</f>
        <v>0</v>
      </c>
      <c r="I116" s="78" t="str">
        <f>Companies!J152</f>
        <v>Consumer</v>
      </c>
      <c r="J116" s="78" t="str">
        <f>Companies!K152</f>
        <v>Taxes</v>
      </c>
      <c r="K116" s="78">
        <f>Companies!L152</f>
        <v>43556</v>
      </c>
      <c r="L116" s="78">
        <f>Companies!M152</f>
        <v>0</v>
      </c>
      <c r="M116" s="78" t="str">
        <f>Companies!N152</f>
        <v>Project A Ventures, Insight Partners, Mountain Partners, Feliks Eyser</v>
      </c>
      <c r="N116" s="78" t="str">
        <f>Companies!O152</f>
        <v>Seed</v>
      </c>
      <c r="O116" s="78">
        <f>Companies!P152</f>
        <v>5</v>
      </c>
      <c r="P116" s="78" t="str">
        <f>Companies!Q152</f>
        <v>Tim Stracke, Kai Hansen, Christian Wenger, Aurelia Ventures</v>
      </c>
    </row>
    <row r="117" spans="2:16">
      <c r="B117" s="78" t="str">
        <f>Companies!B153</f>
        <v>Rad AI</v>
      </c>
      <c r="C117" s="78" t="str">
        <f>Companies!C153</f>
        <v>Private</v>
      </c>
      <c r="D117" s="78">
        <f>Companies!D153</f>
        <v>100</v>
      </c>
      <c r="E117" s="78" t="str">
        <f>Companies!E153</f>
        <v>Series A</v>
      </c>
      <c r="F117" s="78">
        <f>Companies!F153</f>
        <v>25</v>
      </c>
      <c r="G117" s="78" t="str">
        <f>Companies!H153</f>
        <v>Radiology automation</v>
      </c>
      <c r="H117" s="78" t="str">
        <f>Companies!I153</f>
        <v>Doktor Gurson, Jeff Chang</v>
      </c>
      <c r="I117" s="78" t="str">
        <f>Companies!J153</f>
        <v>Enterprise</v>
      </c>
      <c r="J117" s="78" t="str">
        <f>Companies!K153</f>
        <v>Healthcare</v>
      </c>
      <c r="K117" s="78">
        <f>Companies!L153</f>
        <v>2018</v>
      </c>
      <c r="L117" s="78">
        <f>Companies!M153</f>
        <v>0</v>
      </c>
      <c r="M117" s="78" t="str">
        <f>Companies!N153</f>
        <v>Artis Ventures, Santa Barbara Venture Partners, Quarry, OCV, Kickstart, Gradient Ventures, City Light Capital</v>
      </c>
      <c r="N117" s="78" t="str">
        <f>Companies!O153</f>
        <v>Seed</v>
      </c>
      <c r="O117" s="78">
        <f>Companies!P153</f>
        <v>8</v>
      </c>
      <c r="P117" s="78" t="str">
        <f>Companies!Q153</f>
        <v>Kickstart, Gradient, UP2398, Precursor, Hike Ventures, Harmonix Fund, Fifty Years, City Light, GMO VenturePartners, Array Ventures, Immad Akhund</v>
      </c>
    </row>
    <row r="118" spans="2:16">
      <c r="B118" s="78" t="str">
        <f>Companies!B154</f>
        <v>Keen Technologies</v>
      </c>
      <c r="C118" s="78" t="str">
        <f>Companies!C154</f>
        <v>Private</v>
      </c>
      <c r="D118" s="78">
        <f>Companies!D154</f>
        <v>100</v>
      </c>
      <c r="E118" s="78" t="str">
        <f>Companies!E154</f>
        <v>Seed</v>
      </c>
      <c r="F118" s="78">
        <f>Companies!F154</f>
        <v>20</v>
      </c>
      <c r="G118" s="78" t="str">
        <f>Companies!H154</f>
        <v>AGI</v>
      </c>
      <c r="H118" s="78" t="str">
        <f>Companies!I154</f>
        <v>John Carmack</v>
      </c>
      <c r="I118" s="78" t="str">
        <f>Companies!J154</f>
        <v>Enterprise</v>
      </c>
      <c r="J118" s="78" t="str">
        <f>Companies!K154</f>
        <v>AGI</v>
      </c>
      <c r="K118" s="78" t="str">
        <f>Companies!L154</f>
        <v>2019?</v>
      </c>
      <c r="L118" s="78" t="str">
        <f>Companies!M154</f>
        <v>No official announcement</v>
      </c>
      <c r="M118" s="78" t="str">
        <f>Companies!N154</f>
        <v>Nat Friedman, Daniel Gross, Patrick Collison, Tobi Lutke, Sequoia, Capital Factory, Jim Keller</v>
      </c>
      <c r="N118" s="78" t="str">
        <f>Companies!O154</f>
        <v>N/A</v>
      </c>
      <c r="O118" s="78" t="str">
        <f>Companies!P154</f>
        <v>N/A</v>
      </c>
      <c r="P118" s="78" t="str">
        <f>Companies!Q154</f>
        <v>N/A</v>
      </c>
    </row>
    <row r="119" spans="2:16">
      <c r="B119" s="78" t="str">
        <f>Companies!B155</f>
        <v>Aleph Alpha</v>
      </c>
      <c r="C119" s="78" t="str">
        <f>Companies!C155</f>
        <v>Private</v>
      </c>
      <c r="D119" s="78">
        <f>Companies!D155</f>
        <v>100</v>
      </c>
      <c r="E119" s="78" t="str">
        <f>Companies!E155</f>
        <v>Series A</v>
      </c>
      <c r="F119" s="78">
        <f>Companies!F155</f>
        <v>25</v>
      </c>
      <c r="G119" s="78" t="str">
        <f>Companies!H155</f>
        <v>LLMs</v>
      </c>
      <c r="H119" s="78" t="str">
        <f>Companies!I155</f>
        <v>Jonas Andrulis, Samuel Weinbach</v>
      </c>
      <c r="I119" s="78" t="str">
        <f>Companies!J155</f>
        <v>Tool</v>
      </c>
      <c r="J119" s="78" t="str">
        <f>Companies!K155</f>
        <v>Language Model</v>
      </c>
      <c r="K119" s="78">
        <f>Companies!L155</f>
        <v>43496</v>
      </c>
      <c r="L119" s="78">
        <f>Companies!M155</f>
        <v>0</v>
      </c>
      <c r="M119" s="78" t="str">
        <f>Companies!N155</f>
        <v>UVC Partners, Earlybird Venture Capital, Lakestar, LEA Partners, Cavalry Ventures, 468 Capital</v>
      </c>
      <c r="N119" s="78" t="str">
        <f>Companies!O155</f>
        <v>Seed</v>
      </c>
      <c r="O119" s="78" t="str">
        <f>Companies!P155</f>
        <v>LEA Partners, Cavalry Ventures, 468 Capital, Public</v>
      </c>
      <c r="P119" s="78" t="str">
        <f>Companies!Q155</f>
        <v>N/A</v>
      </c>
    </row>
    <row r="120" spans="2:16">
      <c r="B120" s="78" t="str">
        <f>Companies!B156</f>
        <v>Aible</v>
      </c>
      <c r="C120" s="78" t="str">
        <f>Companies!C156</f>
        <v>Private</v>
      </c>
      <c r="D120" s="78">
        <f>Companies!D156</f>
        <v>100</v>
      </c>
      <c r="E120" s="78" t="str">
        <f>Companies!E156</f>
        <v>N/A</v>
      </c>
      <c r="F120" s="78">
        <f>Companies!F156</f>
        <v>26</v>
      </c>
      <c r="G120" s="78" t="str">
        <f>Companies!H156</f>
        <v>Enterprise Analytics</v>
      </c>
      <c r="H120" s="78">
        <f>Companies!I156</f>
        <v>0</v>
      </c>
      <c r="I120" s="78" t="str">
        <f>Companies!J156</f>
        <v>Enterprise</v>
      </c>
      <c r="J120" s="78" t="str">
        <f>Companies!K156</f>
        <v>Business Intelligence</v>
      </c>
      <c r="K120" s="78">
        <f>Companies!L156</f>
        <v>43374</v>
      </c>
      <c r="L120" s="78">
        <f>Companies!M156</f>
        <v>0</v>
      </c>
      <c r="M120" s="78" t="str">
        <f>Companies!N156</f>
        <v>N/A</v>
      </c>
      <c r="N120" s="78" t="str">
        <f>Companies!O156</f>
        <v>N/A</v>
      </c>
      <c r="O120" s="78" t="str">
        <f>Companies!P156</f>
        <v>N/A</v>
      </c>
      <c r="P120" s="78" t="str">
        <f>Companies!Q156</f>
        <v>N/A</v>
      </c>
    </row>
    <row r="121" spans="2:16">
      <c r="B121" s="78" t="str">
        <f>Companies!B157</f>
        <v>Surge AI</v>
      </c>
      <c r="C121" s="78" t="str">
        <f>Companies!C157</f>
        <v>Private</v>
      </c>
      <c r="D121" s="78">
        <f>Companies!D157</f>
        <v>100</v>
      </c>
      <c r="E121" s="78" t="str">
        <f>Companies!E157</f>
        <v>Series A</v>
      </c>
      <c r="F121" s="78">
        <f>Companies!F157</f>
        <v>25</v>
      </c>
      <c r="G121" s="78" t="str">
        <f>Companies!H157</f>
        <v>Labeling</v>
      </c>
      <c r="H121" s="78" t="str">
        <f>Companies!I157</f>
        <v>Edwin Chen</v>
      </c>
      <c r="I121" s="78" t="str">
        <f>Companies!J157</f>
        <v>Tool</v>
      </c>
      <c r="J121" s="78" t="str">
        <f>Companies!K157</f>
        <v>MLOps</v>
      </c>
      <c r="K121" s="78" t="str">
        <f>Companies!L157</f>
        <v>2020</v>
      </c>
      <c r="L121" s="78">
        <f>Companies!M157</f>
        <v>0</v>
      </c>
      <c r="M121" s="78" t="str">
        <f>Companies!N157</f>
        <v>N/A</v>
      </c>
      <c r="N121" s="78" t="str">
        <f>Companies!O157</f>
        <v>N/A</v>
      </c>
      <c r="O121" s="78" t="str">
        <f>Companies!P157</f>
        <v>N/A</v>
      </c>
      <c r="P121" s="78" t="str">
        <f>Companies!Q157</f>
        <v>N/A</v>
      </c>
    </row>
    <row r="122" spans="2:16">
      <c r="B122" s="78" t="str">
        <f>Companies!B158</f>
        <v>Predibase</v>
      </c>
      <c r="C122" s="78" t="str">
        <f>Companies!C158</f>
        <v>Private</v>
      </c>
      <c r="D122" s="78">
        <f>Companies!D158</f>
        <v>100</v>
      </c>
      <c r="E122" s="78" t="str">
        <f>Companies!E158</f>
        <v>Series A</v>
      </c>
      <c r="F122" s="78">
        <f>Companies!F158</f>
        <v>28.5</v>
      </c>
      <c r="G122" s="78" t="str">
        <f>Companies!H158</f>
        <v>"Alternative to AutoML", low-code declarative ML platform</v>
      </c>
      <c r="H122" s="78" t="str">
        <f>Companies!I158</f>
        <v>Devvret Rishi</v>
      </c>
      <c r="I122" s="78" t="str">
        <f>Companies!J158</f>
        <v>Enterprise</v>
      </c>
      <c r="J122" s="78" t="str">
        <f>Companies!K158</f>
        <v>MLOps</v>
      </c>
      <c r="K122" s="78">
        <f>Companies!L158</f>
        <v>2021</v>
      </c>
      <c r="L122" s="78">
        <f>Companies!M158</f>
        <v>0</v>
      </c>
      <c r="M122" s="78" t="str">
        <f>Companies!N158</f>
        <v>Felicis, Sancus Ventures, Greylock, Factory, Zoubin Gharamani, Yi Wang, Varun Badhwar, Remi El-Ouazzane, Ben Hamner, Anthony Goldbloomb</v>
      </c>
      <c r="N122" s="78" t="str">
        <f>Companies!O158</f>
        <v>N/A</v>
      </c>
      <c r="O122" s="78" t="str">
        <f>Companies!P158</f>
        <v>N/A</v>
      </c>
      <c r="P122" s="78" t="str">
        <f>Companies!Q158</f>
        <v>N/A</v>
      </c>
    </row>
    <row r="123" spans="2:16">
      <c r="B123" s="78" t="str">
        <f>Companies!B159</f>
        <v>Curai Health</v>
      </c>
      <c r="C123" s="78" t="str">
        <f>Companies!C159</f>
        <v>Private</v>
      </c>
      <c r="D123" s="78">
        <f>Companies!D159</f>
        <v>100</v>
      </c>
      <c r="E123" s="78" t="str">
        <f>Companies!E159</f>
        <v>Series B</v>
      </c>
      <c r="F123" s="78">
        <f>Companies!F159</f>
        <v>27.5</v>
      </c>
      <c r="G123" s="78" t="str">
        <f>Companies!H159</f>
        <v>Chatbot?</v>
      </c>
      <c r="H123" s="78" t="str">
        <f>Companies!I159</f>
        <v>Neal Khosla</v>
      </c>
      <c r="I123" s="78" t="str">
        <f>Companies!J159</f>
        <v>Consumer</v>
      </c>
      <c r="J123" s="78" t="str">
        <f>Companies!K159</f>
        <v>Health</v>
      </c>
      <c r="K123" s="78">
        <f>Companies!L159</f>
        <v>2017</v>
      </c>
      <c r="L123" s="78" t="str">
        <f>Companies!M159</f>
        <v>Pre-LLM chatbot? Running out of $?</v>
      </c>
      <c r="M123" s="78" t="str">
        <f>Companies!N159</f>
        <v>Morningside Venture Investments, Khosla Ventures, General Catalyst</v>
      </c>
      <c r="N123" s="78" t="str">
        <f>Companies!O159</f>
        <v>Series A</v>
      </c>
      <c r="O123" s="78">
        <f>Companies!P159</f>
        <v>10.7</v>
      </c>
      <c r="P123" s="78" t="str">
        <f>Companies!Q159</f>
        <v>Khosla, General Catalyst, Civilization Ventures</v>
      </c>
    </row>
    <row r="124" spans="2:16">
      <c r="B124" s="78" t="str">
        <f>Companies!B160</f>
        <v>AXON Networks</v>
      </c>
      <c r="C124" s="78" t="str">
        <f>Companies!C160</f>
        <v>Private</v>
      </c>
      <c r="D124" s="78">
        <f>Companies!D160</f>
        <v>100</v>
      </c>
      <c r="E124" s="78" t="str">
        <f>Companies!E160</f>
        <v>Series A</v>
      </c>
      <c r="F124" s="78">
        <f>Companies!F160</f>
        <v>27</v>
      </c>
      <c r="G124" s="78" t="str">
        <f>Companies!H160</f>
        <v>Networking</v>
      </c>
      <c r="H124" s="78">
        <f>Companies!I160</f>
        <v>0</v>
      </c>
      <c r="I124" s="78" t="str">
        <f>Companies!J160</f>
        <v>Tool</v>
      </c>
      <c r="J124" s="78" t="str">
        <f>Companies!K160</f>
        <v>Orchestration</v>
      </c>
      <c r="K124" s="78">
        <f>Companies!L160</f>
        <v>2021</v>
      </c>
      <c r="L124" s="78">
        <f>Companies!M160</f>
        <v>0</v>
      </c>
      <c r="M124" s="78" t="str">
        <f>Companies!N160</f>
        <v>N/A</v>
      </c>
      <c r="N124" s="78" t="str">
        <f>Companies!O160</f>
        <v>N/A</v>
      </c>
      <c r="O124" s="78" t="str">
        <f>Companies!P160</f>
        <v>N/A</v>
      </c>
      <c r="P124" s="78" t="str">
        <f>Companies!Q160</f>
        <v>N/A</v>
      </c>
    </row>
    <row r="125" spans="2:16">
      <c r="B125" s="78" t="str">
        <f>Companies!B161</f>
        <v>Speak (usespeak.com) or speak.com?</v>
      </c>
      <c r="C125" s="78" t="str">
        <f>Companies!C161</f>
        <v>Private</v>
      </c>
      <c r="D125" s="78">
        <f>Companies!D161</f>
        <v>100</v>
      </c>
      <c r="E125" s="78" t="str">
        <f>Companies!E161</f>
        <v>Series B</v>
      </c>
      <c r="F125" s="78">
        <f>Companies!F161</f>
        <v>27</v>
      </c>
      <c r="G125" s="78" t="str">
        <f>Companies!H161</f>
        <v>English teacher</v>
      </c>
      <c r="H125" s="78" t="str">
        <f>Companies!I161</f>
        <v>Connor Zwick</v>
      </c>
      <c r="I125" s="78" t="str">
        <f>Companies!J161</f>
        <v>Consumer</v>
      </c>
      <c r="J125" s="78" t="str">
        <f>Companies!K161</f>
        <v>Education</v>
      </c>
      <c r="K125" s="78">
        <f>Companies!L161</f>
        <v>2016</v>
      </c>
      <c r="L125" s="78">
        <f>Companies!M161</f>
        <v>0</v>
      </c>
      <c r="M125" s="78" t="str">
        <f>Companies!N161</f>
        <v>OpenAI, Lachy Groom, Justin Mateen, Josh Buckley, Gokul Rajaram, Buckley Ventures, Founders Fund</v>
      </c>
      <c r="N125" s="78" t="str">
        <f>Companies!O161</f>
        <v>Series A</v>
      </c>
      <c r="O125" s="78">
        <f>Companies!P161</f>
        <v>11</v>
      </c>
      <c r="P125" s="78" t="str">
        <f>Companies!Q161</f>
        <v>Justin Mateen, JAM Fund</v>
      </c>
    </row>
    <row r="126" spans="2:16">
      <c r="B126" s="78" t="str">
        <f>Companies!B162</f>
        <v>Heartex</v>
      </c>
      <c r="C126" s="78" t="str">
        <f>Companies!C162</f>
        <v>Private</v>
      </c>
      <c r="D126" s="78">
        <f>Companies!D162</f>
        <v>100</v>
      </c>
      <c r="E126" s="78" t="str">
        <f>Companies!E162</f>
        <v>Series A</v>
      </c>
      <c r="F126" s="78">
        <f>Companies!F162</f>
        <v>25</v>
      </c>
      <c r="G126" s="78" t="str">
        <f>Companies!H162</f>
        <v>Labeling</v>
      </c>
      <c r="H126" s="78" t="str">
        <f>Companies!I162</f>
        <v>Michael Malyuk</v>
      </c>
      <c r="I126" s="78" t="str">
        <f>Companies!J162</f>
        <v>Tool</v>
      </c>
      <c r="J126" s="78" t="str">
        <f>Companies!K162</f>
        <v>MLOps</v>
      </c>
      <c r="K126" s="78" t="str">
        <f>Companies!L162</f>
        <v>2019</v>
      </c>
      <c r="L126" s="78">
        <f>Companies!M162</f>
        <v>0</v>
      </c>
      <c r="M126" s="78" t="str">
        <f>Companies!N162</f>
        <v>Redpoint, Swift Ventures, Bow Capital, Unusual Ventures</v>
      </c>
      <c r="N126" s="78" t="str">
        <f>Companies!O162</f>
        <v>N/A</v>
      </c>
      <c r="O126" s="78" t="str">
        <f>Companies!P162</f>
        <v>N/A</v>
      </c>
      <c r="P126" s="78" t="str">
        <f>Companies!Q162</f>
        <v>N/A</v>
      </c>
    </row>
    <row r="127" spans="2:16">
      <c r="B127" s="78" t="str">
        <f>Companies!B163</f>
        <v>Exafunction</v>
      </c>
      <c r="C127" s="78" t="str">
        <f>Companies!C163</f>
        <v>Private</v>
      </c>
      <c r="D127" s="78">
        <f>Companies!D163</f>
        <v>100</v>
      </c>
      <c r="E127" s="78" t="str">
        <f>Companies!E163</f>
        <v>Series A</v>
      </c>
      <c r="F127" s="78">
        <f>Companies!F163</f>
        <v>25</v>
      </c>
      <c r="G127" s="78" t="str">
        <f>Companies!H163</f>
        <v>GPUs</v>
      </c>
      <c r="H127" s="78" t="str">
        <f>Companies!I163</f>
        <v>Varun Mohan</v>
      </c>
      <c r="I127" s="78" t="str">
        <f>Companies!J163</f>
        <v>Tool</v>
      </c>
      <c r="J127" s="78" t="str">
        <f>Companies!K163</f>
        <v>MLOps</v>
      </c>
      <c r="K127" s="78">
        <f>Companies!L163</f>
        <v>2021</v>
      </c>
      <c r="L127" s="78">
        <f>Companies!M163</f>
        <v>0</v>
      </c>
      <c r="M127" s="78" t="str">
        <f>Companies!N163</f>
        <v>Greenoaks, Founders Fund</v>
      </c>
      <c r="N127" s="78" t="str">
        <f>Companies!O163</f>
        <v>Seed</v>
      </c>
      <c r="O127" s="78">
        <f>Companies!P163</f>
        <v>3</v>
      </c>
      <c r="P127" s="78" t="str">
        <f>Companies!Q163</f>
        <v>Greenoaks, Carlos Delatorre, Howie Liu, Nitesh Banta, Richard Socher, Sahir Azam, Spencer Kimball</v>
      </c>
    </row>
    <row r="128" spans="2:16">
      <c r="B128" s="78" t="str">
        <f>Companies!B164</f>
        <v>Kili Technology</v>
      </c>
      <c r="C128" s="78" t="str">
        <f>Companies!C164</f>
        <v>Private</v>
      </c>
      <c r="D128" s="78">
        <f>Companies!D164</f>
        <v>100</v>
      </c>
      <c r="E128" s="78" t="str">
        <f>Companies!E164</f>
        <v>Series A</v>
      </c>
      <c r="F128" s="78">
        <f>Companies!F164</f>
        <v>25</v>
      </c>
      <c r="G128" s="78" t="str">
        <f>Companies!H164</f>
        <v>Data Cleaning</v>
      </c>
      <c r="H128" s="78" t="str">
        <f>Companies!I164</f>
        <v>Francois-Xavier Leduc</v>
      </c>
      <c r="I128" s="78" t="str">
        <f>Companies!J164</f>
        <v>Tool</v>
      </c>
      <c r="J128" s="78" t="str">
        <f>Companies!K164</f>
        <v>MLOps</v>
      </c>
      <c r="K128" s="78">
        <f>Companies!L164</f>
        <v>43435</v>
      </c>
      <c r="L128" s="78">
        <f>Companies!M164</f>
        <v>0</v>
      </c>
      <c r="M128" s="78" t="str">
        <f>Companies!N164</f>
        <v>Balderton Capital, Serena, Headline, Chris Schagen, Dimitri Sirota, Financiere Saint James, Olivier Pailhes</v>
      </c>
      <c r="N128" s="78" t="str">
        <f>Companies!O164</f>
        <v>Seed</v>
      </c>
      <c r="O128" s="78">
        <f>Companies!P164</f>
        <v>6</v>
      </c>
      <c r="P128" s="78" t="str">
        <f>Companies!Q164</f>
        <v>Headline, Stanislas de Bentzmann, Gus Robertson, Financiere Saint James, Olivier Pomel, Serena</v>
      </c>
    </row>
    <row r="129" spans="2:16">
      <c r="B129" s="78" t="str">
        <f>Companies!B165</f>
        <v>Aiola</v>
      </c>
      <c r="C129" s="78" t="str">
        <f>Companies!C165</f>
        <v>Private</v>
      </c>
      <c r="D129" s="78">
        <f>Companies!D165</f>
        <v>100</v>
      </c>
      <c r="E129" s="78" t="str">
        <f>Companies!E165</f>
        <v>Series A</v>
      </c>
      <c r="F129" s="78">
        <f>Companies!F165</f>
        <v>25</v>
      </c>
      <c r="G129" s="78" t="str">
        <f>Companies!H165</f>
        <v>Manufacturing NLP</v>
      </c>
      <c r="H129" s="78" t="str">
        <f>Companies!I165</f>
        <v>Guy Ernest</v>
      </c>
      <c r="I129" s="78" t="str">
        <f>Companies!J165</f>
        <v>Enterprise</v>
      </c>
      <c r="J129" s="78" t="str">
        <f>Companies!K165</f>
        <v>Voice</v>
      </c>
      <c r="K129" s="78" t="str">
        <f>Companies!L165</f>
        <v>2020</v>
      </c>
      <c r="L129" s="78">
        <f>Companies!M165</f>
        <v>0</v>
      </c>
      <c r="M129" s="78" t="str">
        <f>Companies!N165</f>
        <v>New Era Capital, Hamilton Lane</v>
      </c>
      <c r="N129" s="78" t="str">
        <f>Companies!O165</f>
        <v>Seed</v>
      </c>
      <c r="O129" s="78">
        <f>Companies!P165</f>
        <v>5</v>
      </c>
      <c r="P129" s="78" t="str">
        <f>Companies!Q165</f>
        <v>SAP.iO</v>
      </c>
    </row>
    <row r="130" spans="2:16">
      <c r="B130" s="78" t="str">
        <f>Companies!B166</f>
        <v>TruEra</v>
      </c>
      <c r="C130" s="78" t="str">
        <f>Companies!C166</f>
        <v>Private</v>
      </c>
      <c r="D130" s="78">
        <f>Companies!D166</f>
        <v>100</v>
      </c>
      <c r="E130" s="78" t="str">
        <f>Companies!E166</f>
        <v>Series B</v>
      </c>
      <c r="F130" s="78">
        <f>Companies!F166</f>
        <v>25</v>
      </c>
      <c r="G130" s="78" t="str">
        <f>Companies!H166</f>
        <v>TruLens</v>
      </c>
      <c r="H130" s="78" t="str">
        <f>Companies!I166</f>
        <v>Anupam Datta, Shayak Sen, Will Uppington</v>
      </c>
      <c r="I130" s="78" t="str">
        <f>Companies!J166</f>
        <v>Tool</v>
      </c>
      <c r="J130" s="78" t="str">
        <f>Companies!K166</f>
        <v>MLOps</v>
      </c>
      <c r="K130" s="78" t="str">
        <f>Companies!L166</f>
        <v>2019</v>
      </c>
      <c r="L130" s="78">
        <f>Companies!M166</f>
        <v>0</v>
      </c>
      <c r="M130" s="78" t="str">
        <f>Companies!N166</f>
        <v>Menlo Ventures, Wing Venture Capital, Harpoon, Greylock, Forgepoint Capital, Data Community Fund, Conversion Capital, B Capital Group</v>
      </c>
      <c r="N130" s="78" t="str">
        <f>Companies!O166</f>
        <v>Series A</v>
      </c>
      <c r="O130" s="78">
        <f>Companies!P166</f>
        <v>12.2</v>
      </c>
      <c r="P130" s="78" t="str">
        <f>Companies!Q166</f>
        <v>Wing Venture Capital, Harpoon, Greylock, Data Community Fund, Conversion Capital, B Capital Group</v>
      </c>
    </row>
    <row r="131" spans="2:16">
      <c r="B131" s="78" t="str">
        <f>Companies!B167</f>
        <v>Aporia</v>
      </c>
      <c r="C131" s="78" t="str">
        <f>Companies!C167</f>
        <v>Private</v>
      </c>
      <c r="D131" s="78">
        <f>Companies!D167</f>
        <v>100</v>
      </c>
      <c r="E131" s="78" t="str">
        <f>Companies!E167</f>
        <v>Series A</v>
      </c>
      <c r="F131" s="78">
        <f>Companies!F167</f>
        <v>25</v>
      </c>
      <c r="G131" s="78" t="str">
        <f>Companies!H167</f>
        <v>Observability &amp; Monitoring</v>
      </c>
      <c r="H131" s="78" t="str">
        <f>Companies!I167</f>
        <v>Alon Gubkin, Liran Hason</v>
      </c>
      <c r="I131" s="78" t="str">
        <f>Companies!J167</f>
        <v>Tool</v>
      </c>
      <c r="J131" s="78" t="str">
        <f>Companies!K167</f>
        <v>MLOps</v>
      </c>
      <c r="K131" s="78">
        <f>Companies!L167</f>
        <v>43709</v>
      </c>
      <c r="L131" s="78">
        <f>Companies!M167</f>
        <v>0</v>
      </c>
      <c r="M131" s="78" t="str">
        <f>Companies!N167</f>
        <v>Tiger, Vertex Ventures, TLV Partners, Tal Ventures, Samsung NEXT</v>
      </c>
      <c r="N131" s="78" t="str">
        <f>Companies!O167</f>
        <v>Seed</v>
      </c>
      <c r="O131" s="78">
        <f>Companies!P167</f>
        <v>5</v>
      </c>
      <c r="P131" s="78" t="str">
        <f>Companies!Q167</f>
        <v>Vertex Ventures, TLV Partners, Yevgeny Dibrov, Nadir Izrael, Gili Raanan</v>
      </c>
    </row>
    <row r="132" spans="2:16">
      <c r="B132" s="78" t="str">
        <f>Companies!B168</f>
        <v>CLARA Analytics</v>
      </c>
      <c r="C132" s="78" t="str">
        <f>Companies!C168</f>
        <v>Private</v>
      </c>
      <c r="D132" s="78">
        <f>Companies!D168</f>
        <v>100</v>
      </c>
      <c r="E132" s="78" t="str">
        <f>Companies!E168</f>
        <v>Series B</v>
      </c>
      <c r="F132" s="78">
        <f>Companies!F168</f>
        <v>25</v>
      </c>
      <c r="G132" s="78" t="str">
        <f>Companies!H168</f>
        <v>Insurance</v>
      </c>
      <c r="H132" s="78" t="str">
        <f>Companies!I168</f>
        <v>Jayant Lakshmikanthan</v>
      </c>
      <c r="I132" s="78" t="str">
        <f>Companies!J168</f>
        <v>Enterprise</v>
      </c>
      <c r="J132" s="78" t="str">
        <f>Companies!K168</f>
        <v>Insurance</v>
      </c>
      <c r="K132" s="78">
        <f>Companies!L168</f>
        <v>2016</v>
      </c>
      <c r="L132" s="78">
        <f>Companies!M168</f>
        <v>0</v>
      </c>
      <c r="M132" s="78" t="str">
        <f>Companies!N168</f>
        <v>Aspen Capital Group, Oak HC/FT</v>
      </c>
      <c r="N132" s="78" t="str">
        <f>Companies!O168</f>
        <v>Series A</v>
      </c>
      <c r="O132" s="78">
        <f>Companies!P168</f>
        <v>11.5</v>
      </c>
      <c r="P132" s="78" t="str">
        <f>Companies!Q168</f>
        <v>Oak HC/FT</v>
      </c>
    </row>
    <row r="133" spans="2:16">
      <c r="B133" s="78" t="str">
        <f>Companies!B169</f>
        <v>Deci AI</v>
      </c>
      <c r="C133" s="78" t="str">
        <f>Companies!C169</f>
        <v>Private</v>
      </c>
      <c r="D133" s="78">
        <f>Companies!D169</f>
        <v>100</v>
      </c>
      <c r="E133" s="78" t="str">
        <f>Companies!E169</f>
        <v>Series B</v>
      </c>
      <c r="F133" s="78">
        <f>Companies!F169</f>
        <v>25</v>
      </c>
      <c r="G133" s="78" t="str">
        <f>Companies!H169</f>
        <v>Hardware Platform</v>
      </c>
      <c r="H133" s="78" t="str">
        <f>Companies!I169</f>
        <v>Jonathan Elial, Ran El-Yaniv, Yonatan Geifman</v>
      </c>
      <c r="I133" s="78" t="str">
        <f>Companies!J169</f>
        <v>Tool</v>
      </c>
      <c r="J133" s="78" t="str">
        <f>Companies!K169</f>
        <v>MLOps</v>
      </c>
      <c r="K133" s="78" t="str">
        <f>Companies!L169</f>
        <v>2019</v>
      </c>
      <c r="L133" s="78">
        <f>Companies!M169</f>
        <v>0</v>
      </c>
      <c r="M133" s="78" t="str">
        <f>Companies!N169</f>
        <v>Square Peg Capital, Jibe Ventures, Insight Partners, ICON - Israel Collaboration Network, Fort Ross Ventures, Emerge</v>
      </c>
      <c r="N133" s="78" t="str">
        <f>Companies!O169</f>
        <v>Series A</v>
      </c>
      <c r="O133" s="78">
        <f>Companies!P169</f>
        <v>21</v>
      </c>
      <c r="P133" s="78" t="str">
        <f>Companies!Q169</f>
        <v>Insight Partners, Vintage Investment Partners, Square Peg Capital, Samsung NEXT, Fort Ross Ventures, Emerge</v>
      </c>
    </row>
    <row r="134" spans="2:16">
      <c r="B134" s="78" t="str">
        <f>Companies!B170</f>
        <v>Workera</v>
      </c>
      <c r="C134" s="78" t="str">
        <f>Companies!C170</f>
        <v>Private</v>
      </c>
      <c r="D134" s="78">
        <f>Companies!D170</f>
        <v>100</v>
      </c>
      <c r="E134" s="78" t="str">
        <f>Companies!E170</f>
        <v>Series B</v>
      </c>
      <c r="F134" s="78">
        <f>Companies!F170</f>
        <v>23.5</v>
      </c>
      <c r="G134" s="78" t="str">
        <f>Companies!H170</f>
        <v>AI/ML skills testing/training</v>
      </c>
      <c r="H134" s="78" t="str">
        <f>Companies!I170</f>
        <v>James Lee, Kian Katanforoosh, Andrew Ng</v>
      </c>
      <c r="I134" s="78" t="str">
        <f>Companies!J170</f>
        <v>Enterprise</v>
      </c>
      <c r="J134" s="78" t="str">
        <f>Companies!K170</f>
        <v>Skills</v>
      </c>
      <c r="K134" s="78">
        <f>Companies!L170</f>
        <v>2019</v>
      </c>
      <c r="L134" s="78">
        <f>Companies!M170</f>
        <v>0</v>
      </c>
      <c r="M134" s="78" t="str">
        <f>Companies!N170</f>
        <v>Jump Capital, Sozo Ventures, Owl Ventures, NEA, AI Fund</v>
      </c>
      <c r="N134" s="78" t="str">
        <f>Companies!O170</f>
        <v>Series A</v>
      </c>
      <c r="O134" s="78">
        <f>Companies!P170</f>
        <v>16</v>
      </c>
      <c r="P134" s="78" t="str">
        <f>Companies!Q170</f>
        <v>NEA, Owl Ventures, Pieter Abbeel, Mehran Sahami, Lake Dai</v>
      </c>
    </row>
    <row r="135" spans="2:16">
      <c r="B135" s="78" t="str">
        <f>Companies!B171</f>
        <v>Conjecture</v>
      </c>
      <c r="C135" s="78" t="str">
        <f>Companies!C171</f>
        <v>Private</v>
      </c>
      <c r="D135" s="78">
        <f>Companies!D171</f>
        <v>100</v>
      </c>
      <c r="E135" s="78" t="str">
        <f>Companies!E171</f>
        <v>Seed</v>
      </c>
      <c r="F135" s="78">
        <f>Companies!F171</f>
        <v>25</v>
      </c>
      <c r="G135" s="78" t="str">
        <f>Companies!H171</f>
        <v>LULWUT</v>
      </c>
      <c r="H135" s="78" t="str">
        <f>Companies!I171</f>
        <v>Connor Leahy</v>
      </c>
      <c r="I135" s="78" t="str">
        <f>Companies!J171</f>
        <v>AI Safety</v>
      </c>
      <c r="J135" s="78" t="str">
        <f>Companies!K171</f>
        <v>AI Safety</v>
      </c>
      <c r="K135" s="78">
        <f>Companies!L171</f>
        <v>2022</v>
      </c>
      <c r="L135" s="78" t="str">
        <f>Companies!M171</f>
        <v>Pre-product</v>
      </c>
      <c r="M135" s="78" t="str">
        <f>Companies!N171</f>
        <v>Plural Platform, Metaplanet, Nat Friedman</v>
      </c>
      <c r="N135" s="78" t="str">
        <f>Companies!O171</f>
        <v>N/A</v>
      </c>
      <c r="O135" s="78" t="str">
        <f>Companies!P171</f>
        <v>N/A</v>
      </c>
      <c r="P135" s="78" t="str">
        <f>Companies!Q171</f>
        <v>N/A</v>
      </c>
    </row>
    <row r="136" spans="2:16">
      <c r="B136" s="78" t="str">
        <f>Companies!B172</f>
        <v>Phaidra</v>
      </c>
      <c r="C136" s="78" t="str">
        <f>Companies!C172</f>
        <v>Private</v>
      </c>
      <c r="D136" s="78">
        <f>Companies!D172</f>
        <v>100</v>
      </c>
      <c r="E136" s="78" t="str">
        <f>Companies!E172</f>
        <v>Series A</v>
      </c>
      <c r="F136" s="78">
        <f>Companies!F172</f>
        <v>25</v>
      </c>
      <c r="G136" s="78" t="str">
        <f>Companies!H172</f>
        <v>Industrial</v>
      </c>
      <c r="H136" s="78">
        <f>Companies!I172</f>
        <v>0</v>
      </c>
      <c r="I136" s="78" t="str">
        <f>Companies!J172</f>
        <v>Enterprise</v>
      </c>
      <c r="J136" s="78" t="str">
        <f>Companies!K172</f>
        <v>Plant</v>
      </c>
      <c r="K136" s="78" t="str">
        <f>Companies!L172</f>
        <v>2019</v>
      </c>
      <c r="L136" s="78">
        <f>Companies!M172</f>
        <v>0</v>
      </c>
      <c r="M136" s="78" t="str">
        <f>Companies!N172</f>
        <v>Starshot Capital, Vela Partners, Section 32, Root and Shoot Ventures, Mustafa Suleyman, Helena, Flying Fish Partners, Character, Ahren Innovation Capital</v>
      </c>
      <c r="N136" s="78" t="str">
        <f>Companies!O172</f>
        <v>Seed</v>
      </c>
      <c r="O136" s="78">
        <f>Companies!P172</f>
        <v>4</v>
      </c>
      <c r="P136" s="78" t="str">
        <f>Companies!Q172</f>
        <v>Flying Fish Partners, Starshot Capital, Section 32, Root and Shoot Partners, Outcomes Fund, Mark Cuban, Character</v>
      </c>
    </row>
    <row r="137" spans="2:16">
      <c r="B137" s="78" t="str">
        <f>Companies!B173</f>
        <v>Nr2</v>
      </c>
      <c r="C137" s="78" t="str">
        <f>Companies!C173</f>
        <v>Private</v>
      </c>
      <c r="D137" s="78">
        <f>Companies!D173</f>
        <v>100</v>
      </c>
      <c r="E137" s="78" t="str">
        <f>Companies!E173</f>
        <v>Seed</v>
      </c>
      <c r="F137" s="78">
        <f>Companies!F173</f>
        <v>22.4</v>
      </c>
      <c r="G137" s="78" t="str">
        <f>Companies!H173</f>
        <v>Asian startup search engine</v>
      </c>
      <c r="H137" s="78" t="str">
        <f>Companies!I173</f>
        <v>Jordan Monnet, Maxim Parr</v>
      </c>
      <c r="I137" s="78" t="str">
        <f>Companies!J173</f>
        <v>Enterprise</v>
      </c>
      <c r="J137" s="78" t="str">
        <f>Companies!K173</f>
        <v>Searching for investments for investors</v>
      </c>
      <c r="K137" s="78">
        <f>Companies!L173</f>
        <v>2019</v>
      </c>
      <c r="L137" s="78">
        <f>Companies!M173</f>
        <v>0</v>
      </c>
      <c r="M137" s="78" t="str">
        <f>Companies!N173</f>
        <v>Simon Robey, Jacob Rothschild</v>
      </c>
      <c r="N137" s="78" t="str">
        <f>Companies!O173</f>
        <v>N/A</v>
      </c>
      <c r="O137" s="78" t="str">
        <f>Companies!P173</f>
        <v>N/A</v>
      </c>
      <c r="P137" s="78" t="str">
        <f>Companies!Q173</f>
        <v>N/A</v>
      </c>
    </row>
    <row r="138" spans="2:16">
      <c r="B138" s="78" t="str">
        <f>Companies!B174</f>
        <v>Nabla</v>
      </c>
      <c r="C138" s="78" t="str">
        <f>Companies!C174</f>
        <v>Private</v>
      </c>
      <c r="D138" s="78">
        <f>Companies!D174</f>
        <v>100</v>
      </c>
      <c r="E138" s="78" t="str">
        <f>Companies!E174</f>
        <v>Series A</v>
      </c>
      <c r="F138" s="78">
        <f>Companies!F174</f>
        <v>21</v>
      </c>
      <c r="G138" s="78" t="str">
        <f>Companies!H174</f>
        <v>GPT-3, patient conversations</v>
      </c>
      <c r="H138" s="78" t="str">
        <f>Companies!I174</f>
        <v>Alexandre Lebrun, Delphine Groll, Martin Raison</v>
      </c>
      <c r="I138" s="78" t="str">
        <f>Companies!J174</f>
        <v>Enterprise</v>
      </c>
      <c r="J138" s="78" t="str">
        <f>Companies!K174</f>
        <v>Healthcare</v>
      </c>
      <c r="K138" s="78">
        <f>Companies!L174</f>
        <v>43282</v>
      </c>
      <c r="L138" s="78">
        <f>Companies!M174</f>
        <v>0</v>
      </c>
      <c r="M138" s="78" t="str">
        <f>Companies!N174</f>
        <v>N/A</v>
      </c>
      <c r="N138" s="78" t="str">
        <f>Companies!O174</f>
        <v>Seed</v>
      </c>
      <c r="O138" s="78" t="str">
        <f>Companies!P174</f>
        <v>N/A</v>
      </c>
      <c r="P138" s="78" t="str">
        <f>Companies!Q174</f>
        <v>Julien Codorniou</v>
      </c>
    </row>
    <row r="139" spans="2:16">
      <c r="B139" s="78" t="str">
        <f>Companies!B175</f>
        <v>Enlitic</v>
      </c>
      <c r="C139" s="78" t="str">
        <f>Companies!C175</f>
        <v>Private</v>
      </c>
      <c r="D139" s="78">
        <f>Companies!D175</f>
        <v>100</v>
      </c>
      <c r="E139" s="78" t="str">
        <f>Companies!E175</f>
        <v>Series B</v>
      </c>
      <c r="F139" s="78">
        <f>Companies!F175</f>
        <v>25</v>
      </c>
      <c r="G139" s="78" t="str">
        <f>Companies!H175</f>
        <v>Radiology/PACS</v>
      </c>
      <c r="H139" s="78" t="str">
        <f>Companies!I175</f>
        <v>Jeremy Howard, Kevin Lyman</v>
      </c>
      <c r="I139" s="78" t="str">
        <f>Companies!J175</f>
        <v>Enterprise</v>
      </c>
      <c r="J139" s="78" t="str">
        <f>Companies!K175</f>
        <v>Healthcare</v>
      </c>
      <c r="K139" s="78">
        <f>Companies!L175</f>
        <v>2014</v>
      </c>
      <c r="L139" s="78">
        <f>Companies!M175</f>
        <v>0</v>
      </c>
      <c r="M139" s="78" t="str">
        <f>Companies!N175</f>
        <v>Thorney Investment, The Jagen Group, Regal Funds Management, Marubeni, Capitol Health, Amplify</v>
      </c>
      <c r="N139" s="78" t="str">
        <f>Companies!O175</f>
        <v>Series B</v>
      </c>
      <c r="O139" s="78">
        <f>Companies!P175</f>
        <v>15</v>
      </c>
      <c r="P139" s="78" t="str">
        <f>Companies!Q175</f>
        <v>Marubeni, Capitol Health, Allum Capital</v>
      </c>
    </row>
    <row r="140" spans="2:16">
      <c r="B140" s="78" t="str">
        <f>Companies!B176</f>
        <v>Quantiphi</v>
      </c>
      <c r="C140" s="78" t="str">
        <f>Companies!C176</f>
        <v>Private</v>
      </c>
      <c r="D140" s="78">
        <f>Companies!D176</f>
        <v>100</v>
      </c>
      <c r="E140" s="78" t="str">
        <f>Companies!E176</f>
        <v>Series A</v>
      </c>
      <c r="F140" s="78">
        <f>Companies!F176</f>
        <v>20</v>
      </c>
      <c r="G140" s="78" t="str">
        <f>Companies!H176</f>
        <v>ML Platform</v>
      </c>
      <c r="H140" s="78" t="str">
        <f>Companies!I176</f>
        <v>Asif Hasan</v>
      </c>
      <c r="I140" s="78" t="str">
        <f>Companies!J176</f>
        <v>Enterprise</v>
      </c>
      <c r="J140" s="78" t="str">
        <f>Companies!K176</f>
        <v>Platform</v>
      </c>
      <c r="K140" s="78">
        <f>Companies!L176</f>
        <v>2013</v>
      </c>
      <c r="L140" s="78">
        <f>Companies!M176</f>
        <v>0</v>
      </c>
      <c r="M140" s="78" t="str">
        <f>Companies!N176</f>
        <v>Multiples</v>
      </c>
      <c r="N140" s="78" t="str">
        <f>Companies!O176</f>
        <v>N/A</v>
      </c>
      <c r="O140" s="78" t="str">
        <f>Companies!P176</f>
        <v>N/A</v>
      </c>
      <c r="P140" s="78" t="str">
        <f>Companies!Q176</f>
        <v>N/A</v>
      </c>
    </row>
    <row r="141" spans="2:16">
      <c r="B141" s="78" t="str">
        <f>Companies!B177</f>
        <v>Protex AI</v>
      </c>
      <c r="C141" s="78" t="str">
        <f>Companies!C177</f>
        <v>Private</v>
      </c>
      <c r="D141" s="78">
        <f>Companies!D177</f>
        <v>100</v>
      </c>
      <c r="E141" s="78" t="str">
        <f>Companies!E177</f>
        <v>Series A</v>
      </c>
      <c r="F141" s="78">
        <f>Companies!F177</f>
        <v>20</v>
      </c>
      <c r="G141" s="78" t="str">
        <f>Companies!H177</f>
        <v>CCTV CV</v>
      </c>
      <c r="H141" s="78" t="str">
        <f>Companies!I177</f>
        <v>Ciarán O'Mara, Dan Hobbs</v>
      </c>
      <c r="I141" s="78" t="str">
        <f>Companies!J177</f>
        <v>Enterprise</v>
      </c>
      <c r="J141" s="78" t="str">
        <f>Companies!K177</f>
        <v>Workplace Safety</v>
      </c>
      <c r="K141" s="78">
        <f>Companies!L177</f>
        <v>2021</v>
      </c>
      <c r="L141" s="78">
        <f>Companies!M177</f>
        <v>0</v>
      </c>
      <c r="M141" s="78" t="str">
        <f>Companies!N177</f>
        <v>Notion Capital, SCOR Ventures, Playfair Capital, Flexport, Firstminute Capital, Elkstone Capital Partners, CircleRock Capital</v>
      </c>
      <c r="N141" s="78" t="str">
        <f>Companies!O177</f>
        <v>Pre-Seed</v>
      </c>
      <c r="O141" s="78">
        <f>Companies!P177</f>
        <v>0.125</v>
      </c>
      <c r="P141" s="78" t="str">
        <f>Companies!Q177</f>
        <v>Y Combinator</v>
      </c>
    </row>
    <row r="142" spans="2:16">
      <c r="B142" s="78" t="str">
        <f>Companies!B178</f>
        <v>Hyro</v>
      </c>
      <c r="C142" s="78" t="str">
        <f>Companies!C178</f>
        <v>Private</v>
      </c>
      <c r="D142" s="78">
        <f>Companies!D178</f>
        <v>100</v>
      </c>
      <c r="E142" s="78" t="str">
        <f>Companies!E178</f>
        <v>Series B</v>
      </c>
      <c r="F142" s="78">
        <f>Companies!F178</f>
        <v>20</v>
      </c>
      <c r="G142" s="78" t="str">
        <f>Companies!H178</f>
        <v>Healthcare, IVR</v>
      </c>
      <c r="H142" s="78" t="str">
        <f>Companies!I178</f>
        <v>Israel Krush, Rom Cohen</v>
      </c>
      <c r="I142" s="78" t="str">
        <f>Companies!J178</f>
        <v>Enterprise</v>
      </c>
      <c r="J142" s="78" t="str">
        <f>Companies!K178</f>
        <v>Healthcare</v>
      </c>
      <c r="K142" s="78">
        <f>Companies!L178</f>
        <v>2018</v>
      </c>
      <c r="L142" s="78">
        <f>Companies!M178</f>
        <v>0</v>
      </c>
      <c r="M142" s="78" t="str">
        <f>Companies!N178</f>
        <v>Macquarie Capital, Spero Ventures, Mindset Ventures, K20 Fund, Black Opal Ventures, Hanaco Venture Capital, Liberty Mutual Strategic Ventures</v>
      </c>
      <c r="N142" s="78" t="str">
        <f>Companies!O178</f>
        <v>Series A</v>
      </c>
      <c r="O142" s="78">
        <f>Companies!P178</f>
        <v>10.5</v>
      </c>
      <c r="P142" s="78" t="str">
        <f>Companies!Q178</f>
        <v>Spero Ventures, Twilio, Spider Capital, Mindset Ventures, Hanaco Venture Capital, Entrepreneurs Roundtable Accelerator</v>
      </c>
    </row>
    <row r="143" spans="2:16">
      <c r="B143" s="78" t="str">
        <f>Companies!B179</f>
        <v>Hour One</v>
      </c>
      <c r="C143" s="78" t="str">
        <f>Companies!C179</f>
        <v>Private</v>
      </c>
      <c r="D143" s="78">
        <f>Companies!D179</f>
        <v>100</v>
      </c>
      <c r="E143" s="78" t="str">
        <f>Companies!E179</f>
        <v>Series A</v>
      </c>
      <c r="F143" s="78">
        <f>Companies!F179</f>
        <v>20</v>
      </c>
      <c r="G143" s="78" t="str">
        <f>Companies!H179</f>
        <v>Virtual Presenters</v>
      </c>
      <c r="H143" s="78">
        <f>Companies!I179</f>
        <v>0</v>
      </c>
      <c r="I143" s="78" t="str">
        <f>Companies!J179</f>
        <v>Enterprise</v>
      </c>
      <c r="J143" s="78" t="str">
        <f>Companies!K179</f>
        <v>Video</v>
      </c>
      <c r="K143" s="78" t="str">
        <f>Companies!L179</f>
        <v>2019</v>
      </c>
      <c r="L143" s="78">
        <f>Companies!M179</f>
        <v>0</v>
      </c>
      <c r="M143" s="78" t="str">
        <f>Companies!N179</f>
        <v>Insight Partners, Remagine Ventures, Kindred Ventures, Galaxy Interactive, Eynat Guez, Digital Horizon, Cerca Partners, Amaranthine</v>
      </c>
      <c r="N143" s="78" t="str">
        <f>Companies!O179</f>
        <v>Seed</v>
      </c>
      <c r="O143" s="78">
        <f>Companies!P179</f>
        <v>5</v>
      </c>
      <c r="P143" s="78" t="str">
        <f>Companies!Q179</f>
        <v>Reimagine Ventures, Kindred Ventures, Galaxy Interactive, Amaranthine</v>
      </c>
    </row>
    <row r="144" spans="2:16">
      <c r="B144" s="78" t="str">
        <f>Companies!B180</f>
        <v>Paravision</v>
      </c>
      <c r="C144" s="78" t="str">
        <f>Companies!C180</f>
        <v>Private</v>
      </c>
      <c r="D144" s="78">
        <f>Companies!D180</f>
        <v>100</v>
      </c>
      <c r="E144" s="78" t="str">
        <f>Companies!E180</f>
        <v>Series C</v>
      </c>
      <c r="F144" s="78">
        <f>Companies!F180</f>
        <v>23</v>
      </c>
      <c r="G144" s="78" t="str">
        <f>Companies!H180</f>
        <v>Computer Vision</v>
      </c>
      <c r="H144" s="78" t="str">
        <f>Companies!I180</f>
        <v>Andrew Dudum, Charlie Melbye, Don Holly, Jon Mumm</v>
      </c>
      <c r="I144" s="78" t="str">
        <f>Companies!J180</f>
        <v>Enterprise</v>
      </c>
      <c r="J144" s="78" t="str">
        <f>Companies!K180</f>
        <v>Computer Vision</v>
      </c>
      <c r="K144" s="78">
        <f>Companies!L180</f>
        <v>2013</v>
      </c>
      <c r="L144" s="78">
        <f>Companies!M180</f>
        <v>0</v>
      </c>
      <c r="M144" s="78" t="str">
        <f>Companies!N180</f>
        <v>J2 Ventures, Red Cell Partners, Marlinspike Capital, Perot Jain, Atomic, HID Global, Icon Ventures</v>
      </c>
      <c r="N144" s="78" t="str">
        <f>Companies!O180</f>
        <v>Series B</v>
      </c>
      <c r="O144" s="78">
        <f>Companies!P180</f>
        <v>16</v>
      </c>
      <c r="P144" s="78" t="str">
        <f>Companies!Q180</f>
        <v>Icon Ventures, Khosla Ventures, Felicis</v>
      </c>
    </row>
    <row r="145" spans="2:16">
      <c r="B145" s="78" t="str">
        <f>Companies!B181</f>
        <v>hOS</v>
      </c>
      <c r="C145" s="78" t="str">
        <f>Companies!C181</f>
        <v>Private</v>
      </c>
      <c r="D145" s="78">
        <f>Companies!D181</f>
        <v>100</v>
      </c>
      <c r="E145" s="78" t="str">
        <f>Companies!E181</f>
        <v>Seed</v>
      </c>
      <c r="F145" s="78">
        <f>Companies!F181</f>
        <v>12.8</v>
      </c>
      <c r="G145" s="78" t="str">
        <f>Companies!H181</f>
        <v>QoL app</v>
      </c>
      <c r="H145" s="78" t="str">
        <f>Companies!I181</f>
        <v>Jeremy Achin</v>
      </c>
      <c r="I145" s="78" t="str">
        <f>Companies!J181</f>
        <v>Stealth</v>
      </c>
      <c r="J145" s="78" t="str">
        <f>Companies!K181</f>
        <v>Stealth</v>
      </c>
      <c r="K145" s="78">
        <f>Companies!L181</f>
        <v>2021</v>
      </c>
      <c r="L145" s="78" t="str">
        <f>Companies!M181</f>
        <v>Former DataRobot team</v>
      </c>
      <c r="M145" s="78" t="str">
        <f>Companies!N181</f>
        <v>NEA, Sequoia Capital, IA Ventures, Critical Ventures, B5 Capital</v>
      </c>
      <c r="N145" s="78" t="str">
        <f>Companies!O181</f>
        <v>N/A</v>
      </c>
      <c r="O145" s="78" t="str">
        <f>Companies!P181</f>
        <v>N/A</v>
      </c>
      <c r="P145" s="78" t="str">
        <f>Companies!Q181</f>
        <v>N/A</v>
      </c>
    </row>
    <row r="146" spans="2:16">
      <c r="B146" s="78" t="str">
        <f>Companies!B182</f>
        <v>Replika</v>
      </c>
      <c r="C146" s="78" t="str">
        <f>Companies!C182</f>
        <v>Private</v>
      </c>
      <c r="D146" s="78">
        <f>Companies!D182</f>
        <v>100</v>
      </c>
      <c r="E146" s="78" t="str">
        <f>Companies!E182</f>
        <v>Series A</v>
      </c>
      <c r="F146" s="78">
        <f>Companies!F182</f>
        <v>6.5</v>
      </c>
      <c r="G146" s="78">
        <f>Companies!H182</f>
        <v>0</v>
      </c>
      <c r="H146" s="78" t="str">
        <f>Companies!I182</f>
        <v>Eugenia Kuyda</v>
      </c>
      <c r="I146" s="78" t="str">
        <f>Companies!J182</f>
        <v>Consumer</v>
      </c>
      <c r="J146" s="78" t="str">
        <f>Companies!K182</f>
        <v>AI Companion</v>
      </c>
      <c r="K146" s="78">
        <f>Companies!L182</f>
        <v>2017</v>
      </c>
      <c r="L146" s="78">
        <f>Companies!M182</f>
        <v>0</v>
      </c>
      <c r="M146" s="78" t="str">
        <f>Companies!N182</f>
        <v>Khosla Ventures, ACME Capital, Phil Libin, Richard Socher</v>
      </c>
      <c r="N146" s="78" t="str">
        <f>Companies!O182</f>
        <v>Series A</v>
      </c>
      <c r="O146" s="78">
        <f>Companies!P182</f>
        <v>4.4000000000000004</v>
      </c>
      <c r="P146" s="78" t="str">
        <f>Companies!Q182</f>
        <v>ACME Capital, Y Combinator, Ludlow Ventures, Shervin Pishevar</v>
      </c>
    </row>
    <row r="147" spans="2:16">
      <c r="B147" s="78" t="str">
        <f>Companies!B183</f>
        <v>Axios HQ</v>
      </c>
      <c r="C147" s="78" t="str">
        <f>Companies!C183</f>
        <v>Private</v>
      </c>
      <c r="D147" s="78">
        <f>Companies!D183</f>
        <v>80</v>
      </c>
      <c r="E147" s="78" t="str">
        <f>Companies!E183</f>
        <v>Series A</v>
      </c>
      <c r="F147" s="78">
        <f>Companies!F183</f>
        <v>20</v>
      </c>
      <c r="G147" s="78" t="str">
        <f>Companies!H183</f>
        <v>Former Axios, communications software</v>
      </c>
      <c r="H147" s="78" t="str">
        <f>Companies!I183</f>
        <v>Roy Schwartz, Jim VandeHei</v>
      </c>
      <c r="I147" s="78" t="str">
        <f>Companies!J183</f>
        <v>Enterprise</v>
      </c>
      <c r="J147" s="78" t="str">
        <f>Companies!K183</f>
        <v>Content</v>
      </c>
      <c r="K147" s="78">
        <f>Companies!L183</f>
        <v>2021</v>
      </c>
      <c r="L147" s="78">
        <f>Companies!M183</f>
        <v>0</v>
      </c>
      <c r="M147" s="78" t="str">
        <f>Companies!N183</f>
        <v>Greycroft, Glade Brook, Cox Enterprises</v>
      </c>
      <c r="N147" s="78" t="str">
        <f>Companies!O183</f>
        <v>N/A</v>
      </c>
      <c r="O147" s="78" t="str">
        <f>Companies!P183</f>
        <v>N/A</v>
      </c>
      <c r="P147" s="78" t="str">
        <f>Companies!Q183</f>
        <v>N/A</v>
      </c>
    </row>
    <row r="148" spans="2:16">
      <c r="B148" s="78" t="str">
        <f>Companies!B184</f>
        <v>prezent.ai</v>
      </c>
      <c r="C148" s="78" t="str">
        <f>Companies!C184</f>
        <v>Private</v>
      </c>
      <c r="D148" s="78">
        <f>Companies!D184</f>
        <v>80</v>
      </c>
      <c r="E148" s="78" t="str">
        <f>Companies!E184</f>
        <v>Series A</v>
      </c>
      <c r="F148" s="78">
        <f>Companies!F184</f>
        <v>20</v>
      </c>
      <c r="G148" s="78" t="str">
        <f>Companies!H184</f>
        <v>Slideshow/presentations</v>
      </c>
      <c r="H148" s="78" t="str">
        <f>Companies!I184</f>
        <v>Rajat Mishra</v>
      </c>
      <c r="I148" s="78" t="str">
        <f>Companies!J184</f>
        <v>Enterprise</v>
      </c>
      <c r="J148" s="78" t="str">
        <f>Companies!K184</f>
        <v>Presentations</v>
      </c>
      <c r="K148" s="78">
        <f>Companies!L184</f>
        <v>2021</v>
      </c>
      <c r="L148" s="78">
        <f>Companies!M184</f>
        <v>0</v>
      </c>
      <c r="M148" s="78" t="str">
        <f>Companies!N184</f>
        <v>Greycroft, WestWave Capital, Emergent Ventures, Zoom</v>
      </c>
      <c r="N148" s="78" t="str">
        <f>Companies!O184</f>
        <v>N/A</v>
      </c>
      <c r="O148" s="78" t="str">
        <f>Companies!P184</f>
        <v>N/A</v>
      </c>
      <c r="P148" s="78" t="str">
        <f>Companies!Q184</f>
        <v>N/A</v>
      </c>
    </row>
    <row r="149" spans="2:16">
      <c r="B149" s="78" t="str">
        <f>Companies!B185</f>
        <v>Wysa</v>
      </c>
      <c r="C149" s="78" t="str">
        <f>Companies!C185</f>
        <v>Private</v>
      </c>
      <c r="D149" s="78">
        <f>Companies!D185</f>
        <v>80</v>
      </c>
      <c r="E149" s="78" t="str">
        <f>Companies!E185</f>
        <v>Series B</v>
      </c>
      <c r="F149" s="78">
        <f>Companies!F185</f>
        <v>20</v>
      </c>
      <c r="G149" s="78" t="str">
        <f>Companies!H185</f>
        <v>Mental Health</v>
      </c>
      <c r="H149" s="78" t="str">
        <f>Companies!I185</f>
        <v>Jo Aggarwal, Ramakant Vempati</v>
      </c>
      <c r="I149" s="78" t="str">
        <f>Companies!J185</f>
        <v>Consumer</v>
      </c>
      <c r="J149" s="78" t="str">
        <f>Companies!K185</f>
        <v>Health</v>
      </c>
      <c r="K149" s="78">
        <f>Companies!L185</f>
        <v>2015</v>
      </c>
      <c r="L149" s="78" t="str">
        <f>Companies!M185</f>
        <v>Not really AI, using chatbot</v>
      </c>
      <c r="M149" s="78" t="str">
        <f>Companies!N185</f>
        <v>HealthQuad, W Health Ventures, Pi Ventures, Kae Capital, Google Assistant Investments, British International Investment</v>
      </c>
      <c r="N149" s="78" t="str">
        <f>Companies!O185</f>
        <v>Series A</v>
      </c>
      <c r="O149" s="78">
        <f>Companies!P185</f>
        <v>5.5</v>
      </c>
      <c r="P149" s="78" t="str">
        <f>Companies!Q185</f>
        <v>W Health Ventures, Pi Ventures, Kae Capital, Google Assistant Investments</v>
      </c>
    </row>
    <row r="150" spans="2:16">
      <c r="B150" s="78" t="str">
        <f>Companies!B186</f>
        <v>Utilidata</v>
      </c>
      <c r="C150" s="78" t="str">
        <f>Companies!C186</f>
        <v>Private</v>
      </c>
      <c r="D150" s="78">
        <f>Companies!D186</f>
        <v>75</v>
      </c>
      <c r="E150" s="78" t="str">
        <f>Companies!E186</f>
        <v>Series B</v>
      </c>
      <c r="F150" s="78">
        <f>Companies!F186</f>
        <v>26.8</v>
      </c>
      <c r="G150" s="78" t="str">
        <f>Companies!H186</f>
        <v>Utilities/energy</v>
      </c>
      <c r="H150" s="78" t="str">
        <f>Companies!I186</f>
        <v>Jeremy Wilson</v>
      </c>
      <c r="I150" s="78" t="str">
        <f>Companies!J186</f>
        <v>Enterprise</v>
      </c>
      <c r="J150" s="78" t="str">
        <f>Companies!K186</f>
        <v>Energy</v>
      </c>
      <c r="K150" s="78">
        <f>Companies!L186</f>
        <v>2012</v>
      </c>
      <c r="L150" s="78">
        <f>Companies!M186</f>
        <v>0</v>
      </c>
      <c r="M150" s="78" t="str">
        <f>Companies!N186</f>
        <v>Moore, Nvidia, MUUS, Microsoft, Keyframe, Braemar</v>
      </c>
      <c r="N150" s="78" t="str">
        <f>Companies!O186</f>
        <v>Series A</v>
      </c>
      <c r="O150" s="78">
        <f>Companies!P186</f>
        <v>8.3000000000000007</v>
      </c>
      <c r="P150" s="78" t="str">
        <f>Companies!Q186</f>
        <v>Keyframe, Braemar, American Electric Power</v>
      </c>
    </row>
    <row r="151" spans="2:16">
      <c r="B151" s="78" t="str">
        <f>Companies!B187</f>
        <v>HireEz</v>
      </c>
      <c r="C151" s="78" t="str">
        <f>Companies!C187</f>
        <v>Private</v>
      </c>
      <c r="D151" s="78">
        <f>Companies!D187</f>
        <v>75</v>
      </c>
      <c r="E151" s="78" t="str">
        <f>Companies!E187</f>
        <v>Series B</v>
      </c>
      <c r="F151" s="78">
        <f>Companies!F187</f>
        <v>26</v>
      </c>
      <c r="G151" s="78">
        <f>Companies!H187</f>
        <v>0</v>
      </c>
      <c r="H151" s="78" t="str">
        <f>Companies!I187</f>
        <v>Steven Jiang, Xinwen Zhang</v>
      </c>
      <c r="I151" s="78" t="str">
        <f>Companies!J187</f>
        <v>Enterprise</v>
      </c>
      <c r="J151" s="78" t="str">
        <f>Companies!K187</f>
        <v>Recruitment</v>
      </c>
      <c r="K151" s="78">
        <f>Companies!L187</f>
        <v>2015</v>
      </c>
      <c r="L151" s="78">
        <f>Companies!M187</f>
        <v>0</v>
      </c>
      <c r="M151" s="78" t="str">
        <f>Companies!N187</f>
        <v>Conductive Ventures, Duke Chung</v>
      </c>
      <c r="N151" s="78" t="str">
        <f>Companies!O187</f>
        <v>Series B</v>
      </c>
      <c r="O151" s="78">
        <f>Companies!P187</f>
        <v>13</v>
      </c>
      <c r="P151" s="78" t="str">
        <f>Companies!Q187</f>
        <v>Oceanpine Capital</v>
      </c>
    </row>
    <row r="152" spans="2:16">
      <c r="B152" s="78" t="str">
        <f>Companies!B188</f>
        <v>Pieces</v>
      </c>
      <c r="C152" s="78" t="str">
        <f>Companies!C188</f>
        <v>Private</v>
      </c>
      <c r="D152" s="78">
        <f>Companies!D188</f>
        <v>75</v>
      </c>
      <c r="E152" s="78" t="str">
        <f>Companies!E188</f>
        <v>Series B</v>
      </c>
      <c r="F152" s="78">
        <f>Companies!F188</f>
        <v>25.7</v>
      </c>
      <c r="G152" s="78" t="str">
        <f>Companies!H188</f>
        <v>Hospital readmission</v>
      </c>
      <c r="H152" s="78" t="str">
        <f>Companies!I188</f>
        <v>Ruben Amarasingham</v>
      </c>
      <c r="I152" s="78" t="str">
        <f>Companies!J188</f>
        <v>Enterprise</v>
      </c>
      <c r="J152" s="78" t="str">
        <f>Companies!K188</f>
        <v>Healthcare</v>
      </c>
      <c r="K152" s="78">
        <f>Companies!L188</f>
        <v>2015</v>
      </c>
      <c r="L152" s="78">
        <f>Companies!M188</f>
        <v>0</v>
      </c>
      <c r="M152" s="78" t="str">
        <f>Companies!N188</f>
        <v>Concord Health Partners, OSF Ventures, Children's Health</v>
      </c>
      <c r="N152" s="78" t="str">
        <f>Companies!O188</f>
        <v>Series A</v>
      </c>
      <c r="O152" s="78">
        <f>Companies!P188</f>
        <v>21.6</v>
      </c>
      <c r="P152" s="78" t="str">
        <f>Companies!Q188</f>
        <v>Pacific Advantage Capital, Jump Capital, Tribeca Early Stage Partners, Saint Francis Health System, PCCI, Children's Health</v>
      </c>
    </row>
    <row r="153" spans="2:16">
      <c r="B153" s="78" t="str">
        <f>Companies!B189</f>
        <v>Navina</v>
      </c>
      <c r="C153" s="78" t="str">
        <f>Companies!C189</f>
        <v>Private</v>
      </c>
      <c r="D153" s="78">
        <f>Companies!D189</f>
        <v>75</v>
      </c>
      <c r="E153" s="78" t="str">
        <f>Companies!E189</f>
        <v>Series B</v>
      </c>
      <c r="F153" s="78">
        <f>Companies!F189</f>
        <v>22</v>
      </c>
      <c r="G153" s="78" t="str">
        <f>Companies!H189</f>
        <v>Helps GPs and physicians prepare to see patients</v>
      </c>
      <c r="H153" s="78" t="str">
        <f>Companies!I189</f>
        <v>Ronen Lavi, Shay Perera</v>
      </c>
      <c r="I153" s="78" t="str">
        <f>Companies!J189</f>
        <v>Enterprise</v>
      </c>
      <c r="J153" s="78" t="str">
        <f>Companies!K189</f>
        <v>Healthcare</v>
      </c>
      <c r="K153" s="78">
        <f>Companies!L189</f>
        <v>2018</v>
      </c>
      <c r="L153" s="78">
        <f>Companies!M189</f>
        <v>0</v>
      </c>
      <c r="M153" s="78" t="str">
        <f>Companies!N189</f>
        <v>ALIVE Israel HealthTech Fund, Vertex Ventures Israel, Schusterman Foundation, Grove Ventures</v>
      </c>
      <c r="N153" s="78" t="str">
        <f>Companies!O189</f>
        <v>Series A</v>
      </c>
      <c r="O153" s="78">
        <f>Companies!P189</f>
        <v>15</v>
      </c>
      <c r="P153" s="78" t="str">
        <f>Companies!Q189</f>
        <v>Vertex Ventures Israel, Schusterman Foundation, Grove Ventures</v>
      </c>
    </row>
    <row r="154" spans="2:16">
      <c r="B154" s="78" t="str">
        <f>Companies!B190</f>
        <v>Pactum</v>
      </c>
      <c r="C154" s="78" t="str">
        <f>Companies!C190</f>
        <v>Private</v>
      </c>
      <c r="D154" s="78">
        <f>Companies!D190</f>
        <v>75</v>
      </c>
      <c r="E154" s="78" t="str">
        <f>Companies!E190</f>
        <v>Series A</v>
      </c>
      <c r="F154" s="78">
        <f>Companies!F190</f>
        <v>20</v>
      </c>
      <c r="G154" s="78" t="str">
        <f>Companies!H190</f>
        <v>Automated Contract Negotiation</v>
      </c>
      <c r="H154" s="78" t="str">
        <f>Companies!I190</f>
        <v>Kaspar Korjus, Kristjan Korjus, Martin Rand</v>
      </c>
      <c r="I154" s="78" t="str">
        <f>Companies!J190</f>
        <v>Enterprise</v>
      </c>
      <c r="J154" s="78" t="str">
        <f>Companies!K190</f>
        <v>Procurement</v>
      </c>
      <c r="K154" s="78" t="str">
        <f>Companies!L190</f>
        <v>2019</v>
      </c>
      <c r="L154" s="78">
        <f>Companies!M190</f>
        <v>0</v>
      </c>
      <c r="M154" s="78" t="str">
        <f>Companies!N190</f>
        <v>3VC, Taavet+Sten, Project A Ventures, NordicNinja VC, Metaplanet Holdings, Maersk Growth, Atomico</v>
      </c>
      <c r="N154" s="78" t="str">
        <f>Companies!O190</f>
        <v>Series A</v>
      </c>
      <c r="O154" s="78">
        <f>Companies!P190</f>
        <v>11</v>
      </c>
      <c r="P154" s="78" t="str">
        <f>Companies!Q190</f>
        <v>Atomico, Taavet Hinrikus, Sten Tamkivi, Project A Ventures, Ott Kaukver, Metaplanet Holdings</v>
      </c>
    </row>
    <row r="155" spans="2:16">
      <c r="B155" s="78" t="str">
        <f>Companies!B191</f>
        <v>Wiz.ai</v>
      </c>
      <c r="C155" s="78" t="str">
        <f>Companies!C191</f>
        <v>Private</v>
      </c>
      <c r="D155" s="78">
        <f>Companies!D191</f>
        <v>75</v>
      </c>
      <c r="E155" s="78" t="str">
        <f>Companies!E191</f>
        <v>Series A</v>
      </c>
      <c r="F155" s="78">
        <f>Companies!F191</f>
        <v>20</v>
      </c>
      <c r="G155" s="78" t="str">
        <f>Companies!H191</f>
        <v>Customer Service bots</v>
      </c>
      <c r="H155" s="78">
        <f>Companies!I191</f>
        <v>0</v>
      </c>
      <c r="I155" s="78" t="str">
        <f>Companies!J191</f>
        <v>Enterprise</v>
      </c>
      <c r="J155" s="78" t="str">
        <f>Companies!K191</f>
        <v>Voice</v>
      </c>
      <c r="K155" s="78">
        <f>Companies!L191</f>
        <v>43510</v>
      </c>
      <c r="L155" s="78">
        <f>Companies!M191</f>
        <v>0</v>
      </c>
      <c r="M155" s="78" t="str">
        <f>Companies!N191</f>
        <v>Hillhouse, Gaorong Capital, Yunqi Partners, Wavemaker Partners, Singtel Innov8, K3 Ventures, Insignia Venture Partners, GGV Capital</v>
      </c>
      <c r="N155" s="78" t="str">
        <f>Companies!O191</f>
        <v>Seed</v>
      </c>
      <c r="O155" s="78">
        <f>Companies!P191</f>
        <v>6</v>
      </c>
      <c r="P155" s="78" t="str">
        <f>Companies!Q191</f>
        <v>ZWC Partners, GGV Capital, Insignia Ventures Partners, Wavemaker Partners</v>
      </c>
    </row>
    <row r="156" spans="2:16">
      <c r="B156" s="78" t="str">
        <f>Companies!B192</f>
        <v>Deepdub</v>
      </c>
      <c r="C156" s="78" t="str">
        <f>Companies!C192</f>
        <v>Private</v>
      </c>
      <c r="D156" s="78">
        <f>Companies!D192</f>
        <v>75</v>
      </c>
      <c r="E156" s="78" t="str">
        <f>Companies!E192</f>
        <v>Series A</v>
      </c>
      <c r="F156" s="78">
        <f>Companies!F192</f>
        <v>20</v>
      </c>
      <c r="G156" s="78" t="str">
        <f>Companies!H192</f>
        <v>Dubbing</v>
      </c>
      <c r="H156" s="78" t="str">
        <f>Companies!I192</f>
        <v>Nir Krakowski, Ofir Krakowski</v>
      </c>
      <c r="I156" s="78" t="str">
        <f>Companies!J192</f>
        <v>Enterprise</v>
      </c>
      <c r="J156" s="78" t="str">
        <f>Companies!K192</f>
        <v>Voice</v>
      </c>
      <c r="K156" s="78">
        <f>Companies!L192</f>
        <v>2019</v>
      </c>
      <c r="L156" s="78">
        <f>Companies!M192</f>
        <v>0</v>
      </c>
      <c r="M156" s="78" t="str">
        <f>Companies!N192</f>
        <v>Insight Partners, Swift Ventures, Stardom Ventures, Matias Ventures, Booster Ventures Roi Tiger, Kevin Reilly, Gideon Marks, Emiliano Calemzuk, Danny Grander, Daniel Chadash</v>
      </c>
      <c r="N156" s="78" t="str">
        <f>Companies!O192</f>
        <v>N/A</v>
      </c>
      <c r="O156" s="78" t="str">
        <f>Companies!P192</f>
        <v>N/A</v>
      </c>
      <c r="P156" s="78" t="str">
        <f>Companies!Q192</f>
        <v>N/A</v>
      </c>
    </row>
    <row r="157" spans="2:16">
      <c r="B157" s="78" t="str">
        <f>Companies!B193</f>
        <v>Daloopa</v>
      </c>
      <c r="C157" s="78" t="str">
        <f>Companies!C193</f>
        <v>Private</v>
      </c>
      <c r="D157" s="78">
        <f>Companies!D193</f>
        <v>75</v>
      </c>
      <c r="E157" s="78" t="str">
        <f>Companies!E193</f>
        <v>Series A</v>
      </c>
      <c r="F157" s="78">
        <f>Companies!F193</f>
        <v>20</v>
      </c>
      <c r="G157" s="78" t="str">
        <f>Companies!H193</f>
        <v>Document retrieval, data extraction</v>
      </c>
      <c r="H157" s="78" t="str">
        <f>Companies!I193</f>
        <v>Daniel Chen, Jeremy Huang, Thomas Li</v>
      </c>
      <c r="I157" s="78" t="str">
        <f>Companies!J193</f>
        <v>Enterprise</v>
      </c>
      <c r="J157" s="78" t="str">
        <f>Companies!K193</f>
        <v>Finance</v>
      </c>
      <c r="K157" s="78">
        <f>Companies!L193</f>
        <v>2019</v>
      </c>
      <c r="L157" s="78">
        <f>Companies!M193</f>
        <v>0</v>
      </c>
      <c r="M157" s="78" t="str">
        <f>Companies!N193</f>
        <v>Credit Suisse NEXT Investors, Hack VC, Uncorrelated Ventures, Nexus Venture Partners, Bossanova Investimentos</v>
      </c>
      <c r="N157" s="78" t="str">
        <f>Companies!O193</f>
        <v>Seed</v>
      </c>
      <c r="O157" s="78">
        <f>Companies!P193</f>
        <v>3.4</v>
      </c>
      <c r="P157" s="78" t="str">
        <f>Companies!Q193</f>
        <v>Nexus Venture Partners</v>
      </c>
    </row>
    <row r="158" spans="2:16">
      <c r="B158" s="78" t="str">
        <f>Companies!B194</f>
        <v>Two Platforms (two.ai)</v>
      </c>
      <c r="C158" s="78" t="str">
        <f>Companies!C194</f>
        <v>Private</v>
      </c>
      <c r="D158" s="78">
        <f>Companies!D194</f>
        <v>75</v>
      </c>
      <c r="E158" s="78" t="str">
        <f>Companies!E194</f>
        <v>Series A</v>
      </c>
      <c r="F158" s="78">
        <f>Companies!F194</f>
        <v>20</v>
      </c>
      <c r="G158" s="78" t="str">
        <f>Companies!H194</f>
        <v>AutoCameo, video</v>
      </c>
      <c r="H158" s="78">
        <f>Companies!I194</f>
        <v>0</v>
      </c>
      <c r="I158" s="78" t="str">
        <f>Companies!J194</f>
        <v>Tool</v>
      </c>
      <c r="J158" s="78" t="str">
        <f>Companies!K194</f>
        <v>Artificial Reality</v>
      </c>
      <c r="K158" s="78">
        <f>Companies!L194</f>
        <v>2021</v>
      </c>
      <c r="L158" s="78">
        <f>Companies!M194</f>
        <v>0</v>
      </c>
      <c r="M158" s="78" t="str">
        <f>Companies!N194</f>
        <v>Reliance Jio, Naver</v>
      </c>
      <c r="N158" s="78" t="str">
        <f>Companies!O194</f>
        <v>N/A</v>
      </c>
      <c r="O158" s="78" t="str">
        <f>Companies!P194</f>
        <v>N/A</v>
      </c>
      <c r="P158" s="78" t="str">
        <f>Companies!Q194</f>
        <v>N/A</v>
      </c>
    </row>
    <row r="159" spans="2:16">
      <c r="B159" s="78" t="str">
        <f>Companies!B195</f>
        <v>Roboflow</v>
      </c>
      <c r="C159" s="78" t="str">
        <f>Companies!C195</f>
        <v>Private</v>
      </c>
      <c r="D159" s="78">
        <f>Companies!D195</f>
        <v>75</v>
      </c>
      <c r="E159" s="78" t="str">
        <f>Companies!E195</f>
        <v>Series A</v>
      </c>
      <c r="F159" s="78">
        <f>Companies!F195</f>
        <v>20</v>
      </c>
      <c r="G159" s="78" t="str">
        <f>Companies!H195</f>
        <v>Computer vision models, dev tools</v>
      </c>
      <c r="H159" s="78" t="str">
        <f>Companies!I195</f>
        <v>Brad Dwyer, Joseph Nelson</v>
      </c>
      <c r="I159" s="78" t="str">
        <f>Companies!J195</f>
        <v>Tool</v>
      </c>
      <c r="J159" s="78" t="str">
        <f>Companies!K195</f>
        <v>Computer Vision</v>
      </c>
      <c r="K159" s="78" t="str">
        <f>Companies!L195</f>
        <v>2019</v>
      </c>
      <c r="L159" s="78">
        <f>Companies!M195</f>
        <v>0</v>
      </c>
      <c r="M159" s="78" t="str">
        <f>Companies!N195</f>
        <v>Craft Ventures, Sam Altman, Quiet Capital, Mike Maples Jr, Max Altman, Lachy Groom, Joe Morrissey, Jack Altman, Harry Hurst, Greg Brockman, DJ Patil, Cassidy Williams</v>
      </c>
      <c r="N159" s="78" t="str">
        <f>Companies!O195</f>
        <v>Seed</v>
      </c>
      <c r="O159" s="78" t="str">
        <f>Companies!P195</f>
        <v>Craft Ventures, Next Level Ventures, Lachy Groom, Leore Avidar, Kevin Liu, James Tamplin, Elizabeth Caven, Calvin French-Owen, Aston Motes</v>
      </c>
      <c r="P159" s="78" t="str">
        <f>Companies!Q195</f>
        <v>N/A</v>
      </c>
    </row>
    <row r="160" spans="2:16">
      <c r="B160" s="78" t="str">
        <f>Companies!B196</f>
        <v>Rasgo</v>
      </c>
      <c r="C160" s="78" t="str">
        <f>Companies!C196</f>
        <v>Private</v>
      </c>
      <c r="D160" s="78">
        <f>Companies!D196</f>
        <v>75</v>
      </c>
      <c r="E160" s="78" t="str">
        <f>Companies!E196</f>
        <v>Series A</v>
      </c>
      <c r="F160" s="78">
        <f>Companies!F196</f>
        <v>20</v>
      </c>
      <c r="G160" s="78" t="str">
        <f>Companies!H196</f>
        <v>Data inconsistency</v>
      </c>
      <c r="H160" s="78" t="str">
        <f>Companies!I196</f>
        <v>Jared Parker, Patrick Dougherty</v>
      </c>
      <c r="I160" s="78" t="str">
        <f>Companies!J196</f>
        <v>Enterprise</v>
      </c>
      <c r="J160" s="78" t="str">
        <f>Companies!K196</f>
        <v>Business Intelligence</v>
      </c>
      <c r="K160" s="78">
        <f>Companies!L196</f>
        <v>2020</v>
      </c>
      <c r="L160" s="78">
        <f>Companies!M196</f>
        <v>0</v>
      </c>
      <c r="M160" s="78" t="str">
        <f>Companies!N196</f>
        <v>Insight Partners, Unusual Ventures</v>
      </c>
      <c r="N160" s="78" t="str">
        <f>Companies!O196</f>
        <v>N/A</v>
      </c>
      <c r="O160" s="78" t="str">
        <f>Companies!P196</f>
        <v>N/A</v>
      </c>
      <c r="P160" s="78" t="str">
        <f>Companies!Q196</f>
        <v>N/A</v>
      </c>
    </row>
    <row r="161" spans="2:16">
      <c r="B161" s="78" t="str">
        <f>Companies!B197</f>
        <v>Enchanted Tools</v>
      </c>
      <c r="C161" s="78" t="str">
        <f>Companies!C197</f>
        <v>Private</v>
      </c>
      <c r="D161" s="78">
        <f>Companies!D197</f>
        <v>75</v>
      </c>
      <c r="E161" s="78" t="str">
        <f>Companies!E197</f>
        <v>Seed</v>
      </c>
      <c r="F161" s="78">
        <f>Companies!F197</f>
        <v>20</v>
      </c>
      <c r="G161" s="78" t="str">
        <f>Companies!H197</f>
        <v>Mirokai, furry robot</v>
      </c>
      <c r="H161" s="78" t="str">
        <f>Companies!I197</f>
        <v>Jerome Monceaux</v>
      </c>
      <c r="I161" s="78" t="str">
        <f>Companies!J197</f>
        <v>Robotics</v>
      </c>
      <c r="J161" s="78" t="str">
        <f>Companies!K197</f>
        <v>Humanoid</v>
      </c>
      <c r="K161" s="78">
        <f>Companies!L197</f>
        <v>2021</v>
      </c>
      <c r="L161" s="78">
        <f>Companies!M197</f>
        <v>0</v>
      </c>
      <c r="M161" s="78" t="str">
        <f>Companies!N197</f>
        <v>N/A</v>
      </c>
      <c r="N161" s="78" t="str">
        <f>Companies!O197</f>
        <v>N/A</v>
      </c>
      <c r="O161" s="78" t="str">
        <f>Companies!P197</f>
        <v>N/A</v>
      </c>
      <c r="P161" s="78" t="str">
        <f>Companies!Q197</f>
        <v>N/A</v>
      </c>
    </row>
    <row r="162" spans="2:16">
      <c r="B162" s="78" t="str">
        <f>Companies!B198</f>
        <v>Chroma</v>
      </c>
      <c r="C162" s="78" t="str">
        <f>Companies!C198</f>
        <v>Private</v>
      </c>
      <c r="D162" s="78">
        <f>Companies!D198</f>
        <v>75</v>
      </c>
      <c r="E162" s="78" t="str">
        <f>Companies!E198</f>
        <v>Seed</v>
      </c>
      <c r="F162" s="78">
        <f>Companies!F198</f>
        <v>18</v>
      </c>
      <c r="G162" s="78" t="str">
        <f>Companies!H198</f>
        <v>My favorite VDB</v>
      </c>
      <c r="H162" s="78">
        <f>Companies!I198</f>
        <v>0</v>
      </c>
      <c r="I162" s="78" t="str">
        <f>Companies!J198</f>
        <v>Enterprise</v>
      </c>
      <c r="J162" s="78" t="str">
        <f>Companies!K198</f>
        <v>Vector</v>
      </c>
      <c r="K162" s="78">
        <f>Companies!L198</f>
        <v>2022</v>
      </c>
      <c r="L162" s="78" t="str">
        <f>Companies!M198</f>
        <v>AI Grant batch 1</v>
      </c>
      <c r="M162" s="78" t="str">
        <f>Companies!N198</f>
        <v>Quiet Capital, Spencer Kimball, Naval Ravikant, Max Altman, Jordan Tigani, Jack Altman, Guillermo Rauch, Amjad Masad, Akshay Kothari</v>
      </c>
      <c r="N162" s="78" t="str">
        <f>Companies!O198</f>
        <v>Pre-Seed</v>
      </c>
      <c r="O162" s="78">
        <f>Companies!P198</f>
        <v>2.2999999999999998</v>
      </c>
      <c r="P162" s="78" t="str">
        <f>Companies!Q198</f>
        <v>Nat Friedman, James Cham, Daniel Gross, Anthony Goldbloom</v>
      </c>
    </row>
    <row r="163" spans="2:16">
      <c r="B163" s="78" t="str">
        <f>Companies!B199</f>
        <v>Synthesis AI</v>
      </c>
      <c r="C163" s="78" t="str">
        <f>Companies!C199</f>
        <v>Private</v>
      </c>
      <c r="D163" s="78">
        <f>Companies!D199</f>
        <v>75</v>
      </c>
      <c r="E163" s="78" t="str">
        <f>Companies!E199</f>
        <v>Series A</v>
      </c>
      <c r="F163" s="78">
        <f>Companies!F199</f>
        <v>17</v>
      </c>
      <c r="G163" s="78" t="str">
        <f>Companies!H199</f>
        <v>Data generation, synthetic data</v>
      </c>
      <c r="H163" s="78" t="str">
        <f>Companies!I199</f>
        <v>Yashar Behzadi</v>
      </c>
      <c r="I163" s="78" t="str">
        <f>Companies!J199</f>
        <v>Tool</v>
      </c>
      <c r="J163" s="78" t="str">
        <f>Companies!K199</f>
        <v>Computer Vision</v>
      </c>
      <c r="K163" s="78">
        <f>Companies!L199</f>
        <v>2019</v>
      </c>
      <c r="L163" s="78">
        <f>Companies!M199</f>
        <v>0</v>
      </c>
      <c r="M163" s="78" t="str">
        <f>Companies!N199</f>
        <v>468 Capital, Strawberry Creek Ventures, Sorenson Ventures, PJC, Kubera Venture Capital, iRobot Ventures, Boom Capital, Bee Partners</v>
      </c>
      <c r="N163" s="78" t="str">
        <f>Companies!O199</f>
        <v>Seed</v>
      </c>
      <c r="O163" s="78">
        <f>Companies!P199</f>
        <v>4.5</v>
      </c>
      <c r="P163" s="78" t="str">
        <f>Companies!Q199</f>
        <v>Swift Ventures, PJC, LETA Capital, Kubera Venture Capital, iRobot Ventures, Bossanova Investimentos, Boom Capital, Bee Capital</v>
      </c>
    </row>
    <row r="164" spans="2:16">
      <c r="B164" s="78" t="str">
        <f>Companies!B200</f>
        <v>Alethea AI</v>
      </c>
      <c r="C164" s="78" t="str">
        <f>Companies!C200</f>
        <v>Private</v>
      </c>
      <c r="D164" s="78">
        <f>Companies!D200</f>
        <v>75</v>
      </c>
      <c r="E164" s="78" t="str">
        <f>Companies!E200</f>
        <v>Seed</v>
      </c>
      <c r="F164" s="78">
        <f>Companies!F200</f>
        <v>16</v>
      </c>
      <c r="G164" s="78" t="str">
        <f>Companies!H200</f>
        <v>CharacterGPT, Interactive Agent NFTs</v>
      </c>
      <c r="H164" s="78" t="str">
        <f>Companies!I200</f>
        <v>Arif Khan</v>
      </c>
      <c r="I164" s="78" t="str">
        <f>Companies!J200</f>
        <v>Consumer</v>
      </c>
      <c r="J164" s="78" t="str">
        <f>Companies!K200</f>
        <v>Content</v>
      </c>
      <c r="K164" s="78">
        <f>Companies!L200</f>
        <v>2020</v>
      </c>
      <c r="L164" s="78">
        <f>Companies!M200</f>
        <v>0</v>
      </c>
      <c r="M164" s="78" t="str">
        <f>Companies!N200</f>
        <v>Multicoin Capital, Mark Cuban, IOSG Ventures, Crypto.com, Bitkraft Ventures, Alameda Ventures, 6th Man Ventures</v>
      </c>
      <c r="N164" s="78" t="str">
        <f>Companies!O200</f>
        <v>Pre-Seed</v>
      </c>
      <c r="O164" s="78" t="str">
        <f>Companies!P200</f>
        <v>N/A</v>
      </c>
      <c r="P164" s="78" t="str">
        <f>Companies!Q200</f>
        <v>Kid Venture Capital</v>
      </c>
    </row>
    <row r="165" spans="2:16">
      <c r="B165" s="78" t="str">
        <f>Companies!B201</f>
        <v>Torre</v>
      </c>
      <c r="C165" s="78" t="str">
        <f>Companies!C201</f>
        <v>Private</v>
      </c>
      <c r="D165" s="78">
        <f>Companies!D201</f>
        <v>75</v>
      </c>
      <c r="E165" s="78" t="str">
        <f>Companies!E201</f>
        <v>Seed</v>
      </c>
      <c r="F165" s="78">
        <f>Companies!F201</f>
        <v>16</v>
      </c>
      <c r="G165" s="78">
        <f>Companies!H201</f>
        <v>0</v>
      </c>
      <c r="H165" s="78" t="str">
        <f>Companies!I201</f>
        <v>Alexander Torrenegra, Andres Cajiao</v>
      </c>
      <c r="I165" s="78" t="str">
        <f>Companies!J201</f>
        <v>Enterprise</v>
      </c>
      <c r="J165" s="78" t="str">
        <f>Companies!K201</f>
        <v>Recruiting</v>
      </c>
      <c r="K165" s="78">
        <f>Companies!L201</f>
        <v>2019</v>
      </c>
      <c r="L165" s="78">
        <f>Companies!M201</f>
        <v>0</v>
      </c>
      <c r="M165" s="78" t="str">
        <f>Companies!N201</f>
        <v>Emma Group, TBD Angels, Simma Capital, Salkantay Ventures, MatterScale Ventures, Rodrigo Schmidt, Mike Shoemaker, Michael Lazerow, Kass Lazerow, Haiping Zhao, Diego Piacentini, Brian Requarth</v>
      </c>
      <c r="N165" s="78" t="str">
        <f>Companies!O201</f>
        <v>Seed</v>
      </c>
      <c r="O165" s="78" t="str">
        <f>Companies!P201</f>
        <v>N/A</v>
      </c>
      <c r="P165" s="78" t="str">
        <f>Companies!Q201</f>
        <v>Beta Ventures, The Ark Fund</v>
      </c>
    </row>
    <row r="166" spans="2:16">
      <c r="B166" s="78" t="str">
        <f>Companies!B202</f>
        <v>Neural Magic</v>
      </c>
      <c r="C166" s="78" t="str">
        <f>Companies!C202</f>
        <v>Private</v>
      </c>
      <c r="D166" s="78">
        <f>Companies!D202</f>
        <v>75</v>
      </c>
      <c r="E166" s="78" t="str">
        <f>Companies!E202</f>
        <v>Series A</v>
      </c>
      <c r="F166" s="78">
        <f>Companies!F202</f>
        <v>30</v>
      </c>
      <c r="G166" s="78" t="str">
        <f>Companies!H202</f>
        <v>DeepSparse, SparseML, compute on CPU</v>
      </c>
      <c r="H166" s="78" t="str">
        <f>Companies!I202</f>
        <v>Alex Matveev</v>
      </c>
      <c r="I166" s="78" t="str">
        <f>Companies!J202</f>
        <v>Enterprise</v>
      </c>
      <c r="J166" s="78" t="str">
        <f>Companies!K202</f>
        <v>Compute</v>
      </c>
      <c r="K166" s="78">
        <f>Companies!L202</f>
        <v>2017</v>
      </c>
      <c r="L166" s="78">
        <f>Companies!M202</f>
        <v>0</v>
      </c>
      <c r="M166" s="78" t="str">
        <f>Companies!N202</f>
        <v>NEA, Ridgeline, Pillar VC, Comcast Ventures, a16z, Amdocs</v>
      </c>
      <c r="N166" s="78" t="str">
        <f>Companies!O202</f>
        <v>Seed</v>
      </c>
      <c r="O166" s="78">
        <f>Companies!P202</f>
        <v>15</v>
      </c>
      <c r="P166" s="78" t="str">
        <f>Companies!Q202</f>
        <v>Comcast Ventures, Pillar, NEA, a16z, Amdocs</v>
      </c>
    </row>
    <row r="167" spans="2:16">
      <c r="B167" s="78" t="str">
        <f>Companies!B203</f>
        <v>Zuva</v>
      </c>
      <c r="C167" s="78" t="str">
        <f>Companies!C203</f>
        <v>Private</v>
      </c>
      <c r="D167" s="78">
        <f>Companies!D203</f>
        <v>75</v>
      </c>
      <c r="E167" s="78" t="str">
        <f>Companies!E203</f>
        <v>Series A</v>
      </c>
      <c r="F167" s="78">
        <f>Companies!F203</f>
        <v>15</v>
      </c>
      <c r="G167" s="78" t="str">
        <f>Companies!H203</f>
        <v>Document AI</v>
      </c>
      <c r="H167" s="78">
        <f>Companies!I203</f>
        <v>0</v>
      </c>
      <c r="I167" s="78" t="str">
        <f>Companies!J203</f>
        <v>Enterprise</v>
      </c>
      <c r="J167" s="78" t="str">
        <f>Companies!K203</f>
        <v>Legal</v>
      </c>
      <c r="K167" s="78">
        <f>Companies!L203</f>
        <v>2021</v>
      </c>
      <c r="L167" s="78">
        <f>Companies!M203</f>
        <v>0</v>
      </c>
      <c r="M167" s="78" t="str">
        <f>Companies!N203</f>
        <v>Insight Partners, Alexander Hudek, Noah Waisberg</v>
      </c>
      <c r="N167" s="78" t="str">
        <f>Companies!O203</f>
        <v>N/A</v>
      </c>
      <c r="O167" s="78" t="str">
        <f>Companies!P203</f>
        <v>N/A</v>
      </c>
      <c r="P167" s="78" t="str">
        <f>Companies!Q203</f>
        <v>N/A</v>
      </c>
    </row>
    <row r="168" spans="2:16">
      <c r="B168" s="78" t="str">
        <f>Companies!B204</f>
        <v>Facet.ai</v>
      </c>
      <c r="C168" s="78" t="str">
        <f>Companies!C204</f>
        <v>Private</v>
      </c>
      <c r="D168" s="78">
        <f>Companies!D204</f>
        <v>75</v>
      </c>
      <c r="E168" s="78" t="str">
        <f>Companies!E204</f>
        <v>Series A</v>
      </c>
      <c r="F168" s="78">
        <f>Companies!F204</f>
        <v>13</v>
      </c>
      <c r="G168" s="78" t="str">
        <f>Companies!H204</f>
        <v>Image Tools</v>
      </c>
      <c r="H168" s="78" t="str">
        <f>Companies!I204</f>
        <v>Joseph Reisinger, Matt Stanton</v>
      </c>
      <c r="I168" s="78" t="str">
        <f>Companies!J204</f>
        <v>Enterprise</v>
      </c>
      <c r="J168" s="78" t="str">
        <f>Companies!K204</f>
        <v>Image Workflow</v>
      </c>
      <c r="K168" s="78">
        <f>Companies!L204</f>
        <v>2017</v>
      </c>
      <c r="L168" s="78">
        <f>Companies!M204</f>
        <v>0</v>
      </c>
      <c r="M168" s="78" t="str">
        <f>Companies!N204</f>
        <v>Two Sigma Ventures, Spacecadet Ventures, South Park Commons, Slow Ventures, Basis Set Ventures, Accel</v>
      </c>
      <c r="N168" s="78" t="str">
        <f>Companies!O204</f>
        <v>Seed</v>
      </c>
      <c r="O168" s="78">
        <f>Companies!P204</f>
        <v>2.5</v>
      </c>
      <c r="P168" s="78" t="str">
        <f>Companies!Q204</f>
        <v>Spacecadet Ventures, 10X Capital</v>
      </c>
    </row>
    <row r="169" spans="2:16">
      <c r="B169" s="78" t="str">
        <f>Companies!B205</f>
        <v>EnCharge AI</v>
      </c>
      <c r="C169" s="78" t="str">
        <f>Companies!C205</f>
        <v>Private</v>
      </c>
      <c r="D169" s="78">
        <f>Companies!D205</f>
        <v>60</v>
      </c>
      <c r="E169" s="78" t="str">
        <f>Companies!E205</f>
        <v>Series A</v>
      </c>
      <c r="F169" s="78">
        <f>Companies!F205</f>
        <v>21.7</v>
      </c>
      <c r="G169" s="78" t="str">
        <f>Companies!H205</f>
        <v>FPGA for AI</v>
      </c>
      <c r="H169" s="78">
        <f>Companies!I205</f>
        <v>0</v>
      </c>
      <c r="I169" s="78" t="str">
        <f>Companies!J205</f>
        <v>Hardware</v>
      </c>
      <c r="J169" s="78" t="str">
        <f>Companies!K205</f>
        <v>FPGA</v>
      </c>
      <c r="K169" s="78">
        <f>Companies!L205</f>
        <v>2022</v>
      </c>
      <c r="L169" s="78">
        <f>Companies!M205</f>
        <v>0</v>
      </c>
      <c r="M169" s="78" t="str">
        <f>Companies!N205</f>
        <v>Anzu Partners, The E14 Fund, Silicon Catalyst, Scout Ventures, Schams Ventures, Alumni Ventures, AlleyCorp</v>
      </c>
      <c r="N169" s="78" t="str">
        <f>Companies!O205</f>
        <v>N/A</v>
      </c>
      <c r="O169" s="78" t="str">
        <f>Companies!P205</f>
        <v>N/A</v>
      </c>
      <c r="P169" s="78" t="str">
        <f>Companies!Q205</f>
        <v>N/A</v>
      </c>
    </row>
    <row r="170" spans="2:16">
      <c r="B170" s="78" t="str">
        <f>Companies!B206</f>
        <v>Ava</v>
      </c>
      <c r="C170" s="78" t="str">
        <f>Companies!C206</f>
        <v>Private</v>
      </c>
      <c r="D170" s="78">
        <f>Companies!D206</f>
        <v>60</v>
      </c>
      <c r="E170" s="78" t="str">
        <f>Companies!E206</f>
        <v>Series A</v>
      </c>
      <c r="F170" s="78">
        <f>Companies!F206</f>
        <v>10</v>
      </c>
      <c r="G170" s="78" t="str">
        <f>Companies!H206</f>
        <v>Real-time transcription</v>
      </c>
      <c r="H170" s="78" t="str">
        <f>Companies!I206</f>
        <v>Pieter Doevendans, Skinner Cheng, Thibault Duchemin</v>
      </c>
      <c r="I170" s="78" t="str">
        <f>Companies!J206</f>
        <v>Enterprise</v>
      </c>
      <c r="J170" s="78" t="str">
        <f>Companies!K206</f>
        <v>Transcription</v>
      </c>
      <c r="K170" s="78">
        <f>Companies!L206</f>
        <v>2014</v>
      </c>
      <c r="L170" s="78">
        <f>Companies!M206</f>
        <v>0</v>
      </c>
      <c r="M170" s="78" t="str">
        <f>Companies!N206</f>
        <v>Khosla Ventures, Sorenson Ventures, Ring Capital, Lerer Hippeau, FrenchFounders, Initialized Capital</v>
      </c>
      <c r="N170" s="78" t="str">
        <f>Companies!O206</f>
        <v>Seed</v>
      </c>
      <c r="O170" s="78">
        <f>Companies!P206</f>
        <v>4.5</v>
      </c>
      <c r="P170" s="78" t="str">
        <f>Companies!Q206</f>
        <v>Khosla Ventures, Initialized Capital, Day One Ventures</v>
      </c>
    </row>
    <row r="171" spans="2:16">
      <c r="B171" s="78" t="str">
        <f>Companies!B207</f>
        <v>ZeroEyes</v>
      </c>
      <c r="C171" s="78" t="str">
        <f>Companies!C207</f>
        <v>Private</v>
      </c>
      <c r="D171" s="78">
        <f>Companies!D207</f>
        <v>50</v>
      </c>
      <c r="E171" s="78" t="str">
        <f>Companies!E207</f>
        <v>Series A</v>
      </c>
      <c r="F171" s="78">
        <f>Companies!F207</f>
        <v>20.9</v>
      </c>
      <c r="G171" s="78" t="str">
        <f>Companies!H207</f>
        <v>AI Gun Detection</v>
      </c>
      <c r="H171" s="78" t="str">
        <f>Companies!I207</f>
        <v>Billy Hunter, Caleb Jones, Dustin Brooks, Mike Lahiff, Rob Huberty, Sam Alaimo, Tim Sulzer</v>
      </c>
      <c r="I171" s="78" t="str">
        <f>Companies!J207</f>
        <v>Enterprise</v>
      </c>
      <c r="J171" s="78" t="str">
        <f>Companies!K207</f>
        <v>Safety</v>
      </c>
      <c r="K171" s="78">
        <f>Companies!L207</f>
        <v>2018</v>
      </c>
      <c r="L171" s="78">
        <f>Companies!M207</f>
        <v>0</v>
      </c>
      <c r="M171" s="78" t="str">
        <f>Companies!N207</f>
        <v>Octave Ventures LLC, Legion Capital, Grateful Ventures, Alpha Intelligence Capital, Alliance Holdings GP</v>
      </c>
      <c r="N171" s="78" t="str">
        <f>Companies!O207</f>
        <v>Seed</v>
      </c>
      <c r="O171" s="78">
        <f>Companies!P207</f>
        <v>1.5</v>
      </c>
      <c r="P171" s="78" t="str">
        <f>Companies!Q207</f>
        <v>Natoma, Legion Capital, Grateful Ventures, Backswing Ventures</v>
      </c>
    </row>
    <row r="172" spans="2:16">
      <c r="B172" s="78" t="str">
        <f>Companies!B208</f>
        <v>Essential AI</v>
      </c>
      <c r="C172" s="78" t="str">
        <f>Companies!C208</f>
        <v>Private</v>
      </c>
      <c r="D172" s="78">
        <f>Companies!D208</f>
        <v>50</v>
      </c>
      <c r="E172" s="78" t="str">
        <f>Companies!E208</f>
        <v>Seed</v>
      </c>
      <c r="F172" s="78">
        <f>Companies!F208</f>
        <v>18.5</v>
      </c>
      <c r="G172" s="78" t="str">
        <f>Companies!H208</f>
        <v>LLM tools</v>
      </c>
      <c r="H172" s="78" t="str">
        <f>Companies!I208</f>
        <v>Ashish Vaswani, Niki Parmar</v>
      </c>
      <c r="I172" s="78" t="str">
        <f>Companies!J208</f>
        <v>Enterprise</v>
      </c>
      <c r="J172" s="78" t="str">
        <f>Companies!K208</f>
        <v>MLOps</v>
      </c>
      <c r="K172" s="78">
        <f>Companies!L208</f>
        <v>2023</v>
      </c>
      <c r="L172" s="78">
        <f>Companies!M208</f>
        <v>0</v>
      </c>
      <c r="M172" s="78" t="str">
        <f>Companies!N208</f>
        <v>Elad Gil, Thrive Capital</v>
      </c>
      <c r="N172" s="78" t="str">
        <f>Companies!O208</f>
        <v>N/A</v>
      </c>
      <c r="O172" s="78" t="str">
        <f>Companies!P208</f>
        <v>N/A</v>
      </c>
      <c r="P172" s="78" t="str">
        <f>Companies!Q208</f>
        <v>N/A</v>
      </c>
    </row>
    <row r="173" spans="2:16">
      <c r="B173" s="78" t="str">
        <f>Companies!B209</f>
        <v>Galileo</v>
      </c>
      <c r="C173" s="78" t="str">
        <f>Companies!C209</f>
        <v>Private</v>
      </c>
      <c r="D173" s="78">
        <f>Companies!D209</f>
        <v>50</v>
      </c>
      <c r="E173" s="78" t="str">
        <f>Companies!E209</f>
        <v>Series A</v>
      </c>
      <c r="F173" s="78">
        <f>Companies!F209</f>
        <v>18</v>
      </c>
      <c r="G173" s="78" t="str">
        <f>Companies!H209</f>
        <v>Unstructured data, LLM studio</v>
      </c>
      <c r="H173" s="78" t="str">
        <f>Companies!I209</f>
        <v>Atindriyo Sanyal, Vikram Chatterji, Yash Sheth</v>
      </c>
      <c r="I173" s="78" t="str">
        <f>Companies!J209</f>
        <v>Enterprise</v>
      </c>
      <c r="J173" s="78" t="str">
        <f>Companies!K209</f>
        <v>MLOps</v>
      </c>
      <c r="K173" s="78">
        <f>Companies!L209</f>
        <v>2021</v>
      </c>
      <c r="L173" s="78">
        <f>Companies!M209</f>
        <v>0</v>
      </c>
      <c r="M173" s="78" t="str">
        <f>Companies!N209</f>
        <v>Battery Ventures, Walden Catalyst, FPV Ventures, The Factory, Anthony Goldbloom</v>
      </c>
      <c r="N173" s="78" t="str">
        <f>Companies!O209</f>
        <v>Seed</v>
      </c>
      <c r="O173" s="78">
        <f>Companies!P209</f>
        <v>5.0999999999999996</v>
      </c>
      <c r="P173" s="78" t="str">
        <f>Companies!Q209</f>
        <v>Factory, Anthony Goldbloom, Young Sohn, Remi El-Ouazzane, Lip-Bu Tan, Amarjit Gill, Ajay Shah</v>
      </c>
    </row>
    <row r="174" spans="2:16">
      <c r="B174" s="78" t="str">
        <f>Companies!B210</f>
        <v>Tabnine</v>
      </c>
      <c r="C174" s="78" t="str">
        <f>Companies!C210</f>
        <v>Private</v>
      </c>
      <c r="D174" s="78">
        <f>Companies!D210</f>
        <v>50</v>
      </c>
      <c r="E174" s="78" t="str">
        <f>Companies!E210</f>
        <v>Series A</v>
      </c>
      <c r="F174" s="78">
        <f>Companies!F210</f>
        <v>15.5</v>
      </c>
      <c r="G174" s="78" t="str">
        <f>Companies!H210</f>
        <v>Code completion</v>
      </c>
      <c r="H174" s="78" t="str">
        <f>Companies!I210</f>
        <v>Dror Weiss, Eran Yahav</v>
      </c>
      <c r="I174" s="78" t="str">
        <f>Companies!J210</f>
        <v>Enterprise</v>
      </c>
      <c r="J174" s="78" t="str">
        <f>Companies!K210</f>
        <v>Programming</v>
      </c>
      <c r="K174" s="78">
        <f>Companies!L210</f>
        <v>2013</v>
      </c>
      <c r="L174" s="78">
        <f>Companies!M210</f>
        <v>0</v>
      </c>
      <c r="M174" s="78" t="str">
        <f>Companies!N210</f>
        <v>Samsung NEXT, Qualcomm Ventures, OurCrowd, TPY Capital, Khosla Ventures, Hetz Ventures, Headline</v>
      </c>
      <c r="N174" s="78" t="str">
        <f>Companies!O210</f>
        <v>Series A</v>
      </c>
      <c r="O174" s="78">
        <f>Companies!P210</f>
        <v>12</v>
      </c>
      <c r="P174" s="78" t="str">
        <f>Companies!Q210</f>
        <v>Headline, TPY Capital, Khosla, Hetz</v>
      </c>
    </row>
    <row r="175" spans="2:16">
      <c r="B175" s="78" t="str">
        <f>Companies!B211</f>
        <v>Noogata</v>
      </c>
      <c r="C175" s="78" t="str">
        <f>Companies!C211</f>
        <v>Private</v>
      </c>
      <c r="D175" s="78">
        <f>Companies!D211</f>
        <v>50</v>
      </c>
      <c r="E175" s="78" t="str">
        <f>Companies!E211</f>
        <v>Series A</v>
      </c>
      <c r="F175" s="78">
        <f>Companies!F211</f>
        <v>16</v>
      </c>
      <c r="G175" s="78" t="str">
        <f>Companies!H211</f>
        <v>Growth/Marketing just for Amazon channel</v>
      </c>
      <c r="H175" s="78" t="str">
        <f>Companies!I211</f>
        <v>Assaf Egozi, Oren Raboy</v>
      </c>
      <c r="I175" s="78" t="str">
        <f>Companies!J211</f>
        <v>Enterprise</v>
      </c>
      <c r="J175" s="78" t="str">
        <f>Companies!K211</f>
        <v>Retail</v>
      </c>
      <c r="K175" s="78">
        <f>Companies!L211</f>
        <v>2019</v>
      </c>
      <c r="L175" s="78">
        <f>Companies!M211</f>
        <v>0</v>
      </c>
      <c r="M175" s="78" t="str">
        <f>Companies!N211</f>
        <v>Eight Roads Ventures, Allon Ventures</v>
      </c>
      <c r="N175" s="78" t="str">
        <f>Companies!O211</f>
        <v>Seed</v>
      </c>
      <c r="O175" s="78">
        <f>Companies!P211</f>
        <v>12</v>
      </c>
      <c r="P175" s="78" t="str">
        <f>Companies!Q211</f>
        <v>Team8, Inference Partners, Conviction VC</v>
      </c>
    </row>
    <row r="176" spans="2:16">
      <c r="B176" s="78" t="str">
        <f>Companies!B212</f>
        <v>Botpress</v>
      </c>
      <c r="C176" s="78" t="str">
        <f>Companies!C212</f>
        <v>Private</v>
      </c>
      <c r="D176" s="78">
        <f>Companies!D212</f>
        <v>50</v>
      </c>
      <c r="E176" s="78" t="str">
        <f>Companies!E212</f>
        <v>Series A</v>
      </c>
      <c r="F176" s="78">
        <f>Companies!F212</f>
        <v>15</v>
      </c>
      <c r="G176" s="78" t="str">
        <f>Companies!H212</f>
        <v>Chatbot automater</v>
      </c>
      <c r="H176" s="78" t="str">
        <f>Companies!I212</f>
        <v>Sylvain Perron</v>
      </c>
      <c r="I176" s="78" t="str">
        <f>Companies!J212</f>
        <v>Enterprise</v>
      </c>
      <c r="J176" s="78" t="str">
        <f>Companies!K212</f>
        <v>Chatbots</v>
      </c>
      <c r="K176" s="78">
        <f>Companies!L212</f>
        <v>2017</v>
      </c>
      <c r="L176" s="78">
        <f>Companies!M212</f>
        <v>0</v>
      </c>
      <c r="M176" s="78" t="str">
        <f>Companies!N212</f>
        <v>Decibel, Real Ventures, overtime.vc, Inovia Capital, Hike Ventures, Bossanova Investimentos</v>
      </c>
      <c r="N176" s="78" t="str">
        <f>Companies!O212</f>
        <v>Pre-Seed</v>
      </c>
      <c r="O176" s="78" t="str">
        <f>Companies!P212</f>
        <v>N/A</v>
      </c>
      <c r="P176" s="78" t="str">
        <f>Companies!Q212</f>
        <v>Panache Ventures, Real Ventures, One Way Ventures, Hike Ventures, Fonds Innovexport, Creative Destruction Lab, BoxOne Ventures</v>
      </c>
    </row>
    <row r="177" spans="2:16">
      <c r="B177" s="78" t="str">
        <f>Companies!B213</f>
        <v>Spellbook (Rally)</v>
      </c>
      <c r="C177" s="78" t="str">
        <f>Companies!C213</f>
        <v>Private</v>
      </c>
      <c r="D177" s="78">
        <f>Companies!D213</f>
        <v>50</v>
      </c>
      <c r="E177" s="78" t="str">
        <f>Companies!E213</f>
        <v>Series A</v>
      </c>
      <c r="F177" s="78">
        <f>Companies!F213</f>
        <v>11</v>
      </c>
      <c r="G177" s="78" t="str">
        <f>Companies!H213</f>
        <v>Contracts</v>
      </c>
      <c r="H177" s="78">
        <f>Companies!I213</f>
        <v>0</v>
      </c>
      <c r="I177" s="78" t="str">
        <f>Companies!J213</f>
        <v>Enterprise</v>
      </c>
      <c r="J177" s="78" t="str">
        <f>Companies!K213</f>
        <v>Legal</v>
      </c>
      <c r="K177" s="78">
        <f>Companies!L213</f>
        <v>2018</v>
      </c>
      <c r="L177" s="78">
        <f>Companies!M213</f>
        <v>0</v>
      </c>
      <c r="M177" s="78" t="str">
        <f>Companies!N213</f>
        <v>Moxxie Ventures, Thomson Reuters Ventures, Bling Capital, Concrete Ventures, BDC Venture Capital, Good News Ventures, Inovia Capital, N49P, The LegalTech Fund</v>
      </c>
      <c r="N177" s="78" t="str">
        <f>Companies!O213</f>
        <v>Seed</v>
      </c>
      <c r="O177" s="78" t="str">
        <f>Companies!P213</f>
        <v>N/A</v>
      </c>
      <c r="P177" s="78" t="str">
        <f>Companies!Q213</f>
        <v>Path Ventures</v>
      </c>
    </row>
    <row r="178" spans="2:16">
      <c r="B178" s="78" t="str">
        <f>Companies!B214</f>
        <v>Xembly</v>
      </c>
      <c r="C178" s="78" t="str">
        <f>Companies!C214</f>
        <v>Private</v>
      </c>
      <c r="D178" s="78">
        <f>Companies!D214</f>
        <v>50</v>
      </c>
      <c r="E178" s="78" t="str">
        <f>Companies!E214</f>
        <v>Series A</v>
      </c>
      <c r="F178" s="78">
        <f>Companies!F214</f>
        <v>15</v>
      </c>
      <c r="G178" s="78" t="str">
        <f>Companies!H214</f>
        <v>"Chief of staff"</v>
      </c>
      <c r="H178" s="78" t="str">
        <f>Companies!I214</f>
        <v>Jason Flaks</v>
      </c>
      <c r="I178" s="78" t="str">
        <f>Companies!J214</f>
        <v>Enterprise</v>
      </c>
      <c r="J178" s="78" t="str">
        <f>Companies!K214</f>
        <v>Assistant</v>
      </c>
      <c r="K178" s="78">
        <f>Companies!L214</f>
        <v>2020</v>
      </c>
      <c r="L178" s="78">
        <f>Companies!M214</f>
        <v>0</v>
      </c>
      <c r="M178" s="78" t="str">
        <f>Companies!N214</f>
        <v>Norwest Venture Partners, Seven Peaks Ventures, Lightspeed, Ascend</v>
      </c>
      <c r="N178" s="78" t="str">
        <f>Companies!O214</f>
        <v>N/A</v>
      </c>
      <c r="O178" s="78" t="str">
        <f>Companies!P214</f>
        <v>N/A</v>
      </c>
      <c r="P178" s="78" t="str">
        <f>Companies!Q214</f>
        <v>N/A</v>
      </c>
    </row>
    <row r="179" spans="2:16">
      <c r="B179" s="78" t="str">
        <f>Companies!B215</f>
        <v>Abridge</v>
      </c>
      <c r="C179" s="78" t="str">
        <f>Companies!C215</f>
        <v>Private</v>
      </c>
      <c r="D179" s="78">
        <f>Companies!D215</f>
        <v>50</v>
      </c>
      <c r="E179" s="78" t="str">
        <f>Companies!E215</f>
        <v>Series A</v>
      </c>
      <c r="F179" s="78">
        <f>Companies!F215</f>
        <v>12.5</v>
      </c>
      <c r="G179" s="78" t="str">
        <f>Companies!H215</f>
        <v>Doctor notes</v>
      </c>
      <c r="H179" s="78" t="str">
        <f>Companies!I215</f>
        <v>Florian Metze, Sandeep Konam, Shivdev Rao</v>
      </c>
      <c r="I179" s="78" t="str">
        <f>Companies!J215</f>
        <v>Enterprise</v>
      </c>
      <c r="J179" s="78" t="str">
        <f>Companies!K215</f>
        <v>Healthcare</v>
      </c>
      <c r="K179" s="78">
        <f>Companies!L215</f>
        <v>2018</v>
      </c>
      <c r="L179" s="78">
        <f>Companies!M215</f>
        <v>0</v>
      </c>
      <c r="M179" s="78" t="str">
        <f>Companies!N215</f>
        <v>Wittington Ventures, Whistler Capital Partners, UPMC Enterprises, Union Square Ventures, Pillar VC, Bessemer Venture Partners</v>
      </c>
      <c r="N179" s="78" t="str">
        <f>Companies!O215</f>
        <v>Series A</v>
      </c>
      <c r="O179" s="78">
        <f>Companies!P215</f>
        <v>10</v>
      </c>
      <c r="P179" s="78" t="str">
        <f>Companies!Q215</f>
        <v>Union Square Ventures, UPMC, Zen Chu, Pillar VC, KdT Ventures, Bessemer Venture Partners, Esther Dyson, Aneesh Chopra</v>
      </c>
    </row>
    <row r="180" spans="2:16">
      <c r="B180" s="78" t="str">
        <f>Companies!B216</f>
        <v>Gan.ai</v>
      </c>
      <c r="C180" s="78" t="str">
        <f>Companies!C216</f>
        <v>Private</v>
      </c>
      <c r="D180" s="78">
        <f>Companies!D216</f>
        <v>50</v>
      </c>
      <c r="E180" s="78" t="str">
        <f>Companies!E216</f>
        <v>Seed</v>
      </c>
      <c r="F180" s="78">
        <f>Companies!F216</f>
        <v>5.3</v>
      </c>
      <c r="G180" s="78" t="str">
        <f>Companies!H216</f>
        <v>Personalized Videos</v>
      </c>
      <c r="H180" s="78" t="str">
        <f>Companies!I216</f>
        <v>Suvrat Bhooshan</v>
      </c>
      <c r="I180" s="78" t="str">
        <f>Companies!J216</f>
        <v>Enterprise</v>
      </c>
      <c r="J180" s="78" t="str">
        <f>Companies!K216</f>
        <v>Video</v>
      </c>
      <c r="K180" s="78">
        <f>Companies!L216</f>
        <v>44531</v>
      </c>
      <c r="L180" s="78">
        <f>Companies!M216</f>
        <v>0</v>
      </c>
      <c r="M180" s="78" t="str">
        <f>Companies!N216</f>
        <v>Surge, Emergent Ventures</v>
      </c>
      <c r="N180" s="78" t="str">
        <f>Companies!O216</f>
        <v>Pre-Seed</v>
      </c>
      <c r="O180" s="78" t="str">
        <f>Companies!P216</f>
        <v>N/A</v>
      </c>
      <c r="P180" s="78" t="str">
        <f>Companies!Q216</f>
        <v>Surge</v>
      </c>
    </row>
    <row r="181" spans="2:16">
      <c r="B181" s="78" t="str">
        <f>Companies!B217</f>
        <v>Tenyx</v>
      </c>
      <c r="C181" s="78" t="str">
        <f>Companies!C217</f>
        <v>Private</v>
      </c>
      <c r="D181" s="78">
        <f>Companies!D217</f>
        <v>50</v>
      </c>
      <c r="E181" s="78" t="str">
        <f>Companies!E217</f>
        <v>Seed</v>
      </c>
      <c r="F181" s="78">
        <f>Companies!F217</f>
        <v>15</v>
      </c>
      <c r="G181" s="78" t="str">
        <f>Companies!H217</f>
        <v>Customer Service bots</v>
      </c>
      <c r="H181" s="78" t="str">
        <f>Companies!I217</f>
        <v>Itamer Arel, Ron Chrisley</v>
      </c>
      <c r="I181" s="78" t="str">
        <f>Companies!J217</f>
        <v>Enterprise</v>
      </c>
      <c r="J181" s="78" t="str">
        <f>Companies!K217</f>
        <v>Customer Service</v>
      </c>
      <c r="K181" s="78">
        <f>Companies!L217</f>
        <v>44362</v>
      </c>
      <c r="L181" s="78">
        <f>Companies!M217</f>
        <v>0</v>
      </c>
      <c r="M181" s="78" t="str">
        <f>Companies!N217</f>
        <v>StageOne Ventures, Point72 Ventures, Pathbreaker Ventures, Morado Ventures, Cota Capital, Coelius Capital, AME Cloud Ventures, Zach Coelius, John Lilly, Jaan Tallinn, Georges Harik</v>
      </c>
      <c r="N181" s="78" t="str">
        <f>Companies!O217</f>
        <v>N/A</v>
      </c>
      <c r="O181" s="78" t="str">
        <f>Companies!P217</f>
        <v>N/A</v>
      </c>
      <c r="P181" s="78" t="str">
        <f>Companies!Q217</f>
        <v>N/A</v>
      </c>
    </row>
    <row r="182" spans="2:16">
      <c r="B182" s="78" t="str">
        <f>Companies!B218</f>
        <v>Encord</v>
      </c>
      <c r="C182" s="78" t="str">
        <f>Companies!C218</f>
        <v>Private</v>
      </c>
      <c r="D182" s="78">
        <f>Companies!D218</f>
        <v>50</v>
      </c>
      <c r="E182" s="78" t="str">
        <f>Companies!E218</f>
        <v>Series A</v>
      </c>
      <c r="F182" s="78">
        <f>Companies!F218</f>
        <v>15</v>
      </c>
      <c r="G182" s="78" t="str">
        <f>Companies!H218</f>
        <v>Computer Vision, Annotation</v>
      </c>
      <c r="H182" s="78" t="str">
        <f>Companies!I218</f>
        <v>Eric Landau</v>
      </c>
      <c r="I182" s="78" t="str">
        <f>Companies!J218</f>
        <v>Enterprise</v>
      </c>
      <c r="J182" s="78" t="str">
        <f>Companies!K218</f>
        <v>MLOps</v>
      </c>
      <c r="K182" s="78">
        <f>Companies!L218</f>
        <v>2020</v>
      </c>
      <c r="L182" s="78">
        <f>Companies!M218</f>
        <v>0</v>
      </c>
      <c r="M182" s="78" t="str">
        <f>Companies!N218</f>
        <v>CRV, Y Combinator, Harpoon, Crane</v>
      </c>
      <c r="N182" s="78" t="str">
        <f>Companies!O218</f>
        <v>Seed</v>
      </c>
      <c r="O182" s="78">
        <f>Companies!P218</f>
        <v>4.5</v>
      </c>
      <c r="P182" s="78" t="str">
        <f>Companies!Q218</f>
        <v>CRV, Y Combinator, WndrCo, Harvard, Des Traynor, Crane Venture</v>
      </c>
    </row>
    <row r="183" spans="2:16">
      <c r="B183" s="78" t="str">
        <f>Companies!B219</f>
        <v>SuperAnnotate</v>
      </c>
      <c r="C183" s="78" t="str">
        <f>Companies!C219</f>
        <v>Private</v>
      </c>
      <c r="D183" s="78">
        <f>Companies!D219</f>
        <v>50</v>
      </c>
      <c r="E183" s="78" t="str">
        <f>Companies!E219</f>
        <v>Series A</v>
      </c>
      <c r="F183" s="78">
        <f>Companies!F219</f>
        <v>14.5</v>
      </c>
      <c r="G183" s="78" t="str">
        <f>Companies!H219</f>
        <v>Training Data platform, CV pipeline</v>
      </c>
      <c r="H183" s="78" t="str">
        <f>Companies!I219</f>
        <v>Davit Badalyan, Tigran Petrosyan</v>
      </c>
      <c r="I183" s="78" t="str">
        <f>Companies!J219</f>
        <v>Enterprise</v>
      </c>
      <c r="J183" s="78" t="str">
        <f>Companies!K219</f>
        <v>MLOps</v>
      </c>
      <c r="K183" s="78">
        <f>Companies!L219</f>
        <v>2019</v>
      </c>
      <c r="L183" s="78">
        <f>Companies!M219</f>
        <v>0</v>
      </c>
      <c r="M183" s="78" t="str">
        <f>Companies!N219</f>
        <v>Base10 Partners, Runa Capital, Point Nine, Plug and Play, Fathom Capital</v>
      </c>
      <c r="N183" s="78" t="str">
        <f>Companies!O219</f>
        <v>Seed</v>
      </c>
      <c r="O183" s="78">
        <f>Companies!P219</f>
        <v>3</v>
      </c>
      <c r="P183" s="78" t="str">
        <f>Companies!Q219</f>
        <v>Point Nine, SmartGateVC, Runa Capital, Point Nine, Granatus Ventures, Fathom Capital, Berkeley SkyDeck Fund</v>
      </c>
    </row>
    <row r="184" spans="2:16">
      <c r="B184" s="78" t="str">
        <f>Companies!B220</f>
        <v>Graft</v>
      </c>
      <c r="C184" s="78" t="str">
        <f>Companies!C220</f>
        <v>Private</v>
      </c>
      <c r="D184" s="78">
        <f>Companies!D220</f>
        <v>50</v>
      </c>
      <c r="E184" s="78" t="str">
        <f>Companies!E220</f>
        <v>Seed</v>
      </c>
      <c r="F184" s="78">
        <f>Companies!F220</f>
        <v>15</v>
      </c>
      <c r="G184" s="78" t="str">
        <f>Companies!H220</f>
        <v>ML Platform</v>
      </c>
      <c r="H184" s="78" t="str">
        <f>Companies!I220</f>
        <v>Adam Oliner</v>
      </c>
      <c r="I184" s="78" t="str">
        <f>Companies!J220</f>
        <v>Enterprise</v>
      </c>
      <c r="J184" s="78" t="str">
        <f>Companies!K220</f>
        <v>MLOps</v>
      </c>
      <c r="K184" s="78">
        <f>Companies!L220</f>
        <v>2021</v>
      </c>
      <c r="L184" s="78" t="str">
        <f>Companies!M220</f>
        <v>Former head of ML at Slack</v>
      </c>
      <c r="M184" s="78" t="str">
        <f>Companies!N220</f>
        <v>N/A</v>
      </c>
      <c r="N184" s="78" t="str">
        <f>Companies!O220</f>
        <v>Pre-Seed</v>
      </c>
      <c r="O184" s="78">
        <f>Companies!P220</f>
        <v>4.5</v>
      </c>
      <c r="P184" s="78" t="str">
        <f>Companies!Q220</f>
        <v>Google Ventures, SVA, NEA, Formula Ventures, Essence VC</v>
      </c>
    </row>
    <row r="185" spans="2:16">
      <c r="B185" s="78" t="str">
        <f>Companies!B221</f>
        <v>Zowie</v>
      </c>
      <c r="C185" s="78" t="str">
        <f>Companies!C221</f>
        <v>Private</v>
      </c>
      <c r="D185" s="78">
        <f>Companies!D221</f>
        <v>50</v>
      </c>
      <c r="E185" s="78" t="str">
        <f>Companies!E221</f>
        <v>Series A</v>
      </c>
      <c r="F185" s="78">
        <f>Companies!F221</f>
        <v>14</v>
      </c>
      <c r="G185" s="78" t="str">
        <f>Companies!H221</f>
        <v>Customer Service bots</v>
      </c>
      <c r="H185" s="78" t="str">
        <f>Companies!I221</f>
        <v>Maja Schaefer, Matt Ciolek</v>
      </c>
      <c r="I185" s="78" t="str">
        <f>Companies!J221</f>
        <v>Enterprise</v>
      </c>
      <c r="J185" s="78" t="str">
        <f>Companies!K221</f>
        <v>Customer Service</v>
      </c>
      <c r="K185" s="78">
        <f>Companies!L221</f>
        <v>2019</v>
      </c>
      <c r="L185" s="78">
        <f>Companies!M221</f>
        <v>0</v>
      </c>
      <c r="M185" s="78" t="str">
        <f>Companies!N221</f>
        <v>Tiger, Inovo VC, Gradient Ventures, 10x Founders, Jack Altman</v>
      </c>
      <c r="N185" s="78" t="str">
        <f>Companies!O221</f>
        <v>Seed</v>
      </c>
      <c r="O185" s="78">
        <f>Companies!P221</f>
        <v>5</v>
      </c>
      <c r="P185" s="78" t="str">
        <f>Companies!Q221</f>
        <v>Gradient Ventures, 10x Founders, Pascal Weinberger, Jack Altman</v>
      </c>
    </row>
    <row r="186" spans="2:16">
      <c r="B186" s="78" t="str">
        <f>Companies!B222</f>
        <v>Mind Foundry</v>
      </c>
      <c r="C186" s="78" t="str">
        <f>Companies!C222</f>
        <v>Private</v>
      </c>
      <c r="D186" s="78">
        <f>Companies!D222</f>
        <v>50</v>
      </c>
      <c r="E186" s="78" t="str">
        <f>Companies!E222</f>
        <v>Series A</v>
      </c>
      <c r="F186" s="78">
        <f>Companies!F222</f>
        <v>13.6</v>
      </c>
      <c r="G186" s="78" t="str">
        <f>Companies!H222</f>
        <v>ML platform</v>
      </c>
      <c r="H186" s="78" t="str">
        <f>Companies!I222</f>
        <v>Michael Osborne, Stephen Roberts</v>
      </c>
      <c r="I186" s="78" t="str">
        <f>Companies!J222</f>
        <v>Enterprise</v>
      </c>
      <c r="J186" s="78" t="str">
        <f>Companies!K222</f>
        <v>Platform</v>
      </c>
      <c r="K186" s="78">
        <f>Companies!L222</f>
        <v>2016</v>
      </c>
      <c r="L186" s="78">
        <f>Companies!M222</f>
        <v>0</v>
      </c>
      <c r="M186" s="78" t="str">
        <f>Companies!N222</f>
        <v>Aioi Nissay Dowa Insurance</v>
      </c>
      <c r="N186" s="78" t="str">
        <f>Companies!O222</f>
        <v>Series A</v>
      </c>
      <c r="O186" s="78">
        <f>Companies!P222</f>
        <v>6</v>
      </c>
      <c r="P186" s="78" t="str">
        <f>Companies!Q222</f>
        <v>Parkwalk Advisors</v>
      </c>
    </row>
    <row r="187" spans="2:16">
      <c r="B187" s="78" t="str">
        <f>Companies!B223</f>
        <v>Haiper</v>
      </c>
      <c r="C187" s="78" t="str">
        <f>Companies!C223</f>
        <v>Private</v>
      </c>
      <c r="D187" s="78">
        <f>Companies!D223</f>
        <v>50</v>
      </c>
      <c r="E187" s="78" t="str">
        <f>Companies!E223</f>
        <v>Seed</v>
      </c>
      <c r="F187" s="78">
        <f>Companies!F223</f>
        <v>13.75</v>
      </c>
      <c r="G187" s="78" t="str">
        <f>Companies!H223</f>
        <v>3D Reconstruction</v>
      </c>
      <c r="H187" s="78" t="str">
        <f>Companies!I223</f>
        <v>Ziyu Wang</v>
      </c>
      <c r="I187" s="78" t="str">
        <f>Companies!J223</f>
        <v>Tool</v>
      </c>
      <c r="J187" s="78" t="str">
        <f>Companies!K223</f>
        <v>Text-to-3D</v>
      </c>
      <c r="K187" s="78">
        <f>Companies!L223</f>
        <v>2021</v>
      </c>
      <c r="L187" s="78" t="str">
        <f>Companies!M223</f>
        <v>Unimpressive</v>
      </c>
      <c r="M187" s="78" t="str">
        <f>Companies!N223</f>
        <v>N/A</v>
      </c>
      <c r="N187" s="78" t="str">
        <f>Companies!O223</f>
        <v>Seed</v>
      </c>
      <c r="O187" s="78">
        <f>Companies!P223</f>
        <v>5.4</v>
      </c>
      <c r="P187" s="78" t="str">
        <f>Companies!Q223</f>
        <v>N/A</v>
      </c>
    </row>
    <row r="188" spans="2:16">
      <c r="B188" s="78" t="str">
        <f>Companies!B224</f>
        <v>Hume AI</v>
      </c>
      <c r="C188" s="78" t="str">
        <f>Companies!C224</f>
        <v>Private</v>
      </c>
      <c r="D188" s="78">
        <f>Companies!D224</f>
        <v>50</v>
      </c>
      <c r="E188" s="78" t="str">
        <f>Companies!E224</f>
        <v>Series A</v>
      </c>
      <c r="F188" s="78">
        <f>Companies!F224</f>
        <v>12.7</v>
      </c>
      <c r="G188" s="78" t="str">
        <f>Companies!H224</f>
        <v>Emotion analysis</v>
      </c>
      <c r="H188" s="78" t="str">
        <f>Companies!I224</f>
        <v>Alan Cowen</v>
      </c>
      <c r="I188" s="78" t="str">
        <f>Companies!J224</f>
        <v>Enterprise</v>
      </c>
      <c r="J188" s="78" t="str">
        <f>Companies!K224</f>
        <v>Autism</v>
      </c>
      <c r="K188" s="78">
        <f>Companies!L224</f>
        <v>2021</v>
      </c>
      <c r="L188" s="78">
        <f>Companies!M224</f>
        <v>0</v>
      </c>
      <c r="M188" s="78" t="str">
        <f>Companies!N224</f>
        <v>Union Square Ventures, Wisdom Ventures, Northwell Holdings, LG Technology Ventures, Comcast Ventures, Evan Sharp</v>
      </c>
      <c r="N188" s="78" t="str">
        <f>Companies!O224</f>
        <v>Seed</v>
      </c>
      <c r="O188" s="78">
        <f>Companies!P224</f>
        <v>5</v>
      </c>
      <c r="P188" s="78" t="str">
        <f>Companies!Q224</f>
        <v>Aegis Ventures</v>
      </c>
    </row>
    <row r="189" spans="2:16">
      <c r="B189" s="78" t="str">
        <f>Companies!B225</f>
        <v>Bridgewise</v>
      </c>
      <c r="C189" s="78" t="str">
        <f>Companies!C225</f>
        <v>Private</v>
      </c>
      <c r="D189" s="78">
        <f>Companies!D225</f>
        <v>50</v>
      </c>
      <c r="E189" s="78" t="str">
        <f>Companies!E225</f>
        <v>Seed</v>
      </c>
      <c r="F189" s="78">
        <f>Companies!F225</f>
        <v>13</v>
      </c>
      <c r="G189" s="78" t="str">
        <f>Companies!H225</f>
        <v>Finance research</v>
      </c>
      <c r="H189" s="78" t="str">
        <f>Companies!I225</f>
        <v>Dor Eligula, Gabriel Diamant, Or Eligula</v>
      </c>
      <c r="I189" s="78" t="str">
        <f>Companies!J225</f>
        <v>Enterprise</v>
      </c>
      <c r="J189" s="78" t="str">
        <f>Companies!K225</f>
        <v>Finance</v>
      </c>
      <c r="K189" s="78">
        <f>Companies!L225</f>
        <v>2019</v>
      </c>
      <c r="L189" s="78">
        <f>Companies!M225</f>
        <v>0</v>
      </c>
      <c r="M189" s="78" t="str">
        <f>Companies!N225</f>
        <v>Group 11, L4 Venture Builder, Mangrove</v>
      </c>
      <c r="N189" s="78" t="str">
        <f>Companies!O225</f>
        <v>Pre-Seed</v>
      </c>
      <c r="O189" s="78">
        <f>Companies!P225</f>
        <v>1</v>
      </c>
      <c r="P189" s="78" t="str">
        <f>Companies!Q225</f>
        <v>N/A</v>
      </c>
    </row>
    <row r="190" spans="2:16">
      <c r="B190" s="78" t="str">
        <f>Companies!B226</f>
        <v>Vectice</v>
      </c>
      <c r="C190" s="78" t="str">
        <f>Companies!C226</f>
        <v>Private</v>
      </c>
      <c r="D190" s="78">
        <f>Companies!D226</f>
        <v>50</v>
      </c>
      <c r="E190" s="78" t="str">
        <f>Companies!E226</f>
        <v>Series A</v>
      </c>
      <c r="F190" s="78">
        <f>Companies!F226</f>
        <v>12.6</v>
      </c>
      <c r="G190" s="78" t="str">
        <f>Companies!H226</f>
        <v>Platform</v>
      </c>
      <c r="H190" s="78" t="str">
        <f>Companies!I226</f>
        <v>Cyril Brignone</v>
      </c>
      <c r="I190" s="78" t="str">
        <f>Companies!J226</f>
        <v>Enterprise</v>
      </c>
      <c r="J190" s="78" t="str">
        <f>Companies!K226</f>
        <v>MLOps</v>
      </c>
      <c r="K190" s="78">
        <f>Companies!L226</f>
        <v>2020</v>
      </c>
      <c r="L190" s="78">
        <f>Companies!M226</f>
        <v>0</v>
      </c>
      <c r="M190" s="78" t="str">
        <f>Companies!N226</f>
        <v>Sorenson Ventures, Crosslink Capital, Spider Capital, Silicon Valley Bank, Global Founders Capital</v>
      </c>
      <c r="N190" s="78" t="str">
        <f>Companies!O226</f>
        <v>Seed</v>
      </c>
      <c r="O190" s="78">
        <f>Companies!P226</f>
        <v>3</v>
      </c>
      <c r="P190" s="78" t="str">
        <f>Companies!Q226</f>
        <v>Spider Capital, Crosslink Capital, Global Founders Capital</v>
      </c>
    </row>
    <row r="191" spans="2:16">
      <c r="B191" s="78" t="str">
        <f>Companies!B227</f>
        <v>Numbers Station</v>
      </c>
      <c r="C191" s="78" t="str">
        <f>Companies!C227</f>
        <v>Private</v>
      </c>
      <c r="D191" s="78">
        <f>Companies!D227</f>
        <v>50</v>
      </c>
      <c r="E191" s="78" t="str">
        <f>Companies!E227</f>
        <v>Series A</v>
      </c>
      <c r="F191" s="78">
        <f>Companies!F227</f>
        <v>12.5</v>
      </c>
      <c r="G191" s="78" t="str">
        <f>Companies!H227</f>
        <v>Data stack automation</v>
      </c>
      <c r="H191" s="78">
        <f>Companies!I227</f>
        <v>0</v>
      </c>
      <c r="I191" s="78" t="str">
        <f>Companies!J227</f>
        <v>Enterprise</v>
      </c>
      <c r="J191" s="78" t="str">
        <f>Companies!K227</f>
        <v>MLOps</v>
      </c>
      <c r="K191" s="78">
        <f>Companies!L227</f>
        <v>2021</v>
      </c>
      <c r="L191" s="78">
        <f>Companies!M227</f>
        <v>0</v>
      </c>
      <c r="M191" s="78" t="str">
        <f>Companies!N227</f>
        <v>Madrona, Norwest Venture Partners, Factory, Jeff Hammerbacher, Charles Zedlewski</v>
      </c>
      <c r="N191" s="78" t="str">
        <f>Companies!O227</f>
        <v>Seed</v>
      </c>
      <c r="O191" s="78">
        <f>Companies!P227</f>
        <v>5</v>
      </c>
      <c r="P191" s="78" t="str">
        <f>Companies!Q227</f>
        <v>Firestreak</v>
      </c>
    </row>
    <row r="192" spans="2:16">
      <c r="B192" s="78" t="str">
        <f>Companies!B228</f>
        <v>Replicate</v>
      </c>
      <c r="C192" s="78" t="str">
        <f>Companies!C228</f>
        <v>Private</v>
      </c>
      <c r="D192" s="78">
        <f>Companies!D228</f>
        <v>50</v>
      </c>
      <c r="E192" s="78" t="str">
        <f>Companies!E228</f>
        <v>Series A</v>
      </c>
      <c r="F192" s="78">
        <f>Companies!F228</f>
        <v>12.5</v>
      </c>
      <c r="G192" s="78" t="str">
        <f>Companies!H228</f>
        <v>Hosting Models</v>
      </c>
      <c r="H192" s="78" t="str">
        <f>Companies!I228</f>
        <v>Ben Firshman</v>
      </c>
      <c r="I192" s="78" t="str">
        <f>Companies!J228</f>
        <v>Enterprise</v>
      </c>
      <c r="J192" s="78" t="str">
        <f>Companies!K228</f>
        <v>MLOps</v>
      </c>
      <c r="K192" s="78">
        <f>Companies!L228</f>
        <v>2019</v>
      </c>
      <c r="L192" s="78" t="str">
        <f>Companies!M228</f>
        <v>AI Grant batch 1</v>
      </c>
      <c r="M192" s="78" t="str">
        <f>Companies!N228</f>
        <v>a16z, Sequoia Capital, SVA, YC, Guillermo Rauch, Dylan Field, Lachy Groom, Andrej Karpathy</v>
      </c>
      <c r="N192" s="78" t="str">
        <f>Companies!O228</f>
        <v>Seed</v>
      </c>
      <c r="O192" s="78" t="str">
        <f>Companies!P228</f>
        <v>N/A</v>
      </c>
      <c r="P192" s="78" t="str">
        <f>Companies!Q228</f>
        <v>Y Combinator</v>
      </c>
    </row>
    <row r="193" spans="2:16">
      <c r="B193" s="78" t="str">
        <f>Companies!B229</f>
        <v>Credo AI</v>
      </c>
      <c r="C193" s="78" t="str">
        <f>Companies!C229</f>
        <v>Private</v>
      </c>
      <c r="D193" s="78">
        <f>Companies!D229</f>
        <v>50</v>
      </c>
      <c r="E193" s="78" t="str">
        <f>Companies!E229</f>
        <v>Series A</v>
      </c>
      <c r="F193" s="78">
        <f>Companies!F229</f>
        <v>12.8</v>
      </c>
      <c r="G193" s="78" t="str">
        <f>Companies!H229</f>
        <v>AI Compliance, Ethics</v>
      </c>
      <c r="H193" s="78">
        <f>Companies!I229</f>
        <v>0</v>
      </c>
      <c r="I193" s="78" t="str">
        <f>Companies!J229</f>
        <v>Enterprise</v>
      </c>
      <c r="J193" s="78" t="str">
        <f>Companies!K229</f>
        <v>MLOps</v>
      </c>
      <c r="K193" s="78">
        <f>Companies!L229</f>
        <v>2020</v>
      </c>
      <c r="L193" s="78">
        <f>Companies!M229</f>
        <v>0</v>
      </c>
      <c r="M193" s="78" t="str">
        <f>Companies!N229</f>
        <v>Sands Capital, Decibel Partners, AI Fund</v>
      </c>
      <c r="N193" s="78" t="str">
        <f>Companies!O229</f>
        <v>Seed</v>
      </c>
      <c r="O193" s="78">
        <f>Companies!P229</f>
        <v>5.5</v>
      </c>
      <c r="P193" s="78" t="str">
        <f>Companies!Q229</f>
        <v>Decibel, Village Global, AI Fund</v>
      </c>
    </row>
    <row r="194" spans="2:16">
      <c r="B194" s="78" t="str">
        <f>Companies!B230</f>
        <v>Voxel51</v>
      </c>
      <c r="C194" s="78" t="str">
        <f>Companies!C230</f>
        <v>Private</v>
      </c>
      <c r="D194" s="78">
        <f>Companies!D230</f>
        <v>50</v>
      </c>
      <c r="E194" s="78" t="str">
        <f>Companies!E230</f>
        <v>Series A</v>
      </c>
      <c r="F194" s="78">
        <f>Companies!F230</f>
        <v>12.5</v>
      </c>
      <c r="G194" s="78" t="str">
        <f>Companies!H230</f>
        <v>Computer Vision platform</v>
      </c>
      <c r="H194" s="78" t="str">
        <f>Companies!I230</f>
        <v>Brian Moore</v>
      </c>
      <c r="I194" s="78" t="str">
        <f>Companies!J230</f>
        <v>Enterprise</v>
      </c>
      <c r="J194" s="78" t="str">
        <f>Companies!K230</f>
        <v>MLOps</v>
      </c>
      <c r="K194" s="78">
        <f>Companies!L230</f>
        <v>2018</v>
      </c>
      <c r="L194" s="78">
        <f>Companies!M230</f>
        <v>0</v>
      </c>
      <c r="M194" s="78" t="str">
        <f>Companies!N230</f>
        <v>Top Harvest Capital, Shasta Ventures, Drive Capital</v>
      </c>
      <c r="N194" s="78" t="str">
        <f>Companies!O230</f>
        <v>Seed</v>
      </c>
      <c r="O194" s="78">
        <f>Companies!P230</f>
        <v>2</v>
      </c>
      <c r="P194" s="78" t="str">
        <f>Companies!Q230</f>
        <v>eLab Ventures</v>
      </c>
    </row>
    <row r="195" spans="2:16">
      <c r="B195" s="78" t="str">
        <f>Companies!B231</f>
        <v>Synthetaic</v>
      </c>
      <c r="C195" s="78" t="str">
        <f>Companies!C231</f>
        <v>Private</v>
      </c>
      <c r="D195" s="78">
        <f>Companies!D231</f>
        <v>50</v>
      </c>
      <c r="E195" s="78" t="str">
        <f>Companies!E231</f>
        <v>Series A</v>
      </c>
      <c r="F195" s="78">
        <f>Companies!F231</f>
        <v>13</v>
      </c>
      <c r="G195" s="78" t="str">
        <f>Companies!H231</f>
        <v>Image labeling</v>
      </c>
      <c r="H195" s="78" t="str">
        <f>Companies!I231</f>
        <v>Corey Jaskolski</v>
      </c>
      <c r="I195" s="78" t="str">
        <f>Companies!J231</f>
        <v>Enterprise</v>
      </c>
      <c r="J195" s="78" t="str">
        <f>Companies!K231</f>
        <v>MLOps</v>
      </c>
      <c r="K195" s="78">
        <f>Companies!L231</f>
        <v>2019</v>
      </c>
      <c r="L195" s="78">
        <f>Companies!M231</f>
        <v>0</v>
      </c>
      <c r="M195" s="78" t="str">
        <f>Companies!N231</f>
        <v>Lupa Systems, TitletownTech, Esri, Booz Allen Ventures, Betaworks Ventures</v>
      </c>
      <c r="N195" s="78" t="str">
        <f>Companies!O231</f>
        <v>Seed</v>
      </c>
      <c r="O195" s="78">
        <f>Companies!P231</f>
        <v>3.5</v>
      </c>
      <c r="P195" s="78" t="str">
        <f>Companies!Q231</f>
        <v>Lupa Systems, Titletown Tech, Betaworks, Esri, Booz Allen, Betaworks Ventures</v>
      </c>
    </row>
    <row r="196" spans="2:16">
      <c r="B196" s="78" t="str">
        <f>Companies!B232</f>
        <v>Faros AI</v>
      </c>
      <c r="C196" s="78" t="str">
        <f>Companies!C232</f>
        <v>Private</v>
      </c>
      <c r="D196" s="78">
        <f>Companies!D232</f>
        <v>50</v>
      </c>
      <c r="E196" s="78" t="str">
        <f>Companies!E232</f>
        <v>Seed</v>
      </c>
      <c r="F196" s="78">
        <f>Companies!F232</f>
        <v>12.25</v>
      </c>
      <c r="G196" s="78" t="str">
        <f>Companies!H232</f>
        <v>DevOps, monitoring</v>
      </c>
      <c r="H196" s="78" t="str">
        <f>Companies!I232</f>
        <v>Vitaly Gordon</v>
      </c>
      <c r="I196" s="78" t="str">
        <f>Companies!J232</f>
        <v>Enterprise</v>
      </c>
      <c r="J196" s="78" t="str">
        <f>Companies!K232</f>
        <v>MLOps</v>
      </c>
      <c r="K196" s="78">
        <f>Companies!L232</f>
        <v>2019</v>
      </c>
      <c r="L196" s="78" t="str">
        <f>Companies!M232</f>
        <v>Former Salesforce people</v>
      </c>
      <c r="M196" s="78" t="str">
        <f>Companies!N232</f>
        <v>SignalFire, Salesforce, Global Founders Capital, Maynard Webb, Frederic Kerrest, Adam Gross</v>
      </c>
      <c r="N196" s="78" t="str">
        <f>Companies!O232</f>
        <v>Seed</v>
      </c>
      <c r="O196" s="78">
        <f>Companies!P232</f>
        <v>3.8</v>
      </c>
      <c r="P196" s="78" t="str">
        <f>Companies!Q232</f>
        <v>N/A</v>
      </c>
    </row>
    <row r="197" spans="2:16">
      <c r="B197" s="78" t="str">
        <f>Companies!B233</f>
        <v>Paperspace</v>
      </c>
      <c r="C197" s="78" t="str">
        <f>Companies!C233</f>
        <v>Private</v>
      </c>
      <c r="D197" s="78">
        <f>Companies!D233</f>
        <v>50</v>
      </c>
      <c r="E197" s="78" t="str">
        <f>Companies!E233</f>
        <v>Series A</v>
      </c>
      <c r="F197" s="78">
        <f>Companies!F233</f>
        <v>12</v>
      </c>
      <c r="G197" s="78" t="str">
        <f>Companies!H233</f>
        <v>GPU Cloud Compute</v>
      </c>
      <c r="H197" s="78" t="str">
        <f>Companies!I233</f>
        <v>Daniel Kobran, Dillon Erb</v>
      </c>
      <c r="I197" s="78" t="str">
        <f>Companies!J233</f>
        <v>Enterprise</v>
      </c>
      <c r="J197" s="78" t="str">
        <f>Companies!K233</f>
        <v>Compute</v>
      </c>
      <c r="K197" s="78">
        <f>Companies!L233</f>
        <v>2014</v>
      </c>
      <c r="L197" s="78">
        <f>Companies!M233</f>
        <v>0</v>
      </c>
      <c r="M197" s="78" t="str">
        <f>Companies!N233</f>
        <v>Sorenson Capital, Intel Capital, SineWave Ventures, Battery Ventures, Rocketship.vc, Initialized Capital</v>
      </c>
      <c r="N197" s="78" t="str">
        <f>Companies!O233</f>
        <v>Seed</v>
      </c>
      <c r="O197" s="78">
        <f>Companies!P233</f>
        <v>4</v>
      </c>
      <c r="P197" s="78" t="str">
        <f>Companies!Q233</f>
        <v>Ludlow Ventures, Initialized Capital, DCVC</v>
      </c>
    </row>
    <row r="198" spans="2:16">
      <c r="B198" s="78" t="str">
        <f>Companies!B234</f>
        <v>Baseten</v>
      </c>
      <c r="C198" s="78" t="str">
        <f>Companies!C234</f>
        <v>Private</v>
      </c>
      <c r="D198" s="78">
        <f>Companies!D234</f>
        <v>50</v>
      </c>
      <c r="E198" s="78" t="str">
        <f>Companies!E234</f>
        <v>Series A</v>
      </c>
      <c r="F198" s="78">
        <f>Companies!F234</f>
        <v>12</v>
      </c>
      <c r="G198" s="78" t="str">
        <f>Companies!H234</f>
        <v>Serverless</v>
      </c>
      <c r="H198" s="78" t="str">
        <f>Companies!I234</f>
        <v>Amir Haghighat, Pankaj Gupta, Philip Howes, Tuhin Srivastava</v>
      </c>
      <c r="I198" s="78" t="str">
        <f>Companies!J234</f>
        <v>Enterprise</v>
      </c>
      <c r="J198" s="78" t="str">
        <f>Companies!K234</f>
        <v>MLOps</v>
      </c>
      <c r="K198" s="78">
        <f>Companies!L234</f>
        <v>2019</v>
      </c>
      <c r="L198" s="78">
        <f>Companies!M234</f>
        <v>0</v>
      </c>
      <c r="M198" s="78" t="str">
        <f>Companies!N234</f>
        <v>Greylock, South Park Commons, Lachy Groom, Jean-Denis Greze, Jay Simons, Dev Ittycheria, Cristina Cordova</v>
      </c>
      <c r="N198" s="78" t="str">
        <f>Companies!O234</f>
        <v>Seed</v>
      </c>
      <c r="O198" s="78">
        <f>Companies!P234</f>
        <v>8</v>
      </c>
      <c r="P198" s="78" t="str">
        <f>Companies!Q234</f>
        <v>Greylock, South Park Commons, AI Fund, Caffeinated Capital, DJ Patil, Dylan Field, Greg Brockman, Lachy Groom, Mustafa Suleyman</v>
      </c>
    </row>
    <row r="199" spans="2:16">
      <c r="B199" s="78" t="str">
        <f>Companies!B235</f>
        <v>LatticeFlow</v>
      </c>
      <c r="C199" s="78" t="str">
        <f>Companies!C235</f>
        <v>Private</v>
      </c>
      <c r="D199" s="78">
        <f>Companies!D235</f>
        <v>50</v>
      </c>
      <c r="E199" s="78" t="str">
        <f>Companies!E235</f>
        <v>Series A</v>
      </c>
      <c r="F199" s="78">
        <f>Companies!F235</f>
        <v>12</v>
      </c>
      <c r="G199" s="78" t="str">
        <f>Companies!H235</f>
        <v>Computer Vision</v>
      </c>
      <c r="H199" s="78" t="str">
        <f>Companies!I235</f>
        <v>Andreas Krause, Martin Vechev, Pavol Bielik, Petar Tsankov</v>
      </c>
      <c r="I199" s="78" t="str">
        <f>Companies!J235</f>
        <v>Enterprise</v>
      </c>
      <c r="J199" s="78" t="str">
        <f>Companies!K235</f>
        <v>MLOps</v>
      </c>
      <c r="K199" s="78">
        <f>Companies!L235</f>
        <v>2020</v>
      </c>
      <c r="L199" s="78" t="str">
        <f>Companies!M235</f>
        <v>ETH spinoff</v>
      </c>
      <c r="M199" s="78" t="str">
        <f>Companies!N235</f>
        <v>OpenOcean, Atlantic Bridge, FPV Ventures, Global Founders Capital, b2venture</v>
      </c>
      <c r="N199" s="78" t="str">
        <f>Companies!O235</f>
        <v>Seed</v>
      </c>
      <c r="O199" s="78">
        <f>Companies!P235</f>
        <v>2.8</v>
      </c>
      <c r="P199" s="78" t="str">
        <f>Companies!Q235</f>
        <v>Global Founders Capital, b2venture</v>
      </c>
    </row>
    <row r="200" spans="2:16">
      <c r="B200" s="78" t="str">
        <f>Companies!B236</f>
        <v>Fixie.ai</v>
      </c>
      <c r="C200" s="78" t="str">
        <f>Companies!C236</f>
        <v>Private</v>
      </c>
      <c r="D200" s="78">
        <f>Companies!D236</f>
        <v>50</v>
      </c>
      <c r="E200" s="78" t="str">
        <f>Companies!E236</f>
        <v>Series A</v>
      </c>
      <c r="F200" s="78">
        <f>Companies!F236</f>
        <v>12</v>
      </c>
      <c r="G200" s="78" t="str">
        <f>Companies!H236</f>
        <v>Javascript library</v>
      </c>
      <c r="H200" s="78" t="str">
        <f>Companies!I236</f>
        <v>Hessam Bagherinezhad, Justin Uberti, Matt Welsh, Zach Koch</v>
      </c>
      <c r="I200" s="78" t="str">
        <f>Companies!J236</f>
        <v>Enterprise</v>
      </c>
      <c r="J200" s="78" t="str">
        <f>Companies!K236</f>
        <v>MLOps</v>
      </c>
      <c r="K200" s="78">
        <f>Companies!L236</f>
        <v>2022</v>
      </c>
      <c r="L200" s="78">
        <f>Companies!M236</f>
        <v>0</v>
      </c>
      <c r="M200" s="78" t="str">
        <f>Companies!N236</f>
        <v>Redpoint, Signalfire, Madrona, Bloomberg Beta, Zetta, Kearny Jackson</v>
      </c>
      <c r="N200" s="78" t="str">
        <f>Companies!O236</f>
        <v>Seed</v>
      </c>
      <c r="O200" s="78">
        <f>Companies!P236</f>
        <v>5</v>
      </c>
      <c r="P200" s="78" t="str">
        <f>Companies!Q236</f>
        <v>Zetta, SignalFire, Bloomberg Beta, Kearny Jackson</v>
      </c>
    </row>
    <row r="201" spans="2:16">
      <c r="B201" s="78" t="str">
        <f>Companies!B237</f>
        <v>CopyAI</v>
      </c>
      <c r="C201" s="78" t="str">
        <f>Companies!C237</f>
        <v>Private</v>
      </c>
      <c r="D201" s="78">
        <f>Companies!D237</f>
        <v>50</v>
      </c>
      <c r="E201" s="78" t="str">
        <f>Companies!E237</f>
        <v>Series A</v>
      </c>
      <c r="F201" s="78">
        <f>Companies!F237</f>
        <v>11</v>
      </c>
      <c r="G201" s="78" t="str">
        <f>Companies!H237</f>
        <v>Marketing copy</v>
      </c>
      <c r="H201" s="78" t="str">
        <f>Companies!I237</f>
        <v>Chris Lu</v>
      </c>
      <c r="I201" s="78" t="str">
        <f>Companies!J237</f>
        <v>Enterprise</v>
      </c>
      <c r="J201" s="78" t="str">
        <f>Companies!K237</f>
        <v>Sales</v>
      </c>
      <c r="K201" s="78">
        <f>Companies!L237</f>
        <v>2020</v>
      </c>
      <c r="L201" s="78">
        <f>Companies!M237</f>
        <v>0</v>
      </c>
      <c r="M201" s="78" t="str">
        <f>Companies!N237</f>
        <v>Wing Venture Capital, Tiger Global, Sequoia, Craft Ventures, Elad Gil</v>
      </c>
      <c r="N201" s="78" t="str">
        <f>Companies!O237</f>
        <v>Seed</v>
      </c>
      <c r="O201" s="78">
        <f>Companies!P237</f>
        <v>2.9</v>
      </c>
      <c r="P201" s="78" t="str">
        <f>Companies!Q237</f>
        <v>Craft Ventures, Sequoia Capital, Atelier Ventures</v>
      </c>
    </row>
    <row r="202" spans="2:16">
      <c r="B202" s="78" t="str">
        <f>Companies!B238</f>
        <v>Lavender</v>
      </c>
      <c r="C202" s="78" t="str">
        <f>Companies!C238</f>
        <v>Private</v>
      </c>
      <c r="D202" s="78">
        <f>Companies!D238</f>
        <v>50</v>
      </c>
      <c r="E202" s="78" t="str">
        <f>Companies!E238</f>
        <v>Series A</v>
      </c>
      <c r="F202" s="78">
        <f>Companies!F238</f>
        <v>11</v>
      </c>
      <c r="G202" s="78" t="str">
        <f>Companies!H238</f>
        <v>Rewrite cold emails</v>
      </c>
      <c r="H202" s="78" t="str">
        <f>Companies!I238</f>
        <v>Will Allred</v>
      </c>
      <c r="I202" s="78" t="str">
        <f>Companies!J238</f>
        <v>Enterprise</v>
      </c>
      <c r="J202" s="78" t="str">
        <f>Companies!K238</f>
        <v>Sales</v>
      </c>
      <c r="K202" s="78">
        <f>Companies!L238</f>
        <v>2020</v>
      </c>
      <c r="L202" s="78">
        <f>Companies!M238</f>
        <v>0</v>
      </c>
      <c r="M202" s="78" t="str">
        <f>Companies!N238</f>
        <v>Norwest Venture Partners, Signia Venture Partners</v>
      </c>
      <c r="N202" s="78" t="str">
        <f>Companies!O238</f>
        <v>Seed</v>
      </c>
      <c r="O202" s="78">
        <f>Companies!P238</f>
        <v>2.2000000000000002</v>
      </c>
      <c r="P202" s="78" t="str">
        <f>Companies!Q238</f>
        <v>Signia Venture Partners, Position Ventures, CapitalX, Troy Osinoff, CapitalX, Braydan Young, Arash Ferdowsi, Alex Lieberman</v>
      </c>
    </row>
    <row r="203" spans="2:16">
      <c r="B203" s="78" t="str">
        <f>Companies!B239</f>
        <v>Rephrase.ai</v>
      </c>
      <c r="C203" s="78" t="str">
        <f>Companies!C239</f>
        <v>Private</v>
      </c>
      <c r="D203" s="78">
        <f>Companies!D239</f>
        <v>50</v>
      </c>
      <c r="E203" s="78" t="str">
        <f>Companies!E239</f>
        <v>Series A</v>
      </c>
      <c r="F203" s="78">
        <f>Companies!F239</f>
        <v>10.6</v>
      </c>
      <c r="G203" s="78" t="str">
        <f>Companies!H239</f>
        <v>Generative video, audio</v>
      </c>
      <c r="H203" s="78" t="str">
        <f>Companies!I239</f>
        <v>Ashray Malhotra, Nisheeth Lahoti, Shivam Mangla</v>
      </c>
      <c r="I203" s="78" t="str">
        <f>Companies!J239</f>
        <v>Enterprise</v>
      </c>
      <c r="J203" s="78" t="str">
        <f>Companies!K239</f>
        <v>Video</v>
      </c>
      <c r="K203" s="78">
        <f>Companies!L239</f>
        <v>2019</v>
      </c>
      <c r="L203" s="78">
        <f>Companies!M239</f>
        <v>0</v>
      </c>
      <c r="M203" s="78" t="str">
        <f>Companies!N239</f>
        <v>Red Ventures, Silver Lake, 8VC</v>
      </c>
      <c r="N203" s="78" t="str">
        <f>Companies!O239</f>
        <v>Seed</v>
      </c>
      <c r="O203" s="78">
        <f>Companies!P239</f>
        <v>1.5</v>
      </c>
      <c r="P203" s="78" t="str">
        <f>Companies!Q239</f>
        <v>Lightspeed India, AV8 Ventures</v>
      </c>
    </row>
    <row r="204" spans="2:16">
      <c r="B204" s="78" t="str">
        <f>Companies!B240</f>
        <v>CodiumAI</v>
      </c>
      <c r="C204" s="78" t="str">
        <f>Companies!C240</f>
        <v>Private</v>
      </c>
      <c r="D204" s="78">
        <f>Companies!D240</f>
        <v>50</v>
      </c>
      <c r="E204" s="78" t="str">
        <f>Companies!E240</f>
        <v>Seed</v>
      </c>
      <c r="F204" s="78">
        <f>Companies!F240</f>
        <v>10.6</v>
      </c>
      <c r="G204" s="78" t="str">
        <f>Companies!H240</f>
        <v>Test Suites</v>
      </c>
      <c r="H204" s="78" t="str">
        <f>Companies!I240</f>
        <v>Dedy Kredo, Itamar Friedman</v>
      </c>
      <c r="I204" s="78" t="str">
        <f>Companies!J240</f>
        <v>Enterprise</v>
      </c>
      <c r="J204" s="78" t="str">
        <f>Companies!K240</f>
        <v>Programming</v>
      </c>
      <c r="K204" s="78">
        <f>Companies!L240</f>
        <v>2022</v>
      </c>
      <c r="L204" s="78">
        <f>Companies!M240</f>
        <v>0</v>
      </c>
      <c r="M204" s="78" t="str">
        <f>Companies!N240</f>
        <v>Vine Ventures, TLV Partners</v>
      </c>
      <c r="N204" s="78" t="str">
        <f>Companies!O240</f>
        <v>N/A</v>
      </c>
      <c r="O204" s="78" t="str">
        <f>Companies!P240</f>
        <v>N/A</v>
      </c>
      <c r="P204" s="78" t="str">
        <f>Companies!Q240</f>
        <v>N/A</v>
      </c>
    </row>
    <row r="205" spans="2:16">
      <c r="B205" s="78" t="str">
        <f>Companies!B241</f>
        <v>Robin AI</v>
      </c>
      <c r="C205" s="78" t="str">
        <f>Companies!C241</f>
        <v>Private</v>
      </c>
      <c r="D205" s="78">
        <f>Companies!D241</f>
        <v>50</v>
      </c>
      <c r="E205" s="78" t="str">
        <f>Companies!E241</f>
        <v>Seed</v>
      </c>
      <c r="F205" s="78">
        <f>Companies!F241</f>
        <v>10.5</v>
      </c>
      <c r="G205" s="78" t="str">
        <f>Companies!H241</f>
        <v>Contracts</v>
      </c>
      <c r="H205" s="78" t="str">
        <f>Companies!I241</f>
        <v>Richard Robinson</v>
      </c>
      <c r="I205" s="78" t="str">
        <f>Companies!J241</f>
        <v>Enterprise</v>
      </c>
      <c r="J205" s="78" t="str">
        <f>Companies!K241</f>
        <v>Legal</v>
      </c>
      <c r="K205" s="78">
        <f>Companies!L241</f>
        <v>2019</v>
      </c>
      <c r="L205" s="78">
        <f>Companies!M241</f>
        <v>0</v>
      </c>
      <c r="M205" s="78" t="str">
        <f>Companies!N241</f>
        <v>Plural Platform, Episode 1, Tom Blomfield</v>
      </c>
      <c r="N205" s="78" t="str">
        <f>Companies!O241</f>
        <v>Seed</v>
      </c>
      <c r="O205" s="78">
        <f>Companies!P241</f>
        <v>3</v>
      </c>
      <c r="P205" s="78" t="str">
        <f>Companies!Q241</f>
        <v>SoftBank, Forward Partners, Episode 1, Tom Blomfield</v>
      </c>
    </row>
    <row r="206" spans="2:16">
      <c r="B206" s="78" t="str">
        <f>Companies!B242</f>
        <v>Capitol</v>
      </c>
      <c r="C206" s="78" t="str">
        <f>Companies!C242</f>
        <v>Private</v>
      </c>
      <c r="D206" s="78">
        <f>Companies!D242</f>
        <v>50</v>
      </c>
      <c r="E206" s="78" t="str">
        <f>Companies!E242</f>
        <v>Seed</v>
      </c>
      <c r="F206" s="78">
        <f>Companies!F242</f>
        <v>10</v>
      </c>
      <c r="G206" s="78" t="str">
        <f>Companies!H242</f>
        <v>HMOs</v>
      </c>
      <c r="H206" s="78" t="str">
        <f>Companies!I242</f>
        <v>Shaun Modi</v>
      </c>
      <c r="I206" s="78" t="str">
        <f>Companies!J242</f>
        <v>Enterprise</v>
      </c>
      <c r="J206" s="78" t="str">
        <f>Companies!K242</f>
        <v>Healthcare</v>
      </c>
      <c r="K206" s="78">
        <f>Companies!L242</f>
        <v>2021</v>
      </c>
      <c r="L206" s="78">
        <f>Companies!M242</f>
        <v>0</v>
      </c>
      <c r="M206" s="78" t="str">
        <f>Companies!N242</f>
        <v>468 Capital, Tokyo Black, Sanno Capital, Nomad Capital, Fuel Capital, AirAngels, Designer Fund, Chase Coleman, Brian Chesky, John McCormick</v>
      </c>
      <c r="N206" s="78" t="str">
        <f>Companies!O242</f>
        <v>N/A</v>
      </c>
      <c r="O206" s="78" t="str">
        <f>Companies!P242</f>
        <v>N/A</v>
      </c>
      <c r="P206" s="78" t="str">
        <f>Companies!Q242</f>
        <v>N/A</v>
      </c>
    </row>
    <row r="207" spans="2:16">
      <c r="B207" s="78" t="str">
        <f>Companies!B243</f>
        <v>Wispr</v>
      </c>
      <c r="C207" s="78" t="str">
        <f>Companies!C243</f>
        <v>Private</v>
      </c>
      <c r="D207" s="78">
        <f>Companies!D243</f>
        <v>50</v>
      </c>
      <c r="E207" s="78" t="str">
        <f>Companies!E243</f>
        <v>Seed</v>
      </c>
      <c r="F207" s="78">
        <f>Companies!F243</f>
        <v>10</v>
      </c>
      <c r="G207" s="78" t="str">
        <f>Companies!H243</f>
        <v>Mind-reading wearable</v>
      </c>
      <c r="H207" s="78" t="str">
        <f>Companies!I243</f>
        <v>Tanay Kothari</v>
      </c>
      <c r="I207" s="78" t="str">
        <f>Companies!J243</f>
        <v>Consumer</v>
      </c>
      <c r="J207" s="78" t="str">
        <f>Companies!K243</f>
        <v>Personal Computing</v>
      </c>
      <c r="K207" s="78">
        <f>Companies!L243</f>
        <v>2021</v>
      </c>
      <c r="L207" s="78">
        <f>Companies!M243</f>
        <v>0</v>
      </c>
      <c r="M207" s="78" t="str">
        <f>Companies!N243</f>
        <v>TriplePoint Capital, Neo, NEA, Modern Venture Partners, 8VC, Vijay Krishnan, Fred Ehrsam, Arash Ferdowski</v>
      </c>
      <c r="N207" s="78" t="str">
        <f>Companies!O243</f>
        <v>Seed</v>
      </c>
      <c r="O207" s="78">
        <f>Companies!P243</f>
        <v>4.5999999999999996</v>
      </c>
      <c r="P207" s="78" t="str">
        <f>Companies!Q243</f>
        <v>NEA, 8VC, AIX Ventures, Vijay Krishnan</v>
      </c>
    </row>
    <row r="208" spans="2:16">
      <c r="B208" s="78" t="str">
        <f>Companies!B244</f>
        <v>Kogniz</v>
      </c>
      <c r="C208" s="78" t="str">
        <f>Companies!C244</f>
        <v>Private</v>
      </c>
      <c r="D208" s="78">
        <f>Companies!D244</f>
        <v>50</v>
      </c>
      <c r="E208" s="78" t="str">
        <f>Companies!E244</f>
        <v>Series A</v>
      </c>
      <c r="F208" s="78">
        <f>Companies!F244</f>
        <v>10</v>
      </c>
      <c r="G208" s="78" t="str">
        <f>Companies!H244</f>
        <v>Accidents</v>
      </c>
      <c r="H208" s="78" t="str">
        <f>Companies!I244</f>
        <v>Jed Putterman</v>
      </c>
      <c r="I208" s="78" t="str">
        <f>Companies!J244</f>
        <v>Enterprise</v>
      </c>
      <c r="J208" s="78" t="str">
        <f>Companies!K244</f>
        <v>CV</v>
      </c>
      <c r="K208" s="78">
        <f>Companies!L244</f>
        <v>2016</v>
      </c>
      <c r="L208" s="78">
        <f>Companies!M244</f>
        <v>0</v>
      </c>
      <c r="M208" s="78" t="str">
        <f>Companies!N244</f>
        <v>Ulu Ventures, VentureStudio, The Indy Fund, K20 Fund, H. Barton Asset Management, Tom Chavez</v>
      </c>
      <c r="N208" s="78" t="str">
        <f>Companies!O244</f>
        <v>Seed</v>
      </c>
      <c r="O208" s="78">
        <f>Companies!P244</f>
        <v>4</v>
      </c>
      <c r="P208" s="78" t="str">
        <f>Companies!Q244</f>
        <v>The Entrepreneurs' Fund, Tom Chavez, Auren Hoffman</v>
      </c>
    </row>
    <row r="209" spans="2:16">
      <c r="B209" s="78" t="str">
        <f>Companies!B245</f>
        <v>Ask-AI</v>
      </c>
      <c r="C209" s="78" t="str">
        <f>Companies!C245</f>
        <v>Private</v>
      </c>
      <c r="D209" s="78">
        <f>Companies!D245</f>
        <v>50</v>
      </c>
      <c r="E209" s="78" t="str">
        <f>Companies!E245</f>
        <v>Seed</v>
      </c>
      <c r="F209" s="78">
        <f>Companies!F245</f>
        <v>9</v>
      </c>
      <c r="G209" s="78" t="str">
        <f>Companies!H245</f>
        <v>Enterprise search</v>
      </c>
      <c r="H209" s="78" t="str">
        <f>Companies!I245</f>
        <v>Dr. Alon Talmor</v>
      </c>
      <c r="I209" s="78" t="str">
        <f>Companies!J245</f>
        <v>Enterprise</v>
      </c>
      <c r="J209" s="78" t="str">
        <f>Companies!K245</f>
        <v>Search</v>
      </c>
      <c r="K209" s="78">
        <f>Companies!L245</f>
        <v>2021</v>
      </c>
      <c r="L209" s="78" t="str">
        <f>Companies!M245</f>
        <v>ex-Salesforce</v>
      </c>
      <c r="M209" s="78" t="str">
        <f>Companies!N245</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78" t="str">
        <f>Companies!O245</f>
        <v>N/A</v>
      </c>
      <c r="O209" s="78" t="str">
        <f>Companies!P245</f>
        <v>N/A</v>
      </c>
      <c r="P209" s="78" t="str">
        <f>Companies!Q245</f>
        <v>N/A</v>
      </c>
    </row>
    <row r="210" spans="2:16">
      <c r="B210" s="78" t="str">
        <f>Companies!B246</f>
        <v>Yembo</v>
      </c>
      <c r="C210" s="78" t="str">
        <f>Companies!C246</f>
        <v>Private</v>
      </c>
      <c r="D210" s="78">
        <f>Companies!D246</f>
        <v>50</v>
      </c>
      <c r="E210" s="78" t="str">
        <f>Companies!E246</f>
        <v>Series A</v>
      </c>
      <c r="F210" s="78">
        <f>Companies!F246</f>
        <v>8.5</v>
      </c>
      <c r="G210" s="78" t="str">
        <f>Companies!H246</f>
        <v>AI Inspections for Moving &amp; Insurance</v>
      </c>
      <c r="H210" s="78" t="str">
        <f>Companies!I246</f>
        <v>Siddharth Mohan, Zach Rattner</v>
      </c>
      <c r="I210" s="78" t="str">
        <f>Companies!J246</f>
        <v>Enterprise</v>
      </c>
      <c r="J210" s="78" t="str">
        <f>Companies!K246</f>
        <v>Logistics</v>
      </c>
      <c r="K210" s="78">
        <f>Companies!L246</f>
        <v>2016</v>
      </c>
      <c r="L210" s="78">
        <f>Companies!M246</f>
        <v>0</v>
      </c>
      <c r="M210" s="78" t="str">
        <f>Companies!N246</f>
        <v xml:space="preserve">Imagen Capital Partners, </v>
      </c>
      <c r="N210" s="78" t="str">
        <f>Companies!O246</f>
        <v>Seed</v>
      </c>
      <c r="O210" s="78">
        <f>Companies!P246</f>
        <v>4.4000000000000004</v>
      </c>
      <c r="P210" s="78" t="str">
        <f>Companies!Q246</f>
        <v>N/A</v>
      </c>
    </row>
    <row r="211" spans="2:16">
      <c r="B211" s="78" t="str">
        <f>Companies!B247</f>
        <v>One AI</v>
      </c>
      <c r="C211" s="78" t="str">
        <f>Companies!C247</f>
        <v>Private</v>
      </c>
      <c r="D211" s="78">
        <f>Companies!D247</f>
        <v>50</v>
      </c>
      <c r="E211" s="78" t="str">
        <f>Companies!E247</f>
        <v>Seed</v>
      </c>
      <c r="F211" s="78">
        <f>Companies!F247</f>
        <v>8</v>
      </c>
      <c r="G211" s="78" t="str">
        <f>Companies!H247</f>
        <v>Low-code, no-code API</v>
      </c>
      <c r="H211" s="78" t="str">
        <f>Companies!I247</f>
        <v>Amit Ben Shahar, Asi Shefer, Aviv Dror, Yochai Levi</v>
      </c>
      <c r="I211" s="78" t="str">
        <f>Companies!J247</f>
        <v>Enterprise</v>
      </c>
      <c r="J211" s="78" t="str">
        <f>Companies!K247</f>
        <v>Programming</v>
      </c>
      <c r="K211" s="78">
        <f>Companies!L247</f>
        <v>2021</v>
      </c>
      <c r="L211" s="78" t="str">
        <f>Companies!M247</f>
        <v>Pretty cool</v>
      </c>
      <c r="M211" s="78" t="str">
        <f>Companies!N247</f>
        <v>TechAviv Founder Partners, Ariel Maislos, Tomer Weingarten</v>
      </c>
      <c r="N211" s="78" t="str">
        <f>Companies!O247</f>
        <v>N/A</v>
      </c>
      <c r="O211" s="78" t="str">
        <f>Companies!P247</f>
        <v>N/A</v>
      </c>
      <c r="P211" s="78" t="str">
        <f>Companies!Q247</f>
        <v>N/A</v>
      </c>
    </row>
    <row r="212" spans="2:16">
      <c r="B212" s="78" t="str">
        <f>Companies!B248</f>
        <v>Vcat.ai (Pion)</v>
      </c>
      <c r="C212" s="78" t="str">
        <f>Companies!C248</f>
        <v>Private</v>
      </c>
      <c r="D212" s="78">
        <f>Companies!D248</f>
        <v>50</v>
      </c>
      <c r="E212" s="78" t="str">
        <f>Companies!E248</f>
        <v>Series A</v>
      </c>
      <c r="F212" s="78">
        <f>Companies!F248</f>
        <v>8</v>
      </c>
      <c r="G212" s="78" t="str">
        <f>Companies!H248</f>
        <v>AI promotional videos</v>
      </c>
      <c r="H212" s="78">
        <f>Companies!I248</f>
        <v>0</v>
      </c>
      <c r="I212" s="78" t="str">
        <f>Companies!J248</f>
        <v>Enterprise</v>
      </c>
      <c r="J212" s="78" t="str">
        <f>Companies!K248</f>
        <v>Video</v>
      </c>
      <c r="K212" s="78">
        <f>Companies!L248</f>
        <v>2019</v>
      </c>
      <c r="L212" s="78">
        <f>Companies!M248</f>
        <v>0</v>
      </c>
      <c r="M212" s="78" t="str">
        <f>Companies!N248</f>
        <v>Premier Partners, SmileGate, KT Investment, KB Investment</v>
      </c>
      <c r="N212" s="78" t="str">
        <f>Companies!O248</f>
        <v>N/A</v>
      </c>
      <c r="O212" s="78" t="str">
        <f>Companies!P248</f>
        <v>N/A</v>
      </c>
      <c r="P212" s="78" t="str">
        <f>Companies!Q248</f>
        <v>N/A</v>
      </c>
    </row>
    <row r="213" spans="2:16">
      <c r="B213" s="78" t="str">
        <f>Companies!B249</f>
        <v>Kognitos</v>
      </c>
      <c r="C213" s="78" t="str">
        <f>Companies!C249</f>
        <v>Private</v>
      </c>
      <c r="D213" s="78">
        <f>Companies!D249</f>
        <v>50</v>
      </c>
      <c r="E213" s="78" t="str">
        <f>Companies!E249</f>
        <v>Seed</v>
      </c>
      <c r="F213" s="78">
        <f>Companies!F249</f>
        <v>6.8</v>
      </c>
      <c r="G213" s="78" t="str">
        <f>Companies!H249</f>
        <v>Exception handling</v>
      </c>
      <c r="H213" s="78" t="str">
        <f>Companies!I249</f>
        <v>Binny Gill</v>
      </c>
      <c r="I213" s="78" t="str">
        <f>Companies!J249</f>
        <v>Enterprise</v>
      </c>
      <c r="J213" s="78" t="str">
        <f>Companies!K249</f>
        <v>BPO</v>
      </c>
      <c r="K213" s="78">
        <f>Companies!L249</f>
        <v>2021</v>
      </c>
      <c r="L213" s="78">
        <f>Companies!M249</f>
        <v>0</v>
      </c>
      <c r="M213" s="78" t="str">
        <f>Companies!N249</f>
        <v>Clear Ventures, Wipro Ventures, Engineering Capital</v>
      </c>
      <c r="N213" s="78" t="str">
        <f>Companies!O249</f>
        <v>Seed</v>
      </c>
      <c r="O213" s="78">
        <f>Companies!P249</f>
        <v>1.6</v>
      </c>
      <c r="P213" s="78" t="str">
        <f>Companies!Q249</f>
        <v>Engineering Capital, Clear Ventures</v>
      </c>
    </row>
    <row r="214" spans="2:16">
      <c r="B214" s="78" t="str">
        <f>Companies!B250</f>
        <v>Birdie</v>
      </c>
      <c r="C214" s="78" t="str">
        <f>Companies!C250</f>
        <v>Private</v>
      </c>
      <c r="D214" s="78">
        <f>Companies!D250</f>
        <v>50</v>
      </c>
      <c r="E214" s="78" t="str">
        <f>Companies!E250</f>
        <v>Seed</v>
      </c>
      <c r="F214" s="78">
        <f>Companies!F250</f>
        <v>7</v>
      </c>
      <c r="G214" s="78" t="str">
        <f>Companies!H250</f>
        <v>Customer Feedback</v>
      </c>
      <c r="H214" s="78" t="str">
        <f>Companies!I250</f>
        <v>Alexandre Hadade, Everton Cherman, Patricia Osorio</v>
      </c>
      <c r="I214" s="78" t="str">
        <f>Companies!J250</f>
        <v>Enterprise</v>
      </c>
      <c r="J214" s="78" t="str">
        <f>Companies!K250</f>
        <v>Customer</v>
      </c>
      <c r="K214" s="78">
        <f>Companies!L250</f>
        <v>2019</v>
      </c>
      <c r="L214" s="78">
        <f>Companies!M250</f>
        <v>0</v>
      </c>
      <c r="M214" s="78" t="str">
        <f>Companies!N250</f>
        <v>Softbank, Upload Ventures, Illuminate Ventures, Scale-Up Ventures, Fusion Fund, Endeavor Catalyst, Astella</v>
      </c>
      <c r="N214" s="78" t="str">
        <f>Companies!O250</f>
        <v>Pre-Seed</v>
      </c>
      <c r="O214" s="78">
        <f>Companies!P250</f>
        <v>1.1000000000000001</v>
      </c>
      <c r="P214" s="78" t="str">
        <f>Companies!Q250</f>
        <v>Astella</v>
      </c>
    </row>
    <row r="215" spans="2:16">
      <c r="B215" s="78" t="str">
        <f>Companies!B251</f>
        <v>Orby AI</v>
      </c>
      <c r="C215" s="78" t="str">
        <f>Companies!C251</f>
        <v>Private</v>
      </c>
      <c r="D215" s="78">
        <f>Companies!D251</f>
        <v>50</v>
      </c>
      <c r="E215" s="78" t="str">
        <f>Companies!E251</f>
        <v>Seed</v>
      </c>
      <c r="F215" s="78">
        <f>Companies!F251</f>
        <v>4.5</v>
      </c>
      <c r="G215" s="78" t="str">
        <f>Companies!H251</f>
        <v>Automates by watching you work</v>
      </c>
      <c r="H215" s="78" t="str">
        <f>Companies!I251</f>
        <v>Bella Liu, Will Lu</v>
      </c>
      <c r="I215" s="78" t="str">
        <f>Companies!J251</f>
        <v>Enterprise</v>
      </c>
      <c r="J215" s="78" t="str">
        <f>Companies!K251</f>
        <v>Productivity</v>
      </c>
      <c r="K215" s="78">
        <f>Companies!L251</f>
        <v>2022</v>
      </c>
      <c r="L215" s="78">
        <f>Companies!M251</f>
        <v>0</v>
      </c>
      <c r="M215" s="78" t="str">
        <f>Companies!N251</f>
        <v>NEA, Pear VC, Wing Venture Capital</v>
      </c>
      <c r="N215" s="78" t="str">
        <f>Companies!O251</f>
        <v>N/A</v>
      </c>
      <c r="O215" s="78" t="str">
        <f>Companies!P251</f>
        <v>N/A</v>
      </c>
      <c r="P215" s="78" t="str">
        <f>Companies!Q251</f>
        <v>N/A</v>
      </c>
    </row>
    <row r="216" spans="2:16">
      <c r="B216" s="78" t="str">
        <f>Companies!B252</f>
        <v>Telmai</v>
      </c>
      <c r="C216" s="78" t="str">
        <f>Companies!C252</f>
        <v>Private</v>
      </c>
      <c r="D216" s="78">
        <f>Companies!D252</f>
        <v>50</v>
      </c>
      <c r="E216" s="78" t="str">
        <f>Companies!E252</f>
        <v>Seed</v>
      </c>
      <c r="F216" s="78">
        <f>Companies!F252</f>
        <v>5.5</v>
      </c>
      <c r="G216" s="78" t="str">
        <f>Companies!H252</f>
        <v>Observability</v>
      </c>
      <c r="H216" s="78">
        <f>Companies!I252</f>
        <v>0</v>
      </c>
      <c r="I216" s="78" t="str">
        <f>Companies!J252</f>
        <v>Enterprise</v>
      </c>
      <c r="J216" s="78" t="str">
        <f>Companies!K252</f>
        <v>MLOps</v>
      </c>
      <c r="K216" s="78">
        <f>Companies!L252</f>
        <v>44176</v>
      </c>
      <c r="L216" s="78">
        <f>Companies!M252</f>
        <v>0</v>
      </c>
      <c r="M216" s="78" t="str">
        <f>Companies!N252</f>
        <v>Glasswing Ventures, .406 Ventures, Zetta Venture Partners, Y Combinator</v>
      </c>
      <c r="N216" s="78" t="str">
        <f>Companies!O252</f>
        <v>Pre-Seed</v>
      </c>
      <c r="O216" s="78">
        <f>Companies!P252</f>
        <v>0.125</v>
      </c>
      <c r="P216" s="78" t="str">
        <f>Companies!Q252</f>
        <v>YC</v>
      </c>
    </row>
    <row r="217" spans="2:16">
      <c r="B217" s="78" t="str">
        <f>Companies!B253</f>
        <v>NinjaTech AI</v>
      </c>
      <c r="C217" s="78" t="str">
        <f>Companies!C253</f>
        <v>Private</v>
      </c>
      <c r="D217" s="78">
        <f>Companies!D253</f>
        <v>50</v>
      </c>
      <c r="E217" s="78" t="str">
        <f>Companies!E253</f>
        <v>Seed</v>
      </c>
      <c r="F217" s="78">
        <f>Companies!F253</f>
        <v>5.6</v>
      </c>
      <c r="G217" s="78" t="str">
        <f>Companies!H253</f>
        <v>Enterprise personal assistant</v>
      </c>
      <c r="H217" s="78" t="str">
        <f>Companies!I253</f>
        <v>Babak Pahlavan, Sam Naghshineh</v>
      </c>
      <c r="I217" s="78" t="str">
        <f>Companies!J253</f>
        <v>Enterprise</v>
      </c>
      <c r="J217" s="78" t="str">
        <f>Companies!K253</f>
        <v>Assistant</v>
      </c>
      <c r="K217" s="78">
        <f>Companies!L253</f>
        <v>2022</v>
      </c>
      <c r="L217" s="78" t="str">
        <f>Companies!M253</f>
        <v>ex-GOOG, META, AWS</v>
      </c>
      <c r="M217" s="78" t="str">
        <f>Companies!N253</f>
        <v>SRI Ventures, DCVC, Candou Ventures, Laszlo Bock</v>
      </c>
      <c r="N217" s="78" t="str">
        <f>Companies!O253</f>
        <v>N/A</v>
      </c>
      <c r="O217" s="78" t="str">
        <f>Companies!P253</f>
        <v>N/A</v>
      </c>
      <c r="P217" s="78" t="str">
        <f>Companies!Q253</f>
        <v>N/A</v>
      </c>
    </row>
    <row r="218" spans="2:16">
      <c r="B218" s="78" t="str">
        <f>Companies!B254</f>
        <v>Kubiya.ai</v>
      </c>
      <c r="C218" s="78" t="str">
        <f>Companies!C254</f>
        <v>Private</v>
      </c>
      <c r="D218" s="78">
        <f>Companies!D254</f>
        <v>50</v>
      </c>
      <c r="E218" s="78" t="str">
        <f>Companies!E254</f>
        <v>Seed</v>
      </c>
      <c r="F218" s="78">
        <f>Companies!F254</f>
        <v>6</v>
      </c>
      <c r="G218" s="78" t="str">
        <f>Companies!H254</f>
        <v>ChatGPT for DevOps</v>
      </c>
      <c r="H218" s="78" t="str">
        <f>Companies!I254</f>
        <v>Amit Eyal Govrin, Shaked Askayo</v>
      </c>
      <c r="I218" s="78" t="str">
        <f>Companies!J254</f>
        <v>Enterprise</v>
      </c>
      <c r="J218" s="78" t="str">
        <f>Companies!K254</f>
        <v>DevOps</v>
      </c>
      <c r="K218" s="78">
        <f>Companies!L254</f>
        <v>2022</v>
      </c>
      <c r="L218" s="78">
        <f>Companies!M254</f>
        <v>0</v>
      </c>
      <c r="M218" s="78" t="str">
        <f>Companies!N254</f>
        <v>Hyperwise Ventures, Pierre Lamond, Giora Yaron, Avery More</v>
      </c>
      <c r="N218" s="78" t="str">
        <f>Companies!O254</f>
        <v>N/A</v>
      </c>
      <c r="O218" s="78" t="str">
        <f>Companies!P254</f>
        <v>N/A</v>
      </c>
      <c r="P218" s="78" t="str">
        <f>Companies!Q254</f>
        <v>N/A</v>
      </c>
    </row>
    <row r="219" spans="2:16">
      <c r="B219" s="78" t="str">
        <f>Companies!B255</f>
        <v>Dust</v>
      </c>
      <c r="C219" s="78" t="str">
        <f>Companies!C255</f>
        <v>Private</v>
      </c>
      <c r="D219" s="78">
        <f>Companies!D255</f>
        <v>50</v>
      </c>
      <c r="E219" s="78" t="str">
        <f>Companies!E255</f>
        <v>Seed</v>
      </c>
      <c r="F219" s="78">
        <f>Companies!F255</f>
        <v>6</v>
      </c>
      <c r="G219" s="78" t="str">
        <f>Companies!H255</f>
        <v>Business tools, very generic</v>
      </c>
      <c r="H219" s="78">
        <f>Companies!I255</f>
        <v>0</v>
      </c>
      <c r="I219" s="78" t="str">
        <f>Companies!J255</f>
        <v>Enterprise</v>
      </c>
      <c r="J219" s="78" t="str">
        <f>Companies!K255</f>
        <v>Tools</v>
      </c>
      <c r="K219" s="78">
        <f>Companies!L255</f>
        <v>2023</v>
      </c>
      <c r="L219" s="78" t="str">
        <f>Companies!M255</f>
        <v>AI Grant batch 1</v>
      </c>
      <c r="M219" s="78" t="str">
        <f>Companies!N255</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78" t="str">
        <f>Companies!O255</f>
        <v>N/A</v>
      </c>
      <c r="O219" s="78" t="str">
        <f>Companies!P255</f>
        <v>N/A</v>
      </c>
      <c r="P219" s="78" t="str">
        <f>Companies!Q255</f>
        <v>N/A</v>
      </c>
    </row>
    <row r="220" spans="2:16">
      <c r="B220" s="78" t="str">
        <f>Companies!B256</f>
        <v>Yoodli</v>
      </c>
      <c r="C220" s="78" t="str">
        <f>Companies!C256</f>
        <v>Private</v>
      </c>
      <c r="D220" s="78">
        <f>Companies!D256</f>
        <v>50</v>
      </c>
      <c r="E220" s="78" t="str">
        <f>Companies!E256</f>
        <v>Seed</v>
      </c>
      <c r="F220" s="78">
        <f>Companies!F256</f>
        <v>6</v>
      </c>
      <c r="G220" s="78" t="str">
        <f>Companies!H256</f>
        <v>Communication improvement tool</v>
      </c>
      <c r="H220" s="78" t="str">
        <f>Companies!I256</f>
        <v>Esha Joshi, Varun Puri</v>
      </c>
      <c r="I220" s="78" t="str">
        <f>Companies!J256</f>
        <v>Enterprise</v>
      </c>
      <c r="J220" s="78" t="str">
        <f>Companies!K256</f>
        <v>Communication</v>
      </c>
      <c r="K220" s="78">
        <f>Companies!L256</f>
        <v>2021</v>
      </c>
      <c r="L220" s="78">
        <f>Companies!M256</f>
        <v>0</v>
      </c>
      <c r="M220" s="78" t="str">
        <f>Companies!N256</f>
        <v>Madrona, Cercano Management, J4.Ventures, Ascend, Renn Vara, Maureen Taylor, Jeff Richards, Dave Rosenberg</v>
      </c>
      <c r="N220" s="78" t="str">
        <f>Companies!O256</f>
        <v>Pre-Seed</v>
      </c>
      <c r="O220" s="78">
        <f>Companies!P256</f>
        <v>1</v>
      </c>
      <c r="P220" s="78" t="str">
        <f>Companies!Q256</f>
        <v>Allen AI, Madrona</v>
      </c>
    </row>
    <row r="221" spans="2:16">
      <c r="B221" s="78" t="str">
        <f>Companies!B257</f>
        <v>Mimica Automation</v>
      </c>
      <c r="C221" s="78" t="str">
        <f>Companies!C257</f>
        <v>Private</v>
      </c>
      <c r="D221" s="78">
        <f>Companies!D257</f>
        <v>50</v>
      </c>
      <c r="E221" s="78" t="str">
        <f>Companies!E257</f>
        <v>Series A</v>
      </c>
      <c r="F221" s="78">
        <f>Companies!F257</f>
        <v>5</v>
      </c>
      <c r="G221" s="78" t="str">
        <f>Companies!H257</f>
        <v>Business process automation</v>
      </c>
      <c r="H221" s="78" t="str">
        <f>Companies!I257</f>
        <v>Raphael Holca-Lamarre, Tuhin Chakraborty</v>
      </c>
      <c r="I221" s="78" t="str">
        <f>Companies!J257</f>
        <v>Enterprise</v>
      </c>
      <c r="J221" s="78" t="str">
        <f>Companies!K257</f>
        <v>Automation</v>
      </c>
      <c r="K221" s="78">
        <f>Companies!L257</f>
        <v>2018</v>
      </c>
      <c r="L221" s="78">
        <f>Companies!M257</f>
        <v>0</v>
      </c>
      <c r="M221" s="78" t="str">
        <f>Companies!N257</f>
        <v>Khosla Ventures, Episode 1, Entrepreneur First</v>
      </c>
      <c r="N221" s="78" t="str">
        <f>Companies!O257</f>
        <v>Seed</v>
      </c>
      <c r="O221" s="78" t="str">
        <f>Companies!P257</f>
        <v>N/A</v>
      </c>
      <c r="P221" s="78" t="str">
        <f>Companies!Q257</f>
        <v>Entrepreneur First, Episode 1</v>
      </c>
    </row>
    <row r="222" spans="2:16">
      <c r="B222" s="78" t="str">
        <f>Companies!B258</f>
        <v>Waymark</v>
      </c>
      <c r="C222" s="78" t="str">
        <f>Companies!C258</f>
        <v>Private</v>
      </c>
      <c r="D222" s="78">
        <f>Companies!D258</f>
        <v>50</v>
      </c>
      <c r="E222" s="78" t="str">
        <f>Companies!E258</f>
        <v>Series B</v>
      </c>
      <c r="F222" s="78">
        <f>Companies!F258</f>
        <v>5</v>
      </c>
      <c r="G222" s="78" t="str">
        <f>Companies!H258</f>
        <v>Pivoted to AI</v>
      </c>
      <c r="H222" s="78">
        <f>Companies!I258</f>
        <v>0</v>
      </c>
      <c r="I222" s="78" t="str">
        <f>Companies!J258</f>
        <v>Enterprise</v>
      </c>
      <c r="J222" s="78" t="str">
        <f>Companies!K258</f>
        <v>Video</v>
      </c>
      <c r="K222" s="78">
        <f>Companies!L258</f>
        <v>40483</v>
      </c>
      <c r="L222" s="78">
        <f>Companies!M258</f>
        <v>0</v>
      </c>
      <c r="M222" s="78" t="str">
        <f>Companies!N258</f>
        <v>Series B</v>
      </c>
      <c r="N222" s="78" t="str">
        <f>Companies!O258</f>
        <v>N/A</v>
      </c>
      <c r="O222" s="78" t="str">
        <f>Companies!P258</f>
        <v>N/A</v>
      </c>
      <c r="P222" s="78" t="str">
        <f>Companies!Q258</f>
        <v>Series A</v>
      </c>
    </row>
    <row r="223" spans="2:16">
      <c r="B223" s="78" t="str">
        <f>Companies!B259</f>
        <v>DarwinAI</v>
      </c>
      <c r="C223" s="78" t="str">
        <f>Companies!C259</f>
        <v>Private</v>
      </c>
      <c r="D223" s="78">
        <f>Companies!D259</f>
        <v>50</v>
      </c>
      <c r="E223" s="78" t="str">
        <f>Companies!E259</f>
        <v>Series A</v>
      </c>
      <c r="F223" s="78">
        <f>Companies!F259</f>
        <v>6</v>
      </c>
      <c r="G223" s="78" t="str">
        <f>Companies!H259</f>
        <v>Quality control, efficiency for electronics manufacturing</v>
      </c>
      <c r="H223" s="78">
        <f>Companies!I259</f>
        <v>0</v>
      </c>
      <c r="I223" s="78" t="str">
        <f>Companies!J259</f>
        <v>Enterprise</v>
      </c>
      <c r="J223" s="78" t="str">
        <f>Companies!K259</f>
        <v>Manufacturing</v>
      </c>
      <c r="K223" s="78">
        <f>Companies!L259</f>
        <v>0</v>
      </c>
      <c r="L223" s="78">
        <f>Companies!M259</f>
        <v>0</v>
      </c>
      <c r="M223" s="78" t="str">
        <f>Companies!N259</f>
        <v>BDC Venture Capital, Obvious Ventures, Inovia Capital, Honeywell</v>
      </c>
      <c r="N223" s="78" t="str">
        <f>Companies!O259</f>
        <v>Seed</v>
      </c>
      <c r="O223" s="78">
        <f>Companies!P259</f>
        <v>5.9</v>
      </c>
      <c r="P223" s="78" t="str">
        <f>Companies!Q259</f>
        <v>Honeywell, ACVC Partners</v>
      </c>
    </row>
    <row r="224" spans="2:16">
      <c r="B224" s="78" t="str">
        <f>Companies!B260</f>
        <v>Common Sense Machines</v>
      </c>
      <c r="C224" s="78" t="str">
        <f>Companies!C260</f>
        <v>Private</v>
      </c>
      <c r="D224" s="78">
        <f>Companies!D260</f>
        <v>50</v>
      </c>
      <c r="E224" s="78" t="str">
        <f>Companies!E260</f>
        <v>SAFE</v>
      </c>
      <c r="F224" s="78">
        <f>Companies!F260</f>
        <v>2.5</v>
      </c>
      <c r="G224" s="78" t="str">
        <f>Companies!H260</f>
        <v>3D Perception/Simulation</v>
      </c>
      <c r="H224" s="78" t="str">
        <f>Companies!I260</f>
        <v>Josh Tenenbaum, Max Kleiman-Weiner, Tejas Kulkarni, Vikash Mansinghka</v>
      </c>
      <c r="I224" s="78" t="str">
        <f>Companies!J260</f>
        <v>Enterprise</v>
      </c>
      <c r="J224" s="78" t="str">
        <f>Companies!K260</f>
        <v>CV</v>
      </c>
      <c r="K224" s="78">
        <f>Companies!L260</f>
        <v>2020</v>
      </c>
      <c r="L224" s="78" t="str">
        <f>Companies!M260</f>
        <v>Cool Demo</v>
      </c>
      <c r="M224" s="78" t="str">
        <f>Companies!N260</f>
        <v>N/A</v>
      </c>
      <c r="N224" s="78" t="str">
        <f>Companies!O260</f>
        <v>Seed</v>
      </c>
      <c r="O224" s="78">
        <f>Companies!P260</f>
        <v>5.0999999999999996</v>
      </c>
      <c r="P224" s="78" t="str">
        <f>Companies!Q260</f>
        <v>Toyota Ventures, Omidyar Technology Ventures, Intel Capital, Glasswing Ventures, Blindspot Ventures</v>
      </c>
    </row>
    <row r="225" spans="2:16">
      <c r="B225" s="78" t="str">
        <f>Companies!B261</f>
        <v>Writesonic</v>
      </c>
      <c r="C225" s="78" t="str">
        <f>Companies!C261</f>
        <v>Private</v>
      </c>
      <c r="D225" s="78">
        <f>Companies!D261</f>
        <v>50</v>
      </c>
      <c r="E225" s="78" t="str">
        <f>Companies!E261</f>
        <v>Seed</v>
      </c>
      <c r="F225" s="78">
        <f>Companies!F261</f>
        <v>2.5</v>
      </c>
      <c r="G225" s="78" t="str">
        <f>Companies!H261</f>
        <v>GPT-generated content</v>
      </c>
      <c r="H225" s="78" t="str">
        <f>Companies!I261</f>
        <v>Samanyou Garg</v>
      </c>
      <c r="I225" s="78" t="str">
        <f>Companies!J261</f>
        <v>Enterprise</v>
      </c>
      <c r="J225" s="78" t="str">
        <f>Companies!K261</f>
        <v>Content</v>
      </c>
      <c r="K225" s="78">
        <f>Companies!L261</f>
        <v>44211</v>
      </c>
      <c r="L225" s="78">
        <f>Companies!M261</f>
        <v>0</v>
      </c>
      <c r="M225" s="78" t="str">
        <f>Companies!N261</f>
        <v>HOF Capital, Soma Capital, Rebel Fund, Broom Ventures, BluePointe Ventures, Atlas Pacific Capital, Amino Capital</v>
      </c>
      <c r="N225" s="78" t="str">
        <f>Companies!O261</f>
        <v>Pre-Seed</v>
      </c>
      <c r="O225" s="78" t="str">
        <f>Companies!P261</f>
        <v>N/A</v>
      </c>
      <c r="P225" s="78" t="str">
        <f>Companies!Q261</f>
        <v>YC</v>
      </c>
    </row>
    <row r="226" spans="2:16">
      <c r="B226" s="78" t="str">
        <f>Companies!B262</f>
        <v>Workhack</v>
      </c>
      <c r="C226" s="78" t="str">
        <f>Companies!C262</f>
        <v>Private</v>
      </c>
      <c r="D226" s="78">
        <f>Companies!D262</f>
        <v>50</v>
      </c>
      <c r="E226" s="78" t="str">
        <f>Companies!E262</f>
        <v>Seed</v>
      </c>
      <c r="F226" s="78">
        <f>Companies!F262</f>
        <v>1.5</v>
      </c>
      <c r="G226" s="78" t="str">
        <f>Companies!H262</f>
        <v>Conversational Bots</v>
      </c>
      <c r="H226" s="78" t="str">
        <f>Companies!I262</f>
        <v>Akshat Tyagi</v>
      </c>
      <c r="I226" s="78" t="str">
        <f>Companies!J262</f>
        <v>Consumer</v>
      </c>
      <c r="J226" s="78" t="str">
        <f>Companies!K262</f>
        <v>Bots</v>
      </c>
      <c r="K226" s="78">
        <f>Companies!L262</f>
        <v>2023</v>
      </c>
      <c r="L226" s="78">
        <f>Companies!M262</f>
        <v>0</v>
      </c>
      <c r="M226" s="78" t="str">
        <f>Companies!N262</f>
        <v>Together Fund, Nexus Venture Partners, The New Normal Fund</v>
      </c>
      <c r="N226" s="78" t="str">
        <f>Companies!O262</f>
        <v>N/A</v>
      </c>
      <c r="O226" s="78" t="str">
        <f>Companies!P262</f>
        <v>N/A</v>
      </c>
      <c r="P226" s="78" t="str">
        <f>Companies!Q262</f>
        <v>N/A</v>
      </c>
    </row>
    <row r="227" spans="2:16">
      <c r="B227" s="78" t="str">
        <f>Companies!B263</f>
        <v>Booth AI</v>
      </c>
      <c r="C227" s="78" t="str">
        <f>Companies!C263</f>
        <v>Private</v>
      </c>
      <c r="D227" s="78">
        <f>Companies!D263</f>
        <v>50</v>
      </c>
      <c r="E227" s="78" t="str">
        <f>Companies!E263</f>
        <v>Seed</v>
      </c>
      <c r="F227" s="78">
        <f>Companies!F263</f>
        <v>0.5</v>
      </c>
      <c r="G227" s="78" t="str">
        <f>Companies!H263</f>
        <v>Photography</v>
      </c>
      <c r="H227" s="78">
        <f>Companies!I263</f>
        <v>0</v>
      </c>
      <c r="I227" s="78" t="str">
        <f>Companies!J263</f>
        <v>Enterprise</v>
      </c>
      <c r="J227" s="78" t="str">
        <f>Companies!K263</f>
        <v>Photo</v>
      </c>
      <c r="K227" s="78">
        <f>Companies!L263</f>
        <v>2022</v>
      </c>
      <c r="L227" s="78" t="str">
        <f>Companies!M263</f>
        <v>YC W23</v>
      </c>
      <c r="M227" s="78" t="str">
        <f>Companies!N263</f>
        <v>Y Combinator</v>
      </c>
      <c r="N227" s="78" t="str">
        <f>Companies!O263</f>
        <v>Seed</v>
      </c>
      <c r="O227" s="78">
        <f>Companies!P263</f>
        <v>0.56999999999999995</v>
      </c>
      <c r="P227" s="78" t="str">
        <f>Companies!Q263</f>
        <v>Caffeinated Capital</v>
      </c>
    </row>
    <row r="228" spans="2:16">
      <c r="B228" s="78" t="str">
        <f>Companies!B264</f>
        <v>Play.HT</v>
      </c>
      <c r="C228" s="78" t="str">
        <f>Companies!C264</f>
        <v>Private</v>
      </c>
      <c r="D228" s="78">
        <f>Companies!D264</f>
        <v>50</v>
      </c>
      <c r="E228" s="78" t="str">
        <f>Companies!E264</f>
        <v>Pre-Seed</v>
      </c>
      <c r="F228" s="78">
        <f>Companies!F264</f>
        <v>0.5</v>
      </c>
      <c r="G228" s="78" t="str">
        <f>Companies!H264</f>
        <v>Great TTS product</v>
      </c>
      <c r="H228" s="78" t="str">
        <f>Companies!I264</f>
        <v>Hammad Syed, Mahmoud Felfel</v>
      </c>
      <c r="I228" s="78" t="str">
        <f>Companies!J264</f>
        <v>Enterprise</v>
      </c>
      <c r="J228" s="78" t="str">
        <f>Companies!K264</f>
        <v>Voice</v>
      </c>
      <c r="K228" s="78">
        <f>Companies!L264</f>
        <v>42609</v>
      </c>
      <c r="L228" s="78" t="str">
        <f>Companies!M264</f>
        <v>YC W23, AI Grant batch 1</v>
      </c>
      <c r="M228" s="78" t="str">
        <f>Companies!N264</f>
        <v>Y Combinator, 500 Global</v>
      </c>
      <c r="N228" s="78" t="str">
        <f>Companies!O264</f>
        <v>N/A</v>
      </c>
      <c r="O228" s="78" t="str">
        <f>Companies!P264</f>
        <v>N/A</v>
      </c>
      <c r="P228" s="78" t="str">
        <f>Companies!Q264</f>
        <v>N/A</v>
      </c>
    </row>
    <row r="229" spans="2:16">
      <c r="B229" s="78" t="str">
        <f>Companies!B265</f>
        <v>Arithmer</v>
      </c>
      <c r="C229" s="78" t="str">
        <f>Companies!C265</f>
        <v>Private</v>
      </c>
      <c r="D229" s="78">
        <f>Companies!D265</f>
        <v>40</v>
      </c>
      <c r="E229" s="78" t="str">
        <f>Companies!E265</f>
        <v>Series B</v>
      </c>
      <c r="F229" s="78">
        <f>Companies!F265</f>
        <v>5</v>
      </c>
      <c r="G229" s="78" t="str">
        <f>Companies!H265</f>
        <v>Japanese and weird.</v>
      </c>
      <c r="H229" s="78" t="str">
        <f>Companies!I265</f>
        <v>Yoshihiro Daejeon</v>
      </c>
      <c r="I229" s="78" t="str">
        <f>Companies!J265</f>
        <v>Enterprise</v>
      </c>
      <c r="J229" s="78" t="str">
        <f>Companies!K265</f>
        <v>Hardware</v>
      </c>
      <c r="K229" s="78">
        <f>Companies!L265</f>
        <v>2016</v>
      </c>
      <c r="L229" s="78" t="str">
        <f>Companies!M265</f>
        <v>Mostly Japanese clients, not clear what they do exactly</v>
      </c>
      <c r="M229" s="78" t="str">
        <f>Companies!N265</f>
        <v>Tokushima Taisho Bank, Pegasus Tech Ventures</v>
      </c>
      <c r="N229" s="78" t="str">
        <f>Companies!O265</f>
        <v>Series B</v>
      </c>
      <c r="O229" s="78">
        <f>Companies!P265</f>
        <v>14</v>
      </c>
      <c r="P229" s="78" t="str">
        <f>Companies!Q265</f>
        <v>Toyota Tsusho, Sumitomo Mitsui Trust Bank, Mitsui Sumitomo Insurance VC, Japan Investment Adviser, JAFCO</v>
      </c>
    </row>
    <row r="230" spans="2:16">
      <c r="B230" s="78" t="str">
        <f>Companies!B266</f>
        <v>Koxy AI</v>
      </c>
      <c r="C230" s="78" t="str">
        <f>Companies!C266</f>
        <v>Private</v>
      </c>
      <c r="D230" s="78">
        <f>Companies!D266</f>
        <v>40</v>
      </c>
      <c r="E230" s="78" t="str">
        <f>Companies!E266</f>
        <v>Seed</v>
      </c>
      <c r="F230" s="78">
        <f>Companies!F266</f>
        <v>10</v>
      </c>
      <c r="G230" s="78" t="str">
        <f>Companies!H266</f>
        <v>Smart APIs?</v>
      </c>
      <c r="H230" s="78">
        <f>Companies!I266</f>
        <v>0</v>
      </c>
      <c r="I230" s="78" t="str">
        <f>Companies!J266</f>
        <v>Stealth</v>
      </c>
      <c r="J230" s="78" t="str">
        <f>Companies!K266</f>
        <v>Stealth</v>
      </c>
      <c r="K230" s="78">
        <f>Companies!L266</f>
        <v>2023</v>
      </c>
      <c r="L230" s="78">
        <f>Companies!M266</f>
        <v>0</v>
      </c>
      <c r="M230" s="78" t="str">
        <f>Companies!N266</f>
        <v>N/A</v>
      </c>
      <c r="N230" s="78" t="str">
        <f>Companies!O266</f>
        <v>N/A</v>
      </c>
      <c r="O230" s="78" t="str">
        <f>Companies!P266</f>
        <v>N/A</v>
      </c>
      <c r="P230" s="78" t="str">
        <f>Companies!Q266</f>
        <v>N/A</v>
      </c>
    </row>
    <row r="231" spans="2:16">
      <c r="B231" s="78" t="str">
        <f>Companies!B267</f>
        <v>Supernormal</v>
      </c>
      <c r="C231" s="78" t="str">
        <f>Companies!C267</f>
        <v>Private</v>
      </c>
      <c r="D231" s="78">
        <f>Companies!D267</f>
        <v>40</v>
      </c>
      <c r="E231" s="78" t="str">
        <f>Companies!E267</f>
        <v>Series A</v>
      </c>
      <c r="F231" s="78">
        <f>Companies!F267</f>
        <v>10</v>
      </c>
      <c r="G231" s="78" t="str">
        <f>Companies!H267</f>
        <v>Transcribes meeting notes</v>
      </c>
      <c r="H231" s="78" t="str">
        <f>Companies!I267</f>
        <v>Colin Treseler</v>
      </c>
      <c r="I231" s="78" t="str">
        <f>Companies!J267</f>
        <v>Enterprise</v>
      </c>
      <c r="J231" s="78" t="str">
        <f>Companies!K267</f>
        <v>Meetings</v>
      </c>
      <c r="K231" s="78">
        <f>Companies!L267</f>
        <v>2020</v>
      </c>
      <c r="L231" s="78">
        <f>Companies!M267</f>
        <v>0</v>
      </c>
      <c r="M231" s="78" t="str">
        <f>Companies!N267</f>
        <v>Balderton Capital, Acequia Capital, byFounders, EQT Ventures</v>
      </c>
      <c r="N231" s="78" t="str">
        <f>Companies!O267</f>
        <v>Seed</v>
      </c>
      <c r="O231" s="78">
        <f>Companies!P267</f>
        <v>2</v>
      </c>
      <c r="P231" s="78" t="str">
        <f>Companies!Q267</f>
        <v>N/A</v>
      </c>
    </row>
    <row r="232" spans="2:16">
      <c r="B232" s="78" t="str">
        <f>Companies!B268</f>
        <v>MURF.AI</v>
      </c>
      <c r="C232" s="78" t="str">
        <f>Companies!C268</f>
        <v>Private</v>
      </c>
      <c r="D232" s="78">
        <f>Companies!D268</f>
        <v>40</v>
      </c>
      <c r="E232" s="78" t="str">
        <f>Companies!E268</f>
        <v>Series A</v>
      </c>
      <c r="F232" s="78">
        <f>Companies!F268</f>
        <v>10</v>
      </c>
      <c r="G232" s="78" t="str">
        <f>Companies!H268</f>
        <v>Voice generation</v>
      </c>
      <c r="H232" s="78">
        <f>Companies!I268</f>
        <v>0</v>
      </c>
      <c r="I232" s="78" t="str">
        <f>Companies!J268</f>
        <v>Enterprise</v>
      </c>
      <c r="J232" s="78" t="str">
        <f>Companies!K268</f>
        <v>Voice</v>
      </c>
      <c r="K232" s="78">
        <f>Companies!L268</f>
        <v>2020</v>
      </c>
      <c r="L232" s="78">
        <f>Companies!M268</f>
        <v>0</v>
      </c>
      <c r="M232" s="78" t="str">
        <f>Companies!N268</f>
        <v>Matrix Partners India, Elevation Capital, Yamini Bhat, Pushkar Mukewar, Ajay Arora, Ankit Bhati, Ashwini Asokan</v>
      </c>
      <c r="N232" s="78" t="str">
        <f>Companies!O268</f>
        <v>Seed</v>
      </c>
      <c r="O232" s="78">
        <f>Companies!P268</f>
        <v>1.5</v>
      </c>
      <c r="P232" s="78" t="str">
        <f>Companies!Q268</f>
        <v>Elevation Capital, Vidit Aatrey, Sanjeev Barnwal, Kashyap Deorah, Ashish Goel</v>
      </c>
    </row>
    <row r="233" spans="2:16">
      <c r="B233" s="78" t="str">
        <f>Companies!B269</f>
        <v>Got It AI</v>
      </c>
      <c r="C233" s="78" t="str">
        <f>Companies!C269</f>
        <v>Private</v>
      </c>
      <c r="D233" s="78">
        <f>Companies!D269</f>
        <v>40</v>
      </c>
      <c r="E233" s="78" t="str">
        <f>Companies!E269</f>
        <v>Series A</v>
      </c>
      <c r="F233" s="78">
        <f>Companies!F269</f>
        <v>10</v>
      </c>
      <c r="G233" s="78" t="str">
        <f>Companies!H269</f>
        <v>Enterprise LLM with 'guardrails'</v>
      </c>
      <c r="H233" s="78" t="str">
        <f>Companies!I269</f>
        <v>Amol Kelkar, Chandra Khatri, David Chu, Hung Tran, James Cremer, Peter Relan</v>
      </c>
      <c r="I233" s="78" t="str">
        <f>Companies!J269</f>
        <v>Enterprise</v>
      </c>
      <c r="J233" s="78" t="str">
        <f>Companies!K269</f>
        <v>Customer Service</v>
      </c>
      <c r="K233" s="78">
        <f>Companies!L269</f>
        <v>2019</v>
      </c>
      <c r="L233" s="78">
        <f>Companies!M269</f>
        <v>0</v>
      </c>
      <c r="M233" s="78" t="str">
        <f>Companies!N269</f>
        <v>Relan Global</v>
      </c>
      <c r="N233" s="78" t="str">
        <f>Companies!O269</f>
        <v>Series A</v>
      </c>
      <c r="O233" s="78">
        <f>Companies!P269</f>
        <v>9</v>
      </c>
      <c r="P233" s="78" t="str">
        <f>Companies!Q269</f>
        <v>Capricorn, Cito, TSVC</v>
      </c>
    </row>
    <row r="234" spans="2:16">
      <c r="B234" s="78" t="str">
        <f>Companies!B270</f>
        <v>Voice AI</v>
      </c>
      <c r="C234" s="78" t="str">
        <f>Companies!C270</f>
        <v>Private</v>
      </c>
      <c r="D234" s="78">
        <f>Companies!D270</f>
        <v>30</v>
      </c>
      <c r="E234" s="78" t="str">
        <f>Companies!E270</f>
        <v>Seed</v>
      </c>
      <c r="F234" s="78">
        <f>Companies!F270</f>
        <v>6</v>
      </c>
      <c r="G234" s="78" t="str">
        <f>Companies!H270</f>
        <v>Consumer Voice UGC</v>
      </c>
      <c r="H234" s="78" t="str">
        <f>Companies!I270</f>
        <v>Heath Ahrens</v>
      </c>
      <c r="I234" s="78" t="str">
        <f>Companies!J270</f>
        <v>Consumer</v>
      </c>
      <c r="J234" s="78" t="str">
        <f>Companies!K270</f>
        <v>Voice</v>
      </c>
      <c r="K234" s="78">
        <f>Companies!L270</f>
        <v>2021</v>
      </c>
      <c r="L234" s="78">
        <f>Companies!M270</f>
        <v>0</v>
      </c>
      <c r="M234" s="78" t="str">
        <f>Companies!N270</f>
        <v>N/A</v>
      </c>
      <c r="N234" s="78" t="str">
        <f>Companies!O270</f>
        <v>N/A</v>
      </c>
      <c r="O234" s="78" t="str">
        <f>Companies!P270</f>
        <v>N/A</v>
      </c>
      <c r="P234" s="78" t="str">
        <f>Companies!Q270</f>
        <v>N/A</v>
      </c>
    </row>
    <row r="235" spans="2:16">
      <c r="B235" s="78" t="str">
        <f>Companies!B271</f>
        <v>Glass Health</v>
      </c>
      <c r="C235" s="78" t="str">
        <f>Companies!C271</f>
        <v>Private</v>
      </c>
      <c r="D235" s="78">
        <f>Companies!D271</f>
        <v>30</v>
      </c>
      <c r="E235" s="78" t="str">
        <f>Companies!E271</f>
        <v>Pre-Seed</v>
      </c>
      <c r="F235" s="78">
        <f>Companies!F271</f>
        <v>0.5</v>
      </c>
      <c r="G235" s="78" t="str">
        <f>Companies!H271</f>
        <v>Doctor assistance</v>
      </c>
      <c r="H235" s="78" t="str">
        <f>Companies!I271</f>
        <v>Dereck Paul, Graham Ramsey</v>
      </c>
      <c r="I235" s="78" t="str">
        <f>Companies!J271</f>
        <v>Enterprise</v>
      </c>
      <c r="J235" s="78" t="str">
        <f>Companies!K271</f>
        <v>Healthcare</v>
      </c>
      <c r="K235" s="78">
        <f>Companies!L271</f>
        <v>2021</v>
      </c>
      <c r="L235" s="78" t="str">
        <f>Companies!M271</f>
        <v>YC W23</v>
      </c>
      <c r="M235" s="78" t="str">
        <f>Companies!N271</f>
        <v>Y Combinator</v>
      </c>
      <c r="N235" s="78" t="str">
        <f>Companies!O271</f>
        <v>N/A</v>
      </c>
      <c r="O235" s="78" t="str">
        <f>Companies!P271</f>
        <v>N/A</v>
      </c>
      <c r="P235" s="78" t="str">
        <f>Companies!Q271</f>
        <v>N/A</v>
      </c>
    </row>
    <row r="236" spans="2:16">
      <c r="B236" s="78" t="str">
        <f>Companies!B272</f>
        <v>SapientAI</v>
      </c>
      <c r="C236" s="78" t="str">
        <f>Companies!C272</f>
        <v>Private</v>
      </c>
      <c r="D236" s="78">
        <f>Companies!D272</f>
        <v>30</v>
      </c>
      <c r="E236" s="78" t="str">
        <f>Companies!E272</f>
        <v>Seed</v>
      </c>
      <c r="F236" s="78">
        <f>Companies!F272</f>
        <v>5</v>
      </c>
      <c r="G236" s="78" t="str">
        <f>Companies!H272</f>
        <v>Testing code generation</v>
      </c>
      <c r="H236" s="78">
        <f>Companies!I272</f>
        <v>0</v>
      </c>
      <c r="I236" s="78" t="str">
        <f>Companies!J272</f>
        <v>Enterprise</v>
      </c>
      <c r="J236" s="78" t="str">
        <f>Companies!K272</f>
        <v>Programming</v>
      </c>
      <c r="K236" s="78">
        <f>Companies!L272</f>
        <v>2023</v>
      </c>
      <c r="L236" s="78">
        <f>Companies!M272</f>
        <v>0</v>
      </c>
      <c r="M236" s="78" t="str">
        <f>Companies!N272</f>
        <v>8VC, GTMfund, Correlation Ventures</v>
      </c>
      <c r="N236" s="78" t="str">
        <f>Companies!O272</f>
        <v>N/A</v>
      </c>
      <c r="O236" s="78" t="str">
        <f>Companies!P272</f>
        <v>N/A</v>
      </c>
      <c r="P236" s="78" t="str">
        <f>Companies!Q272</f>
        <v>N/A</v>
      </c>
    </row>
    <row r="237" spans="2:16">
      <c r="B237" s="78" t="str">
        <f>Companies!B273</f>
        <v>Autonomize AI</v>
      </c>
      <c r="C237" s="78" t="str">
        <f>Companies!C273</f>
        <v>Private</v>
      </c>
      <c r="D237" s="78">
        <f>Companies!D273</f>
        <v>30</v>
      </c>
      <c r="E237" s="78" t="str">
        <f>Companies!E273</f>
        <v>Seed</v>
      </c>
      <c r="F237" s="78">
        <f>Companies!F273</f>
        <v>4</v>
      </c>
      <c r="G237" s="78" t="str">
        <f>Companies!H273</f>
        <v>Healthcare</v>
      </c>
      <c r="H237" s="78" t="str">
        <f>Companies!I273</f>
        <v>Ganesh Padmanabhan</v>
      </c>
      <c r="I237" s="78" t="str">
        <f>Companies!J273</f>
        <v>Enterprise</v>
      </c>
      <c r="J237" s="78" t="str">
        <f>Companies!K273</f>
        <v>Healthcare</v>
      </c>
      <c r="K237" s="78">
        <f>Companies!L273</f>
        <v>2021</v>
      </c>
      <c r="L237" s="78">
        <f>Companies!M273</f>
        <v>0</v>
      </c>
      <c r="M237" s="78" t="str">
        <f>Companies!N273</f>
        <v>Asset Management Ventures (AMV), ATX Venture Partners, Loop Ventures, Next Practices Group</v>
      </c>
      <c r="N237" s="78" t="str">
        <f>Companies!O273</f>
        <v>N/A</v>
      </c>
      <c r="O237" s="78" t="str">
        <f>Companies!P273</f>
        <v>N/A</v>
      </c>
      <c r="P237" s="78" t="str">
        <f>Companies!Q273</f>
        <v>N/A</v>
      </c>
    </row>
    <row r="238" spans="2:16">
      <c r="B238" s="78" t="str">
        <f>Companies!B274</f>
        <v>Twosense.ai</v>
      </c>
      <c r="C238" s="78" t="str">
        <f>Companies!C274</f>
        <v>Private</v>
      </c>
      <c r="D238" s="78">
        <f>Companies!D274</f>
        <v>30</v>
      </c>
      <c r="E238" s="78" t="str">
        <f>Companies!E274</f>
        <v>Seed</v>
      </c>
      <c r="F238" s="78">
        <f>Companies!F274</f>
        <v>3</v>
      </c>
      <c r="G238" s="78" t="str">
        <f>Companies!H274</f>
        <v>Behavioral MFA</v>
      </c>
      <c r="H238" s="78" t="str">
        <f>Companies!I274</f>
        <v>Dawud Gordon, John Tanios, Ulf Blanke</v>
      </c>
      <c r="I238" s="78" t="str">
        <f>Companies!J274</f>
        <v>Enterprise</v>
      </c>
      <c r="J238" s="78" t="str">
        <f>Companies!K274</f>
        <v>Auth</v>
      </c>
      <c r="K238" s="78">
        <f>Companies!L274</f>
        <v>2021</v>
      </c>
      <c r="L238" s="78">
        <f>Companies!M274</f>
        <v>0</v>
      </c>
      <c r="M238" s="78" t="str">
        <f>Companies!N274</f>
        <v>Preface Ventures, Atypical Ventures, LogicBoost Labs, Brand New Matter, Glasswing Ventures,  Entrepreneurs Roundtable Accelerator, Marc Weiss, Josh Lospinoso</v>
      </c>
      <c r="N238" s="78" t="str">
        <f>Companies!O274</f>
        <v>Pre-Seed</v>
      </c>
      <c r="O238" s="78">
        <f>Companies!P274</f>
        <v>1.2</v>
      </c>
      <c r="P238" s="78" t="str">
        <f>Companies!Q274</f>
        <v>Entrepreneurs Roundtable Accelerator</v>
      </c>
    </row>
    <row r="239" spans="2:16">
      <c r="B239" s="78" t="str">
        <f>Companies!B275</f>
        <v>Fabi.ai</v>
      </c>
      <c r="C239" s="78" t="str">
        <f>Companies!C275</f>
        <v>Private</v>
      </c>
      <c r="D239" s="78">
        <f>Companies!D275</f>
        <v>30</v>
      </c>
      <c r="E239" s="78" t="str">
        <f>Companies!E275</f>
        <v>Pre-Seed</v>
      </c>
      <c r="F239" s="78">
        <f>Companies!F275</f>
        <v>3</v>
      </c>
      <c r="G239" s="78" t="str">
        <f>Companies!H275</f>
        <v>English-to-SQL</v>
      </c>
      <c r="H239" s="78" t="str">
        <f>Companies!I275</f>
        <v>Lei Tang, Marc Dupuis</v>
      </c>
      <c r="I239" s="78" t="str">
        <f>Companies!J275</f>
        <v>Enterprise</v>
      </c>
      <c r="J239" s="78" t="str">
        <f>Companies!K275</f>
        <v>SQL</v>
      </c>
      <c r="K239" s="78">
        <f>Companies!L275</f>
        <v>44986</v>
      </c>
      <c r="L239" s="78">
        <f>Companies!M275</f>
        <v>0</v>
      </c>
      <c r="M239" s="78" t="str">
        <f>Companies!N275</f>
        <v>N/A</v>
      </c>
      <c r="N239" s="78" t="str">
        <f>Companies!O275</f>
        <v>N/A</v>
      </c>
      <c r="O239" s="78" t="str">
        <f>Companies!P275</f>
        <v>N/A</v>
      </c>
      <c r="P239" s="78" t="str">
        <f>Companies!Q275</f>
        <v>N/A</v>
      </c>
    </row>
    <row r="240" spans="2:16">
      <c r="B240" s="78" t="str">
        <f>Companies!B276</f>
        <v>OthersideAI</v>
      </c>
      <c r="C240" s="78" t="str">
        <f>Companies!C276</f>
        <v>Private</v>
      </c>
      <c r="D240" s="78">
        <f>Companies!D276</f>
        <v>25</v>
      </c>
      <c r="E240" s="78" t="str">
        <f>Companies!E276</f>
        <v>Seed</v>
      </c>
      <c r="F240" s="78">
        <f>Companies!F276</f>
        <v>2.6</v>
      </c>
      <c r="G240" s="78" t="str">
        <f>Companies!H276</f>
        <v>HyperWrite</v>
      </c>
      <c r="H240" s="78" t="str">
        <f>Companies!I276</f>
        <v>Jason Kuperberg, Matt Shumer, Miles Feldstein</v>
      </c>
      <c r="I240" s="78" t="str">
        <f>Companies!J276</f>
        <v>Consumer</v>
      </c>
      <c r="J240" s="78" t="str">
        <f>Companies!K276</f>
        <v>Email</v>
      </c>
      <c r="K240" s="78">
        <f>Companies!L276</f>
        <v>44013</v>
      </c>
      <c r="L240" s="78">
        <f>Companies!M276</f>
        <v>0</v>
      </c>
      <c r="M240" s="78" t="str">
        <f>Companies!N276</f>
        <v>Active Capital, Cortical Ventures, Siqi Chen, Nick Frosst, Madrona, Ivan Zhang, Furqan Rydhan, Aidan Gomez</v>
      </c>
      <c r="N240" s="78" t="str">
        <f>Companies!O276</f>
        <v>Seed</v>
      </c>
      <c r="O240" s="78" t="str">
        <f>Companies!P276</f>
        <v>Madrona, New York Venture Partners, Hustle Fund, Chapter One Ventures, Active Capital, Matt Gibstein</v>
      </c>
      <c r="P240" s="78">
        <f>Companies!Q276</f>
        <v>0</v>
      </c>
    </row>
    <row r="241" spans="2:16">
      <c r="B241" s="78" t="str">
        <f>Companies!B277</f>
        <v>norby.io</v>
      </c>
      <c r="C241" s="78" t="str">
        <f>Companies!C277</f>
        <v>Private</v>
      </c>
      <c r="D241" s="78">
        <f>Companies!D277</f>
        <v>25</v>
      </c>
      <c r="E241" s="78" t="str">
        <f>Companies!E277</f>
        <v>N/A</v>
      </c>
      <c r="F241" s="78" t="str">
        <f>Companies!F277</f>
        <v>N/A</v>
      </c>
      <c r="G241" s="78" t="str">
        <f>Companies!H277</f>
        <v>Chatbot customer service</v>
      </c>
      <c r="H241" s="78">
        <f>Companies!I277</f>
        <v>0</v>
      </c>
      <c r="I241" s="78" t="str">
        <f>Companies!J277</f>
        <v>Enterprise</v>
      </c>
      <c r="J241" s="78" t="str">
        <f>Companies!K277</f>
        <v>Customer Service</v>
      </c>
      <c r="K241" s="78">
        <f>Companies!L277</f>
        <v>2020</v>
      </c>
      <c r="L241" s="78">
        <f>Companies!M277</f>
        <v>0</v>
      </c>
      <c r="M241" s="78" t="str">
        <f>Companies!N277</f>
        <v>N/A</v>
      </c>
      <c r="N241" s="78" t="str">
        <f>Companies!O277</f>
        <v>N/A</v>
      </c>
      <c r="O241" s="78" t="str">
        <f>Companies!P277</f>
        <v>N/A</v>
      </c>
      <c r="P241" s="78" t="str">
        <f>Companies!Q277</f>
        <v>N/A</v>
      </c>
    </row>
    <row r="242" spans="2:16">
      <c r="B242" s="78" t="str">
        <f>Companies!B278</f>
        <v>Retrocausal</v>
      </c>
      <c r="C242" s="78" t="str">
        <f>Companies!C278</f>
        <v>Private</v>
      </c>
      <c r="D242" s="78">
        <f>Companies!D278</f>
        <v>20</v>
      </c>
      <c r="E242" s="78" t="str">
        <f>Companies!E278</f>
        <v>Seed</v>
      </c>
      <c r="F242" s="78">
        <f>Companies!F278</f>
        <v>3.5</v>
      </c>
      <c r="G242" s="78" t="str">
        <f>Companies!H278</f>
        <v>No-code QA/QC for manufacturers</v>
      </c>
      <c r="H242" s="78" t="str">
        <f>Companies!I278</f>
        <v>Andrey Konin, Quoc-Huy Tran, Zeeshan Zia</v>
      </c>
      <c r="I242" s="78" t="str">
        <f>Companies!J278</f>
        <v>Enterprise</v>
      </c>
      <c r="J242" s="78" t="str">
        <f>Companies!K278</f>
        <v>Manufacturing</v>
      </c>
      <c r="K242" s="78">
        <f>Companies!L278</f>
        <v>2019</v>
      </c>
      <c r="L242" s="78">
        <f>Companies!M278</f>
        <v>0</v>
      </c>
      <c r="M242" s="78" t="str">
        <f>Companies!N278</f>
        <v>Glasswing Ventures, Differential Ventures, Hypertherm Ventures, Argon Ventures</v>
      </c>
      <c r="N242" s="78" t="str">
        <f>Companies!O278</f>
        <v>Pre-Seed</v>
      </c>
      <c r="O242" s="78">
        <f>Companies!P278</f>
        <v>0.75</v>
      </c>
      <c r="P242" s="78" t="str">
        <f>Companies!Q278</f>
        <v>500 Global, 500 Startups Vietnam, Atland Ventures, Incubate Fund, Joel Schleicher</v>
      </c>
    </row>
    <row r="243" spans="2:16">
      <c r="B243" s="78" t="str">
        <f>Companies!B279</f>
        <v>Resemble.ai</v>
      </c>
      <c r="C243" s="78" t="str">
        <f>Companies!C279</f>
        <v>Private</v>
      </c>
      <c r="D243" s="78">
        <f>Companies!D279</f>
        <v>20</v>
      </c>
      <c r="E243" s="78" t="str">
        <f>Companies!E279</f>
        <v>Seed</v>
      </c>
      <c r="F243" s="78">
        <f>Companies!F279</f>
        <v>4</v>
      </c>
      <c r="G243" s="78">
        <f>Companies!H279</f>
        <v>0</v>
      </c>
      <c r="H243" s="78" t="str">
        <f>Companies!I279</f>
        <v>Saqib Muhammad, Zohaib Ahmed</v>
      </c>
      <c r="I243" s="78" t="str">
        <f>Companies!J279</f>
        <v>Enterprise</v>
      </c>
      <c r="J243" s="78" t="str">
        <f>Companies!K279</f>
        <v>Voice</v>
      </c>
      <c r="K243" s="78">
        <f>Companies!L279</f>
        <v>2018</v>
      </c>
      <c r="L243" s="78">
        <f>Companies!M279</f>
        <v>0</v>
      </c>
      <c r="M243" s="78" t="str">
        <f>Companies!N279</f>
        <v>Spacecadet Ventures</v>
      </c>
      <c r="N243" s="78" t="str">
        <f>Companies!O279</f>
        <v>Seed</v>
      </c>
      <c r="O243" s="78">
        <f>Companies!P279</f>
        <v>2</v>
      </c>
      <c r="P243" s="78" t="str">
        <f>Companies!Q279</f>
        <v>Firstminute Capital, Craft Ventures, Betaworks, AET Fund</v>
      </c>
    </row>
    <row r="244" spans="2:16">
      <c r="B244" s="78" t="str">
        <f>Companies!B280</f>
        <v>Consensus</v>
      </c>
      <c r="C244" s="78" t="str">
        <f>Companies!C280</f>
        <v>Private</v>
      </c>
      <c r="D244" s="78">
        <f>Companies!D280</f>
        <v>20</v>
      </c>
      <c r="E244" s="78" t="str">
        <f>Companies!E280</f>
        <v>Seed</v>
      </c>
      <c r="F244" s="78">
        <f>Companies!F280</f>
        <v>3</v>
      </c>
      <c r="G244" s="78" t="str">
        <f>Companies!H280</f>
        <v>Scientific Research</v>
      </c>
      <c r="H244" s="78" t="str">
        <f>Companies!I280</f>
        <v>Christian Salem</v>
      </c>
      <c r="I244" s="78" t="str">
        <f>Companies!J280</f>
        <v>Enterprise</v>
      </c>
      <c r="J244" s="78" t="str">
        <f>Companies!K280</f>
        <v>Research</v>
      </c>
      <c r="K244" s="78">
        <f>Companies!L280</f>
        <v>2021</v>
      </c>
      <c r="L244" s="78">
        <f>Companies!M280</f>
        <v>0</v>
      </c>
      <c r="M244" s="78" t="str">
        <f>Companies!N280</f>
        <v>Draper Associates, Winklevoss Capital, Alumni Ventures, Nomad Capital, Rob May, Kevin Carter, Brian Pokorny, Billy Draper</v>
      </c>
      <c r="N244" s="78" t="str">
        <f>Companies!O280</f>
        <v>Pre-Seed</v>
      </c>
      <c r="O244" s="78">
        <f>Companies!P280</f>
        <v>1.2</v>
      </c>
      <c r="P244" s="78" t="str">
        <f>Companies!Q280</f>
        <v>Winklevoss Capital, Permit Ventures, Laurence Innovation, Chey Capital, Bettor Capital, Sam Parr, Peter Jennings, Mike R. Walsh, Joe Speiser</v>
      </c>
    </row>
    <row r="245" spans="2:16">
      <c r="B245" s="78" t="str">
        <f>Companies!B281</f>
        <v>Pictory</v>
      </c>
      <c r="C245" s="78" t="str">
        <f>Companies!C281</f>
        <v>Private</v>
      </c>
      <c r="D245" s="78">
        <f>Companies!D281</f>
        <v>20</v>
      </c>
      <c r="E245" s="78" t="str">
        <f>Companies!E281</f>
        <v>Seed</v>
      </c>
      <c r="F245" s="78">
        <f>Companies!F281</f>
        <v>2.6</v>
      </c>
      <c r="G245" s="78">
        <f>Companies!H281</f>
        <v>0</v>
      </c>
      <c r="H245" s="78" t="str">
        <f>Companies!I281</f>
        <v>Abid Ali Mohammed, Vikram Chalana, Vishal Chalana</v>
      </c>
      <c r="I245" s="78" t="str">
        <f>Companies!J281</f>
        <v>Enterprise</v>
      </c>
      <c r="J245" s="78" t="str">
        <f>Companies!K281</f>
        <v>Video</v>
      </c>
      <c r="K245" s="78">
        <f>Companies!L281</f>
        <v>2019</v>
      </c>
      <c r="L245" s="78">
        <f>Companies!M281</f>
        <v>0</v>
      </c>
      <c r="M245" s="78" t="str">
        <f>Companies!N281</f>
        <v>Fuse, Voyager Capital, Omri Bahat, Bill Bryant, Bharat Shyam</v>
      </c>
      <c r="N245" s="78" t="str">
        <f>Companies!O281</f>
        <v>N/A</v>
      </c>
      <c r="O245" s="78" t="str">
        <f>Companies!P281</f>
        <v>N/A</v>
      </c>
      <c r="P245" s="78" t="str">
        <f>Companies!Q281</f>
        <v>N/A</v>
      </c>
    </row>
    <row r="246" spans="2:16">
      <c r="B246" s="78" t="str">
        <f>Companies!B282</f>
        <v>Datrics</v>
      </c>
      <c r="C246" s="78" t="str">
        <f>Companies!C282</f>
        <v>Private</v>
      </c>
      <c r="D246" s="78">
        <f>Companies!D282</f>
        <v>20</v>
      </c>
      <c r="E246" s="78" t="str">
        <f>Companies!E282</f>
        <v>Seed</v>
      </c>
      <c r="F246" s="78">
        <f>Companies!F282</f>
        <v>0.125</v>
      </c>
      <c r="G246" s="78" t="str">
        <f>Companies!H282</f>
        <v>No-code analytics</v>
      </c>
      <c r="H246" s="78" t="str">
        <f>Companies!I282</f>
        <v>Anton Vaisburd, Kirill Kirikov, Volodymyr Sofinskyi</v>
      </c>
      <c r="I246" s="78" t="str">
        <f>Companies!J282</f>
        <v>Enterprise</v>
      </c>
      <c r="J246" s="78" t="str">
        <f>Companies!K282</f>
        <v>Analytics</v>
      </c>
      <c r="K246" s="78">
        <f>Companies!L282</f>
        <v>2020</v>
      </c>
      <c r="L246" s="78">
        <f>Companies!M282</f>
        <v>0</v>
      </c>
      <c r="M246" s="78" t="str">
        <f>Companies!N282</f>
        <v>Y Combinator, AltaIR Capital, Oleg Rogynskyy</v>
      </c>
      <c r="N246" s="78" t="str">
        <f>Companies!O282</f>
        <v>Pre-Seed</v>
      </c>
      <c r="O246" s="78">
        <f>Companies!P282</f>
        <v>0.2</v>
      </c>
      <c r="P246" s="78" t="str">
        <f>Companies!Q282</f>
        <v>StartupYard, QPDigital, Illia Polosukhin</v>
      </c>
    </row>
    <row r="247" spans="2:16">
      <c r="B247" s="78" t="str">
        <f>Companies!B283</f>
        <v>Intrinsic</v>
      </c>
      <c r="C247" s="78" t="str">
        <f>Companies!C283</f>
        <v>Private</v>
      </c>
      <c r="D247" s="78">
        <f>Companies!D283</f>
        <v>20</v>
      </c>
      <c r="E247" s="78" t="str">
        <f>Companies!E283</f>
        <v>N/A</v>
      </c>
      <c r="F247" s="78" t="str">
        <f>Companies!F283</f>
        <v>N/A</v>
      </c>
      <c r="G247" s="78" t="str">
        <f>Companies!H283</f>
        <v>Robotics design, FlowState, Open Robotics</v>
      </c>
      <c r="H247" s="78" t="str">
        <f>Companies!I283</f>
        <v>Wendy Tan White</v>
      </c>
      <c r="I247" s="78" t="str">
        <f>Companies!J283</f>
        <v>Enterprise</v>
      </c>
      <c r="J247" s="78" t="str">
        <f>Companies!K283</f>
        <v>Robotics</v>
      </c>
      <c r="K247" s="78">
        <f>Companies!L283</f>
        <v>2021</v>
      </c>
      <c r="L247" s="78" t="str">
        <f>Companies!M283</f>
        <v>Alphabet owned?</v>
      </c>
      <c r="M247" s="78" t="str">
        <f>Companies!N283</f>
        <v>N/A</v>
      </c>
      <c r="N247" s="78" t="str">
        <f>Companies!O283</f>
        <v>N/A</v>
      </c>
      <c r="O247" s="78" t="str">
        <f>Companies!P283</f>
        <v>N/A</v>
      </c>
      <c r="P247" s="78" t="str">
        <f>Companies!Q283</f>
        <v>N/A</v>
      </c>
    </row>
    <row r="248" spans="2:16">
      <c r="B248" s="78" t="str">
        <f>Companies!B284</f>
        <v>Bravo</v>
      </c>
      <c r="C248" s="78" t="str">
        <f>Companies!C284</f>
        <v>Private</v>
      </c>
      <c r="D248" s="78">
        <f>Companies!D284</f>
        <v>20</v>
      </c>
      <c r="E248" s="78" t="str">
        <f>Companies!E284</f>
        <v>N/A</v>
      </c>
      <c r="F248" s="78" t="str">
        <f>Companies!F284</f>
        <v>N/A</v>
      </c>
      <c r="G248" s="78" t="str">
        <f>Companies!H284</f>
        <v>Employee Recognition</v>
      </c>
      <c r="H248" s="78">
        <f>Companies!I284</f>
        <v>0</v>
      </c>
      <c r="I248" s="78" t="str">
        <f>Companies!J284</f>
        <v>Enterprise</v>
      </c>
      <c r="J248" s="78" t="str">
        <f>Companies!K284</f>
        <v>HR</v>
      </c>
      <c r="K248" s="78" t="str">
        <f>Companies!L284</f>
        <v>N/A</v>
      </c>
      <c r="L248" s="78">
        <f>Companies!M284</f>
        <v>0</v>
      </c>
      <c r="M248" s="78" t="str">
        <f>Companies!N284</f>
        <v>N/A</v>
      </c>
      <c r="N248" s="78" t="str">
        <f>Companies!O284</f>
        <v>N/A</v>
      </c>
      <c r="O248" s="78" t="str">
        <f>Companies!P284</f>
        <v>N/A</v>
      </c>
      <c r="P248" s="78" t="str">
        <f>Companies!Q284</f>
        <v>N/A</v>
      </c>
    </row>
    <row r="249" spans="2:16">
      <c r="B249" s="78" t="str">
        <f>Companies!B285</f>
        <v>DL Software</v>
      </c>
      <c r="C249" s="78" t="str">
        <f>Companies!C285</f>
        <v>Private</v>
      </c>
      <c r="D249" s="78">
        <f>Companies!D285</f>
        <v>20</v>
      </c>
      <c r="E249" s="78" t="str">
        <f>Companies!E285</f>
        <v>Pre-Seed</v>
      </c>
      <c r="F249" s="78">
        <f>Companies!F285</f>
        <v>1</v>
      </c>
      <c r="G249" s="78" t="str">
        <f>Companies!H285</f>
        <v>NOYB</v>
      </c>
      <c r="H249" s="78" t="str">
        <f>Companies!I285</f>
        <v>Martin Shkreli</v>
      </c>
      <c r="I249" s="78" t="str">
        <f>Companies!J285</f>
        <v>N/A</v>
      </c>
      <c r="J249" s="78" t="str">
        <f>Companies!K285</f>
        <v>N/A</v>
      </c>
      <c r="K249" s="78">
        <f>Companies!L285</f>
        <v>2022</v>
      </c>
      <c r="L249" s="78">
        <f>Companies!M285</f>
        <v>0</v>
      </c>
      <c r="M249" s="78" t="str">
        <f>Companies!N285</f>
        <v>N/A</v>
      </c>
      <c r="N249" s="78" t="str">
        <f>Companies!O285</f>
        <v>N/A</v>
      </c>
      <c r="O249" s="78" t="str">
        <f>Companies!P285</f>
        <v>N/A</v>
      </c>
      <c r="P249" s="78" t="str">
        <f>Companies!Q285</f>
        <v>N/A</v>
      </c>
    </row>
    <row r="250" spans="2:16">
      <c r="B250" s="78" t="str">
        <f>Companies!B286</f>
        <v>Mason</v>
      </c>
      <c r="C250" s="78" t="str">
        <f>Companies!C286</f>
        <v>Private</v>
      </c>
      <c r="D250" s="78">
        <f>Companies!D286</f>
        <v>20</v>
      </c>
      <c r="E250" s="78" t="str">
        <f>Companies!E286</f>
        <v>Pre-Seed</v>
      </c>
      <c r="F250" s="78">
        <f>Companies!F286</f>
        <v>1.7</v>
      </c>
      <c r="G250" s="78" t="str">
        <f>Companies!H286</f>
        <v>SQL queries</v>
      </c>
      <c r="H250" s="78">
        <f>Companies!I286</f>
        <v>0</v>
      </c>
      <c r="I250" s="78" t="str">
        <f>Companies!J286</f>
        <v>Enterprise</v>
      </c>
      <c r="J250" s="78" t="str">
        <f>Companies!K286</f>
        <v>Tool</v>
      </c>
      <c r="K250" s="78">
        <f>Companies!L286</f>
        <v>2021</v>
      </c>
      <c r="L250" s="78">
        <f>Companies!M286</f>
        <v>0</v>
      </c>
      <c r="M250" s="78" t="str">
        <f>Companies!N286</f>
        <v>Creandum, Tobias Lutke, Sebastian Wallin, Renaud Visage, Fredrik Bjork, Christian Reber</v>
      </c>
      <c r="N250" s="78" t="str">
        <f>Companies!O286</f>
        <v>N/A</v>
      </c>
      <c r="O250" s="78" t="str">
        <f>Companies!P286</f>
        <v>N/A</v>
      </c>
      <c r="P250" s="78" t="str">
        <f>Companies!Q286</f>
        <v>N/A</v>
      </c>
    </row>
    <row r="251" spans="2:16">
      <c r="B251" s="78" t="str">
        <f>Companies!B288</f>
        <v>Lovo</v>
      </c>
      <c r="C251" s="78" t="str">
        <f>Companies!C288</f>
        <v>Private</v>
      </c>
      <c r="D251" s="78">
        <f>Companies!D288</f>
        <v>10</v>
      </c>
      <c r="E251" s="78" t="str">
        <f>Companies!E288</f>
        <v>Seed</v>
      </c>
      <c r="F251" s="78">
        <f>Companies!F288</f>
        <v>2</v>
      </c>
      <c r="G251" s="78" t="str">
        <f>Companies!H288</f>
        <v>TTS</v>
      </c>
      <c r="H251" s="78" t="str">
        <f>Companies!I288</f>
        <v>Tom Lee</v>
      </c>
      <c r="I251" s="78" t="str">
        <f>Companies!J288</f>
        <v>Enterprise</v>
      </c>
      <c r="J251" s="78" t="str">
        <f>Companies!K288</f>
        <v>Voice</v>
      </c>
      <c r="K251" s="78">
        <f>Companies!L288</f>
        <v>2019</v>
      </c>
      <c r="L251" s="78">
        <f>Companies!M288</f>
        <v>0</v>
      </c>
      <c r="M251" s="78" t="str">
        <f>Companies!N288</f>
        <v>Hashed, Goodwater Capital, PKO Investments, Yat Siu, Ray Chan, Patrick Lee, Kun Gao, Holly Liu, Daniel Wu</v>
      </c>
      <c r="N251" s="78" t="str">
        <f>Companies!O288</f>
        <v>Seed</v>
      </c>
      <c r="O251" s="78">
        <f>Companies!P288</f>
        <v>4.5</v>
      </c>
      <c r="P251" s="78" t="str">
        <f>Companies!Q288</f>
        <v>LG, Kakao, Berkeley SkyDeck, Michael Kim</v>
      </c>
    </row>
    <row r="252" spans="2:16">
      <c r="B252" s="78" t="str">
        <f>Companies!B289</f>
        <v>togetherAI</v>
      </c>
      <c r="C252" s="78" t="str">
        <f>Companies!C289</f>
        <v>Private</v>
      </c>
      <c r="D252" s="78">
        <f>Companies!D289</f>
        <v>10</v>
      </c>
      <c r="E252" s="78" t="str">
        <f>Companies!E289</f>
        <v>Seed</v>
      </c>
      <c r="F252" s="78">
        <f>Companies!F289</f>
        <v>3</v>
      </c>
      <c r="G252" s="78" t="str">
        <f>Companies!H289</f>
        <v>Mental Health</v>
      </c>
      <c r="H252" s="78">
        <f>Companies!I289</f>
        <v>0</v>
      </c>
      <c r="I252" s="78" t="str">
        <f>Companies!J289</f>
        <v>Consumer</v>
      </c>
      <c r="J252" s="78" t="str">
        <f>Companies!K289</f>
        <v>Healthcare</v>
      </c>
      <c r="K252" s="78">
        <f>Companies!L289</f>
        <v>44166</v>
      </c>
      <c r="L252" s="78">
        <f>Companies!M289</f>
        <v>0</v>
      </c>
      <c r="M252" s="78" t="str">
        <f>Companies!N289</f>
        <v>Scalare Partners</v>
      </c>
      <c r="N252" s="78" t="str">
        <f>Companies!O289</f>
        <v>Pre-Seed</v>
      </c>
      <c r="O252" s="78">
        <f>Companies!P289</f>
        <v>0.5</v>
      </c>
      <c r="P252" s="78" t="str">
        <f>Companies!Q289</f>
        <v>N/A</v>
      </c>
    </row>
    <row r="253" spans="2:16">
      <c r="B253" s="78" t="str">
        <f>Companies!B290</f>
        <v>Pirr.app</v>
      </c>
      <c r="C253" s="78" t="str">
        <f>Companies!C290</f>
        <v>Private</v>
      </c>
      <c r="D253" s="78">
        <f>Companies!D290</f>
        <v>4</v>
      </c>
      <c r="E253" s="78" t="str">
        <f>Companies!E290</f>
        <v>Seed</v>
      </c>
      <c r="F253" s="78">
        <f>Companies!F290</f>
        <v>0.21</v>
      </c>
      <c r="G253" s="78" t="str">
        <f>Companies!H290</f>
        <v>Erotica generator</v>
      </c>
      <c r="H253" s="78" t="str">
        <f>Companies!I290</f>
        <v>Anna Wallander</v>
      </c>
      <c r="I253" s="78" t="str">
        <f>Companies!J290</f>
        <v>Consumer</v>
      </c>
      <c r="J253" s="78" t="str">
        <f>Companies!K290</f>
        <v>Erotica</v>
      </c>
      <c r="K253" s="78">
        <f>Companies!L290</f>
        <v>2021</v>
      </c>
      <c r="L253" s="78">
        <f>Companies!M290</f>
        <v>0</v>
      </c>
      <c r="M253" s="78" t="str">
        <f>Companies!N290</f>
        <v>Vinnova</v>
      </c>
      <c r="N253" s="78" t="str">
        <f>Companies!O290</f>
        <v>N/A</v>
      </c>
      <c r="O253" s="78" t="str">
        <f>Companies!P290</f>
        <v>N/A</v>
      </c>
      <c r="P253" s="78" t="str">
        <f>Companies!Q290</f>
        <v>N/A</v>
      </c>
    </row>
    <row r="254" spans="2:16">
      <c r="B254" s="78" t="str">
        <f>Companies!B291</f>
        <v>Ada (ada.place, rental AI)</v>
      </c>
      <c r="C254" s="78" t="str">
        <f>Companies!C291</f>
        <v>Private</v>
      </c>
      <c r="D254" s="78">
        <f>Companies!D291</f>
        <v>0.5</v>
      </c>
      <c r="E254" s="78" t="str">
        <f>Companies!E291</f>
        <v>Pre-Seed</v>
      </c>
      <c r="F254" s="78">
        <f>Companies!F291</f>
        <v>0.5</v>
      </c>
      <c r="G254" s="78" t="str">
        <f>Companies!H291</f>
        <v>Defunct?</v>
      </c>
      <c r="H254" s="78" t="str">
        <f>Companies!I291</f>
        <v>N/A</v>
      </c>
      <c r="I254" s="78" t="str">
        <f>Companies!J291</f>
        <v>N/A</v>
      </c>
      <c r="J254" s="78" t="str">
        <f>Companies!K291</f>
        <v>N/A</v>
      </c>
      <c r="K254" s="78" t="str">
        <f>Companies!L291</f>
        <v>N/A</v>
      </c>
      <c r="L254" s="78">
        <f>Companies!M291</f>
        <v>0</v>
      </c>
      <c r="M254" s="78" t="str">
        <f>Companies!N291</f>
        <v>YouNick Mint</v>
      </c>
      <c r="N254" s="78" t="str">
        <f>Companies!O291</f>
        <v>N/A</v>
      </c>
      <c r="O254" s="78" t="str">
        <f>Companies!P291</f>
        <v>N/A</v>
      </c>
      <c r="P254" s="78" t="str">
        <f>Companies!Q291</f>
        <v>N/A</v>
      </c>
    </row>
    <row r="255" spans="2:16">
      <c r="B255" s="78" t="str">
        <f>Companies!B292</f>
        <v>Spicychat.ai</v>
      </c>
      <c r="C255" s="78" t="str">
        <f>Companies!C292</f>
        <v>Private</v>
      </c>
      <c r="D255" s="78" t="str">
        <f>Companies!D292</f>
        <v>N/A</v>
      </c>
      <c r="E255" s="78" t="str">
        <f>Companies!E292</f>
        <v>N/A</v>
      </c>
      <c r="F255" s="78" t="str">
        <f>Companies!F292</f>
        <v>N/A</v>
      </c>
      <c r="G255" s="78" t="str">
        <f>Companies!H292</f>
        <v>Erotica</v>
      </c>
      <c r="H255" s="78" t="str">
        <f>Companies!I292</f>
        <v>Some guy on reddit</v>
      </c>
      <c r="I255" s="78" t="str">
        <f>Companies!J292</f>
        <v>Consumer</v>
      </c>
      <c r="J255" s="78" t="str">
        <f>Companies!K292</f>
        <v>Sex</v>
      </c>
      <c r="K255" s="78">
        <f>Companies!L292</f>
        <v>2023</v>
      </c>
      <c r="L255" s="78" t="str">
        <f>Companies!M292</f>
        <v>Lots of traffic</v>
      </c>
      <c r="M255" s="78" t="str">
        <f>Companies!N292</f>
        <v>N/A</v>
      </c>
      <c r="N255" s="78" t="str">
        <f>Companies!O292</f>
        <v>N/A</v>
      </c>
      <c r="O255" s="78" t="str">
        <f>Companies!P292</f>
        <v>N/A</v>
      </c>
      <c r="P255" s="78" t="str">
        <f>Companies!Q292</f>
        <v>N/A</v>
      </c>
    </row>
    <row r="256" spans="2:16">
      <c r="B256" s="78" t="str">
        <f>Companies!B293</f>
        <v>Nastia ai</v>
      </c>
      <c r="C256" s="78" t="str">
        <f>Companies!C293</f>
        <v>Private</v>
      </c>
      <c r="D256" s="78" t="str">
        <f>Companies!D293</f>
        <v>N/A</v>
      </c>
      <c r="E256" s="78" t="str">
        <f>Companies!E293</f>
        <v>N/A</v>
      </c>
      <c r="F256" s="78" t="str">
        <f>Companies!F293</f>
        <v>N/A</v>
      </c>
      <c r="G256" s="78" t="str">
        <f>Companies!H293</f>
        <v>Shitty quality</v>
      </c>
      <c r="H256" s="78">
        <f>Companies!I293</f>
        <v>0</v>
      </c>
      <c r="I256" s="78" t="str">
        <f>Companies!J293</f>
        <v>Consumer</v>
      </c>
      <c r="J256" s="78" t="str">
        <f>Companies!K293</f>
        <v>Love</v>
      </c>
      <c r="K256" s="78">
        <f>Companies!L293</f>
        <v>2023</v>
      </c>
      <c r="L256" s="78">
        <f>Companies!M293</f>
        <v>0</v>
      </c>
      <c r="M256" s="78" t="str">
        <f>Companies!N293</f>
        <v>N/A</v>
      </c>
      <c r="N256" s="78" t="str">
        <f>Companies!O293</f>
        <v>N/A</v>
      </c>
      <c r="O256" s="78" t="str">
        <f>Companies!P293</f>
        <v>N/A</v>
      </c>
      <c r="P256" s="78" t="str">
        <f>Companies!Q293</f>
        <v>N/A</v>
      </c>
    </row>
    <row r="257" spans="2:16">
      <c r="B257" s="78" t="str">
        <f>Companies!B294</f>
        <v>RizzGPT (rizzgpt.app)</v>
      </c>
      <c r="C257" s="78" t="str">
        <f>Companies!C294</f>
        <v>Private</v>
      </c>
      <c r="D257" s="78" t="str">
        <f>Companies!D294</f>
        <v>N/A</v>
      </c>
      <c r="E257" s="78" t="str">
        <f>Companies!E294</f>
        <v>N/A</v>
      </c>
      <c r="F257" s="78" t="str">
        <f>Companies!F294</f>
        <v>N/A</v>
      </c>
      <c r="G257" s="78">
        <f>Companies!H294</f>
        <v>0</v>
      </c>
      <c r="H257" s="78">
        <f>Companies!I294</f>
        <v>0</v>
      </c>
      <c r="I257" s="78" t="str">
        <f>Companies!J294</f>
        <v>Consumer</v>
      </c>
      <c r="J257" s="78" t="str">
        <f>Companies!K294</f>
        <v>Love</v>
      </c>
      <c r="K257" s="78">
        <f>Companies!L294</f>
        <v>2023</v>
      </c>
      <c r="L257" s="78">
        <f>Companies!M294</f>
        <v>0</v>
      </c>
      <c r="M257" s="78" t="str">
        <f>Companies!N294</f>
        <v>N/A</v>
      </c>
      <c r="N257" s="78" t="str">
        <f>Companies!O294</f>
        <v>N/A</v>
      </c>
      <c r="O257" s="78" t="str">
        <f>Companies!P294</f>
        <v>N/A</v>
      </c>
      <c r="P257" s="78" t="str">
        <f>Companies!Q294</f>
        <v>N/A</v>
      </c>
    </row>
    <row r="258" spans="2:16">
      <c r="B258" s="78" t="str">
        <f>Companies!B295</f>
        <v>Dreamily</v>
      </c>
      <c r="C258" s="78" t="str">
        <f>Companies!C295</f>
        <v>Private</v>
      </c>
      <c r="D258" s="78" t="str">
        <f>Companies!D295</f>
        <v>N/A</v>
      </c>
      <c r="E258" s="78" t="str">
        <f>Companies!E295</f>
        <v>N/A</v>
      </c>
      <c r="F258" s="78" t="str">
        <f>Companies!F295</f>
        <v>N/A</v>
      </c>
      <c r="G258" s="78" t="str">
        <f>Companies!H295</f>
        <v>Writing</v>
      </c>
      <c r="H258" s="78">
        <f>Companies!I295</f>
        <v>0</v>
      </c>
      <c r="I258" s="78" t="str">
        <f>Companies!J295</f>
        <v>Consumer</v>
      </c>
      <c r="J258" s="78" t="str">
        <f>Companies!K295</f>
        <v>Writing</v>
      </c>
      <c r="K258" s="78">
        <f>Companies!L295</f>
        <v>2021</v>
      </c>
      <c r="L258" s="78" t="str">
        <f>Companies!M295</f>
        <v>Was popular before paid tier</v>
      </c>
      <c r="M258" s="78" t="str">
        <f>Companies!N295</f>
        <v>N/A</v>
      </c>
      <c r="N258" s="78" t="str">
        <f>Companies!O295</f>
        <v>N/A</v>
      </c>
      <c r="O258" s="78" t="str">
        <f>Companies!P295</f>
        <v>N/A</v>
      </c>
      <c r="P258" s="78" t="str">
        <f>Companies!Q295</f>
        <v>N/A</v>
      </c>
    </row>
    <row r="259" spans="2:16">
      <c r="B259" s="78" t="str">
        <f>Companies!B296</f>
        <v>Faraday.dev</v>
      </c>
      <c r="C259" s="78" t="str">
        <f>Companies!C296</f>
        <v>Private</v>
      </c>
      <c r="D259" s="78" t="str">
        <f>Companies!D296</f>
        <v>N/A</v>
      </c>
      <c r="E259" s="78" t="str">
        <f>Companies!E296</f>
        <v>N/A</v>
      </c>
      <c r="F259" s="78" t="str">
        <f>Companies!F296</f>
        <v>N/A</v>
      </c>
      <c r="G259" s="78" t="str">
        <f>Companies!H296</f>
        <v>Offline LLMs</v>
      </c>
      <c r="H259" s="78">
        <f>Companies!I296</f>
        <v>0</v>
      </c>
      <c r="I259" s="78" t="str">
        <f>Companies!J296</f>
        <v>Consumer</v>
      </c>
      <c r="J259" s="78" t="str">
        <f>Companies!K296</f>
        <v>Tool</v>
      </c>
      <c r="K259" s="78">
        <f>Companies!L296</f>
        <v>2023</v>
      </c>
      <c r="L259" s="78">
        <f>Companies!M296</f>
        <v>0</v>
      </c>
      <c r="M259" s="78" t="str">
        <f>Companies!N296</f>
        <v>N/A</v>
      </c>
      <c r="N259" s="78" t="str">
        <f>Companies!O296</f>
        <v>N/A</v>
      </c>
      <c r="O259" s="78" t="str">
        <f>Companies!P296</f>
        <v>N/A</v>
      </c>
      <c r="P259" s="78" t="str">
        <f>Companies!Q296</f>
        <v>N/A</v>
      </c>
    </row>
    <row r="260" spans="2:16">
      <c r="B260" s="78" t="str">
        <f>Companies!B297</f>
        <v>Crushon.ai</v>
      </c>
      <c r="C260" s="78" t="str">
        <f>Companies!C297</f>
        <v>Private</v>
      </c>
      <c r="D260" s="78" t="str">
        <f>Companies!D297</f>
        <v>N/A</v>
      </c>
      <c r="E260" s="78" t="str">
        <f>Companies!E297</f>
        <v>N/A</v>
      </c>
      <c r="F260" s="78" t="str">
        <f>Companies!F297</f>
        <v>N/A</v>
      </c>
      <c r="G260" s="78">
        <f>Companies!H297</f>
        <v>0</v>
      </c>
      <c r="H260" s="78">
        <f>Companies!I297</f>
        <v>0</v>
      </c>
      <c r="I260" s="78" t="str">
        <f>Companies!J297</f>
        <v>Consumer</v>
      </c>
      <c r="J260" s="78" t="str">
        <f>Companies!K297</f>
        <v>Sex</v>
      </c>
      <c r="K260" s="78">
        <f>Companies!L297</f>
        <v>2023</v>
      </c>
      <c r="L260" s="78" t="str">
        <f>Companies!M297</f>
        <v>Character.ai clone</v>
      </c>
      <c r="M260" s="78" t="str">
        <f>Companies!N297</f>
        <v>N/A</v>
      </c>
      <c r="N260" s="78" t="str">
        <f>Companies!O297</f>
        <v>N/A</v>
      </c>
      <c r="O260" s="78" t="str">
        <f>Companies!P297</f>
        <v>N/A</v>
      </c>
      <c r="P260" s="78" t="str">
        <f>Companies!Q297</f>
        <v>N/A</v>
      </c>
    </row>
    <row r="261" spans="2:16">
      <c r="B261" s="78" t="str">
        <f>Companies!B298</f>
        <v>GooseAI</v>
      </c>
      <c r="C261" s="78" t="str">
        <f>Companies!C298</f>
        <v>Private</v>
      </c>
      <c r="D261" s="78" t="str">
        <f>Companies!D298</f>
        <v>N/A</v>
      </c>
      <c r="E261" s="78" t="str">
        <f>Companies!E298</f>
        <v>N/A</v>
      </c>
      <c r="F261" s="78" t="str">
        <f>Companies!F298</f>
        <v>N/A</v>
      </c>
      <c r="G261" s="78" t="str">
        <f>Companies!H298</f>
        <v>GPT-Neo, Fairseq serever</v>
      </c>
      <c r="H261" s="78">
        <f>Companies!I298</f>
        <v>0</v>
      </c>
      <c r="I261" s="78" t="str">
        <f>Companies!J298</f>
        <v>Enterprise</v>
      </c>
      <c r="J261" s="78" t="str">
        <f>Companies!K298</f>
        <v>LLM</v>
      </c>
      <c r="K261" s="78" t="str">
        <f>Companies!L298</f>
        <v>N/A</v>
      </c>
      <c r="L261" s="78">
        <f>Companies!M298</f>
        <v>0</v>
      </c>
      <c r="M261" s="78" t="str">
        <f>Companies!N298</f>
        <v>N/A</v>
      </c>
      <c r="N261" s="78" t="str">
        <f>Companies!O298</f>
        <v>N/A</v>
      </c>
      <c r="O261" s="78" t="str">
        <f>Companies!P298</f>
        <v>N/A</v>
      </c>
      <c r="P261" s="78" t="str">
        <f>Companies!Q298</f>
        <v>N/A</v>
      </c>
    </row>
    <row r="262" spans="2:16">
      <c r="B262" s="78" t="str">
        <f>Companies!B299</f>
        <v>Anima ai (myanima.ai)</v>
      </c>
      <c r="C262" s="78" t="str">
        <f>Companies!C299</f>
        <v>Private</v>
      </c>
      <c r="D262" s="78" t="str">
        <f>Companies!D299</f>
        <v>N/A</v>
      </c>
      <c r="E262" s="78" t="str">
        <f>Companies!E299</f>
        <v>N/A</v>
      </c>
      <c r="F262" s="78" t="str">
        <f>Companies!F299</f>
        <v>N/A</v>
      </c>
      <c r="G262" s="78" t="str">
        <f>Companies!H299</f>
        <v>Non-sex</v>
      </c>
      <c r="H262" s="78">
        <f>Companies!I299</f>
        <v>0</v>
      </c>
      <c r="I262" s="78" t="str">
        <f>Companies!J299</f>
        <v>Consumer</v>
      </c>
      <c r="J262" s="78" t="str">
        <f>Companies!K299</f>
        <v>Love</v>
      </c>
      <c r="K262" s="78">
        <f>Companies!L299</f>
        <v>2020</v>
      </c>
      <c r="L262" s="78">
        <f>Companies!M299</f>
        <v>0</v>
      </c>
      <c r="M262" s="78" t="str">
        <f>Companies!N299</f>
        <v>N/A</v>
      </c>
      <c r="N262" s="78" t="str">
        <f>Companies!O299</f>
        <v>N/A</v>
      </c>
      <c r="O262" s="78" t="str">
        <f>Companies!P299</f>
        <v>N/A</v>
      </c>
      <c r="P262" s="78" t="str">
        <f>Companies!Q299</f>
        <v>N/A</v>
      </c>
    </row>
    <row r="263" spans="2:16">
      <c r="B263" s="78" t="str">
        <f>Companies!B300</f>
        <v>Goose-AI</v>
      </c>
      <c r="C263" s="78" t="str">
        <f>Companies!C300</f>
        <v>Private</v>
      </c>
      <c r="D263" s="78" t="str">
        <f>Companies!D300</f>
        <v>N/A</v>
      </c>
      <c r="E263" s="78" t="str">
        <f>Companies!E300</f>
        <v>N/A</v>
      </c>
      <c r="F263" s="78" t="str">
        <f>Companies!F300</f>
        <v>N/A</v>
      </c>
      <c r="G263" s="78">
        <f>Companies!H300</f>
        <v>0</v>
      </c>
      <c r="H263" s="78">
        <f>Companies!I300</f>
        <v>0</v>
      </c>
      <c r="I263" s="78" t="str">
        <f>Companies!J300</f>
        <v>AI Lab</v>
      </c>
      <c r="J263" s="78" t="str">
        <f>Companies!K300</f>
        <v>AI Lab</v>
      </c>
      <c r="K263" s="78" t="str">
        <f>Companies!L300</f>
        <v>N/A</v>
      </c>
      <c r="L263" s="78">
        <f>Companies!M300</f>
        <v>0</v>
      </c>
      <c r="M263" s="78" t="str">
        <f>Companies!N300</f>
        <v>N/A</v>
      </c>
      <c r="N263" s="78" t="str">
        <f>Companies!O300</f>
        <v>N/A</v>
      </c>
      <c r="O263" s="78" t="str">
        <f>Companies!P300</f>
        <v>N/A</v>
      </c>
      <c r="P263" s="78" t="str">
        <f>Companies!Q300</f>
        <v>N/A</v>
      </c>
    </row>
    <row r="264" spans="2:16">
      <c r="B264" s="78" t="str">
        <f>Companies!B301</f>
        <v>Holo</v>
      </c>
      <c r="C264" s="78" t="str">
        <f>Companies!C301</f>
        <v>Private</v>
      </c>
      <c r="D264" s="78" t="str">
        <f>Companies!D301</f>
        <v>N/A</v>
      </c>
      <c r="E264" s="78" t="str">
        <f>Companies!E301</f>
        <v>N/A</v>
      </c>
      <c r="F264" s="78" t="str">
        <f>Companies!F301</f>
        <v>N/A</v>
      </c>
      <c r="G264" s="78" t="str">
        <f>Companies!H301</f>
        <v>Writing Assistant</v>
      </c>
      <c r="H264" s="78">
        <f>Companies!I301</f>
        <v>0</v>
      </c>
      <c r="I264" s="78" t="str">
        <f>Companies!J301</f>
        <v>Consumer</v>
      </c>
      <c r="J264" s="78" t="str">
        <f>Companies!K301</f>
        <v>Writing</v>
      </c>
      <c r="K264" s="78" t="str">
        <f>Companies!L301</f>
        <v>N/A</v>
      </c>
      <c r="L264" s="78">
        <f>Companies!M301</f>
        <v>0</v>
      </c>
      <c r="M264" s="78" t="str">
        <f>Companies!N301</f>
        <v>N/A</v>
      </c>
      <c r="N264" s="78" t="str">
        <f>Companies!O301</f>
        <v>N/A</v>
      </c>
      <c r="O264" s="78" t="str">
        <f>Companies!P301</f>
        <v>N/A</v>
      </c>
      <c r="P264" s="78" t="str">
        <f>Companies!Q301</f>
        <v>N/A</v>
      </c>
    </row>
    <row r="265" spans="2:16">
      <c r="B265" s="78" t="str">
        <f>Companies!B302</f>
        <v>Chatfai</v>
      </c>
      <c r="C265" s="78" t="str">
        <f>Companies!C302</f>
        <v>Private</v>
      </c>
      <c r="D265" s="78" t="str">
        <f>Companies!D302</f>
        <v>N/A</v>
      </c>
      <c r="E265" s="78" t="str">
        <f>Companies!E302</f>
        <v>N/A</v>
      </c>
      <c r="F265" s="78" t="str">
        <f>Companies!F302</f>
        <v>N/A</v>
      </c>
      <c r="G265" s="78" t="str">
        <f>Companies!H302</f>
        <v>NSFW Characters</v>
      </c>
      <c r="H265" s="78">
        <f>Companies!I302</f>
        <v>0</v>
      </c>
      <c r="I265" s="78" t="str">
        <f>Companies!J302</f>
        <v>Consumer</v>
      </c>
      <c r="J265" s="78" t="str">
        <f>Companies!K302</f>
        <v>Chatbot</v>
      </c>
      <c r="K265" s="78" t="str">
        <f>Companies!L302</f>
        <v>N/A</v>
      </c>
      <c r="L265" s="78">
        <f>Companies!M302</f>
        <v>0</v>
      </c>
      <c r="M265" s="78" t="str">
        <f>Companies!N302</f>
        <v>N/A</v>
      </c>
      <c r="N265" s="78" t="str">
        <f>Companies!O302</f>
        <v>N/A</v>
      </c>
      <c r="O265" s="78" t="str">
        <f>Companies!P302</f>
        <v>N/A</v>
      </c>
      <c r="P265" s="78" t="str">
        <f>Companies!Q302</f>
        <v>N/A</v>
      </c>
    </row>
    <row r="266" spans="2:16">
      <c r="B266" s="78" t="str">
        <f>Companies!B303</f>
        <v>Chai (app, Chai Research Corp, Chai.ml)</v>
      </c>
      <c r="C266" s="78" t="str">
        <f>Companies!C303</f>
        <v>Private</v>
      </c>
      <c r="D266" s="78" t="str">
        <f>Companies!D303</f>
        <v>N/A</v>
      </c>
      <c r="E266" s="78" t="str">
        <f>Companies!E303</f>
        <v>N/A</v>
      </c>
      <c r="F266" s="78" t="str">
        <f>Companies!F303</f>
        <v>N/A</v>
      </c>
      <c r="G266" s="78" t="str">
        <f>Companies!H303</f>
        <v>Chatbot</v>
      </c>
      <c r="H266" s="78">
        <f>Companies!I303</f>
        <v>0</v>
      </c>
      <c r="I266" s="78" t="str">
        <f>Companies!J303</f>
        <v>Consumer</v>
      </c>
      <c r="J266" s="78" t="str">
        <f>Companies!K303</f>
        <v>Chatbot</v>
      </c>
      <c r="K266" s="78">
        <f>Companies!L303</f>
        <v>2021</v>
      </c>
      <c r="L266" s="78">
        <f>Companies!M303</f>
        <v>0</v>
      </c>
      <c r="M266" s="78" t="str">
        <f>Companies!N303</f>
        <v>N/A</v>
      </c>
      <c r="N266" s="78" t="str">
        <f>Companies!O303</f>
        <v>N/A</v>
      </c>
      <c r="O266" s="78" t="str">
        <f>Companies!P303</f>
        <v>N/A</v>
      </c>
      <c r="P266" s="78" t="str">
        <f>Companies!Q303</f>
        <v>N/A</v>
      </c>
    </row>
    <row r="267" spans="2:16">
      <c r="B267" s="78" t="str">
        <f>Companies!B304</f>
        <v>KoboldAI (Github)</v>
      </c>
      <c r="C267" s="78" t="str">
        <f>Companies!C304</f>
        <v>Private</v>
      </c>
      <c r="D267" s="78" t="str">
        <f>Companies!D304</f>
        <v>N/A</v>
      </c>
      <c r="E267" s="78" t="str">
        <f>Companies!E304</f>
        <v>N/A</v>
      </c>
      <c r="F267" s="78" t="str">
        <f>Companies!F304</f>
        <v>N/A</v>
      </c>
      <c r="G267" s="78" t="str">
        <f>Companies!H304</f>
        <v>Writing assistant</v>
      </c>
      <c r="H267" s="78">
        <f>Companies!I304</f>
        <v>0</v>
      </c>
      <c r="I267" s="78" t="str">
        <f>Companies!J304</f>
        <v>Consumer</v>
      </c>
      <c r="J267" s="78" t="str">
        <f>Companies!K304</f>
        <v>Chatbot</v>
      </c>
      <c r="K267" s="78">
        <f>Companies!L304</f>
        <v>2022</v>
      </c>
      <c r="L267" s="78">
        <f>Companies!M304</f>
        <v>0</v>
      </c>
      <c r="M267" s="78" t="str">
        <f>Companies!N304</f>
        <v>N/A</v>
      </c>
      <c r="N267" s="78" t="str">
        <f>Companies!O304</f>
        <v>N/A</v>
      </c>
      <c r="O267" s="78" t="str">
        <f>Companies!P304</f>
        <v>N/A</v>
      </c>
      <c r="P267" s="78" t="str">
        <f>Companies!Q304</f>
        <v>N/A</v>
      </c>
    </row>
    <row r="268" spans="2:16">
      <c r="B268" s="78" t="str">
        <f>Companies!B305</f>
        <v>Agnaistic</v>
      </c>
      <c r="C268" s="78" t="str">
        <f>Companies!C305</f>
        <v>Private</v>
      </c>
      <c r="D268" s="78" t="str">
        <f>Companies!D305</f>
        <v>N/A</v>
      </c>
      <c r="E268" s="78" t="str">
        <f>Companies!E305</f>
        <v>N/A</v>
      </c>
      <c r="F268" s="78" t="str">
        <f>Companies!F305</f>
        <v>N/A</v>
      </c>
      <c r="G268" s="78" t="str">
        <f>Companies!H305</f>
        <v>Bring-your-own AI chatbot</v>
      </c>
      <c r="H268" s="78">
        <f>Companies!I305</f>
        <v>0</v>
      </c>
      <c r="I268" s="78" t="str">
        <f>Companies!J305</f>
        <v>Consumer</v>
      </c>
      <c r="J268" s="78" t="str">
        <f>Companies!K305</f>
        <v>Chatbot</v>
      </c>
      <c r="K268" s="78" t="str">
        <f>Companies!L305</f>
        <v>N/A</v>
      </c>
      <c r="L268" s="78">
        <f>Companies!M305</f>
        <v>0</v>
      </c>
      <c r="M268" s="78" t="str">
        <f>Companies!N305</f>
        <v>N/A</v>
      </c>
      <c r="N268" s="78" t="str">
        <f>Companies!O305</f>
        <v>N/A</v>
      </c>
      <c r="O268" s="78" t="str">
        <f>Companies!P305</f>
        <v>N/A</v>
      </c>
      <c r="P268" s="78" t="str">
        <f>Companies!Q305</f>
        <v>N/A</v>
      </c>
    </row>
    <row r="269" spans="2:16">
      <c r="B269" s="78" t="str">
        <f>Companies!B306</f>
        <v>InferKit</v>
      </c>
      <c r="C269" s="78" t="str">
        <f>Companies!C306</f>
        <v>Private</v>
      </c>
      <c r="D269" s="78" t="str">
        <f>Companies!D306</f>
        <v>N/A</v>
      </c>
      <c r="E269" s="78" t="str">
        <f>Companies!E306</f>
        <v>N/A</v>
      </c>
      <c r="F269" s="78" t="str">
        <f>Companies!F306</f>
        <v>N/A</v>
      </c>
      <c r="G269" s="78" t="str">
        <f>Companies!H306</f>
        <v>Text-generation</v>
      </c>
      <c r="H269" s="78">
        <f>Companies!I306</f>
        <v>0</v>
      </c>
      <c r="I269" s="78" t="str">
        <f>Companies!J306</f>
        <v>Consumer</v>
      </c>
      <c r="J269" s="78" t="str">
        <f>Companies!K306</f>
        <v>LLM</v>
      </c>
      <c r="K269" s="78" t="str">
        <f>Companies!L306</f>
        <v>N/A</v>
      </c>
      <c r="L269" s="78">
        <f>Companies!M306</f>
        <v>0</v>
      </c>
      <c r="M269" s="78" t="str">
        <f>Companies!N306</f>
        <v>N/A</v>
      </c>
      <c r="N269" s="78" t="str">
        <f>Companies!O306</f>
        <v>N/A</v>
      </c>
      <c r="O269" s="78" t="str">
        <f>Companies!P306</f>
        <v>N/A</v>
      </c>
      <c r="P269" s="78" t="str">
        <f>Companies!Q306</f>
        <v>N/A</v>
      </c>
    </row>
    <row r="270" spans="2:16">
      <c r="B270" s="78" t="str">
        <f>Companies!B307</f>
        <v>NovelAI</v>
      </c>
      <c r="C270" s="78" t="str">
        <f>Companies!C307</f>
        <v>Private</v>
      </c>
      <c r="D270" s="78" t="str">
        <f>Companies!D307</f>
        <v>N/A</v>
      </c>
      <c r="E270" s="78" t="str">
        <f>Companies!E307</f>
        <v>N/A</v>
      </c>
      <c r="F270" s="78" t="str">
        <f>Companies!F307</f>
        <v>N/A</v>
      </c>
      <c r="G270" s="78" t="str">
        <f>Companies!H307</f>
        <v>Storytelling</v>
      </c>
      <c r="H270" s="78">
        <f>Companies!I307</f>
        <v>0</v>
      </c>
      <c r="I270" s="78" t="str">
        <f>Companies!J307</f>
        <v>Consumer</v>
      </c>
      <c r="J270" s="78" t="str">
        <f>Companies!K307</f>
        <v>Furries</v>
      </c>
      <c r="K270" s="78">
        <f>Companies!L307</f>
        <v>2021</v>
      </c>
      <c r="L270" s="78">
        <f>Companies!M307</f>
        <v>0</v>
      </c>
      <c r="M270" s="78" t="str">
        <f>Companies!N307</f>
        <v>N/A</v>
      </c>
      <c r="N270" s="78" t="str">
        <f>Companies!O307</f>
        <v>N/A</v>
      </c>
      <c r="O270" s="78" t="str">
        <f>Companies!P307</f>
        <v>N/A</v>
      </c>
      <c r="P270" s="78" t="str">
        <f>Companies!Q307</f>
        <v>N/A</v>
      </c>
    </row>
    <row r="271" spans="2:16">
      <c r="B271" s="78" t="str">
        <f>Companies!B308</f>
        <v>Chub.ai (chub.ai)</v>
      </c>
      <c r="C271" s="78" t="str">
        <f>Companies!C308</f>
        <v>Private</v>
      </c>
      <c r="D271" s="78" t="str">
        <f>Companies!D308</f>
        <v>N/A</v>
      </c>
      <c r="E271" s="78" t="str">
        <f>Companies!E308</f>
        <v>N/A</v>
      </c>
      <c r="F271" s="78" t="str">
        <f>Companies!F308</f>
        <v>N/A</v>
      </c>
      <c r="G271" s="78" t="str">
        <f>Companies!H308</f>
        <v>Character Database?</v>
      </c>
      <c r="H271" s="78">
        <f>Companies!I308</f>
        <v>0</v>
      </c>
      <c r="I271" s="78" t="str">
        <f>Companies!J308</f>
        <v>Consumer</v>
      </c>
      <c r="J271" s="78" t="str">
        <f>Companies!K308</f>
        <v>Characters</v>
      </c>
      <c r="K271" s="78">
        <f>Companies!L308</f>
        <v>2023</v>
      </c>
      <c r="L271" s="78">
        <f>Companies!M308</f>
        <v>0</v>
      </c>
      <c r="M271" s="78" t="str">
        <f>Companies!N308</f>
        <v>N/A</v>
      </c>
      <c r="N271" s="78" t="str">
        <f>Companies!O308</f>
        <v>N/A</v>
      </c>
      <c r="O271" s="78" t="str">
        <f>Companies!P308</f>
        <v>N/A</v>
      </c>
      <c r="P271" s="78" t="str">
        <f>Companies!Q308</f>
        <v>N/A</v>
      </c>
    </row>
    <row r="272" spans="2:16">
      <c r="B272" s="78" t="str">
        <f>Companies!B309</f>
        <v>Rad AI (Santa Monica, CA)</v>
      </c>
      <c r="C272" s="78" t="str">
        <f>Companies!C309</f>
        <v>Private</v>
      </c>
      <c r="D272" s="78" t="str">
        <f>Companies!D309</f>
        <v>N/A</v>
      </c>
      <c r="E272" s="78" t="str">
        <f>Companies!E309</f>
        <v>N/A</v>
      </c>
      <c r="F272" s="78" t="str">
        <f>Companies!F309</f>
        <v>N/A</v>
      </c>
      <c r="G272" s="78" t="str">
        <f>Companies!H309</f>
        <v>Influencer Marketing Tool</v>
      </c>
      <c r="H272" s="78" t="str">
        <f>Companies!I309</f>
        <v>Jeremy Barnett, Brad Silver</v>
      </c>
      <c r="I272" s="78" t="str">
        <f>Companies!J309</f>
        <v>Enterprise</v>
      </c>
      <c r="J272" s="78" t="str">
        <f>Companies!K309</f>
        <v>Advertising</v>
      </c>
      <c r="K272" s="78">
        <f>Companies!L309</f>
        <v>2018</v>
      </c>
      <c r="L272" s="78">
        <f>Companies!M309</f>
        <v>0</v>
      </c>
      <c r="M272" s="78" t="str">
        <f>Companies!N309</f>
        <v>N/A</v>
      </c>
      <c r="N272" s="78" t="str">
        <f>Companies!O309</f>
        <v>N/A</v>
      </c>
      <c r="O272" s="78" t="str">
        <f>Companies!P309</f>
        <v>N/A</v>
      </c>
      <c r="P272" s="78" t="str">
        <f>Companies!Q309</f>
        <v>N/A</v>
      </c>
    </row>
    <row r="273" spans="2:16">
      <c r="B273" s="78" t="str">
        <f>Companies!B310</f>
        <v>TextSynth</v>
      </c>
      <c r="C273" s="78" t="str">
        <f>Companies!C310</f>
        <v>Private</v>
      </c>
      <c r="D273" s="78" t="str">
        <f>Companies!D310</f>
        <v>N/A</v>
      </c>
      <c r="E273" s="78" t="str">
        <f>Companies!E310</f>
        <v>N/A</v>
      </c>
      <c r="F273" s="78" t="str">
        <f>Companies!F310</f>
        <v>N/A</v>
      </c>
      <c r="G273" s="78" t="str">
        <f>Companies!H310</f>
        <v>Hosts text models</v>
      </c>
      <c r="H273" s="78">
        <f>Companies!I310</f>
        <v>0</v>
      </c>
      <c r="I273" s="78" t="str">
        <f>Companies!J310</f>
        <v>Consumer</v>
      </c>
      <c r="J273" s="78" t="str">
        <f>Companies!K310</f>
        <v>LLMs</v>
      </c>
      <c r="K273" s="78">
        <f>Companies!L310</f>
        <v>2023</v>
      </c>
      <c r="L273" s="78">
        <f>Companies!M310</f>
        <v>0</v>
      </c>
      <c r="M273" s="78" t="str">
        <f>Companies!N310</f>
        <v>N/A</v>
      </c>
      <c r="N273" s="78" t="str">
        <f>Companies!O310</f>
        <v>N/A</v>
      </c>
      <c r="O273" s="78" t="str">
        <f>Companies!P310</f>
        <v>N/A</v>
      </c>
      <c r="P273" s="78" t="str">
        <f>Companies!Q310</f>
        <v>N/A</v>
      </c>
    </row>
    <row r="274" spans="2:16">
      <c r="B274" s="78" t="str">
        <f>Companies!B287</f>
        <v>Janitor AI</v>
      </c>
      <c r="C274" s="78" t="str">
        <f>Companies!C287</f>
        <v>Private</v>
      </c>
      <c r="D274" s="78">
        <f>Companies!D287</f>
        <v>20</v>
      </c>
      <c r="E274" s="78" t="str">
        <f>Companies!E287</f>
        <v>N/A</v>
      </c>
      <c r="F274" s="78" t="str">
        <f>Companies!F287</f>
        <v>N/A</v>
      </c>
      <c r="G274" s="78" t="str">
        <f>Companies!H287</f>
        <v>Chatbot</v>
      </c>
      <c r="H274" s="78">
        <f>Companies!I287</f>
        <v>0</v>
      </c>
      <c r="I274" s="78" t="str">
        <f>Companies!J287</f>
        <v>Consumer</v>
      </c>
      <c r="J274" s="78" t="str">
        <f>Companies!K287</f>
        <v>Anime</v>
      </c>
      <c r="K274" s="78" t="str">
        <f>Companies!L287</f>
        <v>N/A</v>
      </c>
      <c r="L274" s="78" t="str">
        <f>Companies!M287</f>
        <v>Millions of users already</v>
      </c>
      <c r="M274" s="78" t="str">
        <f>Companies!N287</f>
        <v>N/A</v>
      </c>
      <c r="N274" s="78" t="str">
        <f>Companies!O287</f>
        <v>N/A</v>
      </c>
      <c r="O274" s="78" t="str">
        <f>Companies!P287</f>
        <v>N/A</v>
      </c>
      <c r="P274" s="78" t="str">
        <f>Companies!Q287</f>
        <v>N/A</v>
      </c>
    </row>
    <row r="275" spans="2:16">
      <c r="B275" s="78" t="str">
        <f>Companies!B311</f>
        <v>ElevateAI</v>
      </c>
      <c r="C275" s="78" t="str">
        <f>Companies!C311</f>
        <v>Private</v>
      </c>
      <c r="D275" s="78" t="str">
        <f>Companies!D311</f>
        <v>N/A</v>
      </c>
      <c r="E275" s="78" t="str">
        <f>Companies!E311</f>
        <v>N/A</v>
      </c>
      <c r="F275" s="78" t="str">
        <f>Companies!F311</f>
        <v>N/A</v>
      </c>
      <c r="G275" s="78" t="str">
        <f>Companies!H311</f>
        <v>Video Call EQ (autism)</v>
      </c>
      <c r="H275" s="78" t="str">
        <f>Companies!I311</f>
        <v>Ali Aziz, Amy Noll, Catherine Davis, Chandra De Keyser, Yury Shubin</v>
      </c>
      <c r="I275" s="78" t="str">
        <f>Companies!J311</f>
        <v>Enterprise</v>
      </c>
      <c r="J275" s="78" t="str">
        <f>Companies!K311</f>
        <v>Autism</v>
      </c>
      <c r="K275" s="78">
        <f>Companies!L311</f>
        <v>2022</v>
      </c>
      <c r="L275" s="78">
        <f>Companies!M311</f>
        <v>0</v>
      </c>
      <c r="M275" s="78" t="str">
        <f>Companies!N311</f>
        <v>N/A</v>
      </c>
      <c r="N275" s="78" t="str">
        <f>Companies!O311</f>
        <v>N/A</v>
      </c>
      <c r="O275" s="78" t="str">
        <f>Companies!P311</f>
        <v>N/A</v>
      </c>
      <c r="P275" s="78" t="str">
        <f>Companies!Q311</f>
        <v>N/A</v>
      </c>
    </row>
    <row r="276" spans="2:16">
      <c r="B276" s="78" t="str">
        <f>Companies!B312</f>
        <v>Coachvox AI</v>
      </c>
      <c r="C276" s="78" t="str">
        <f>Companies!C312</f>
        <v>Private</v>
      </c>
      <c r="D276" s="78" t="str">
        <f>Companies!D312</f>
        <v>N/A</v>
      </c>
      <c r="E276" s="78" t="str">
        <f>Companies!E312</f>
        <v>N/A</v>
      </c>
      <c r="F276" s="78" t="str">
        <f>Companies!F312</f>
        <v>N/A</v>
      </c>
      <c r="G276" s="78" t="str">
        <f>Companies!H312</f>
        <v>Voice cloning? Coaching</v>
      </c>
      <c r="H276" s="78">
        <f>Companies!I312</f>
        <v>0</v>
      </c>
      <c r="I276" s="78" t="str">
        <f>Companies!J312</f>
        <v>Consumer</v>
      </c>
      <c r="J276" s="78" t="str">
        <f>Companies!K312</f>
        <v>Voice</v>
      </c>
      <c r="K276" s="78">
        <f>Companies!L312</f>
        <v>2021</v>
      </c>
      <c r="L276" s="78">
        <f>Companies!M312</f>
        <v>0</v>
      </c>
      <c r="M276" s="78" t="str">
        <f>Companies!N312</f>
        <v>N/A</v>
      </c>
      <c r="N276" s="78" t="str">
        <f>Companies!O312</f>
        <v>N/A</v>
      </c>
      <c r="O276" s="78" t="str">
        <f>Companies!P312</f>
        <v>N/A</v>
      </c>
      <c r="P276" s="78" t="str">
        <f>Companies!Q312</f>
        <v>N/A</v>
      </c>
    </row>
    <row r="277" spans="2:16">
      <c r="B277" s="78" t="str">
        <f>Companies!B313</f>
        <v>Sidney.ai</v>
      </c>
      <c r="C277" s="78" t="str">
        <f>Companies!C313</f>
        <v>Private</v>
      </c>
      <c r="D277" s="78" t="str">
        <f>Companies!D313</f>
        <v>N/A</v>
      </c>
      <c r="E277" s="78" t="str">
        <f>Companies!E313</f>
        <v>N/A</v>
      </c>
      <c r="F277" s="78" t="str">
        <f>Companies!F313</f>
        <v>N/A</v>
      </c>
      <c r="G277" s="78" t="str">
        <f>Companies!H313</f>
        <v>Document</v>
      </c>
      <c r="H277" s="78" t="str">
        <f>Companies!I313</f>
        <v>N/A</v>
      </c>
      <c r="I277" s="78" t="str">
        <f>Companies!J313</f>
        <v>Enterprise</v>
      </c>
      <c r="J277" s="78" t="str">
        <f>Companies!K313</f>
        <v>Document</v>
      </c>
      <c r="K277" s="78" t="str">
        <f>Companies!L313</f>
        <v>N/A</v>
      </c>
      <c r="L277" s="78">
        <f>Companies!M313</f>
        <v>0</v>
      </c>
      <c r="M277" s="78" t="str">
        <f>Companies!N313</f>
        <v>N/A</v>
      </c>
      <c r="N277" s="78" t="str">
        <f>Companies!O313</f>
        <v>N/A</v>
      </c>
      <c r="O277" s="78" t="str">
        <f>Companies!P313</f>
        <v>N/A</v>
      </c>
      <c r="P277" s="78" t="str">
        <f>Companies!Q313</f>
        <v>N/A</v>
      </c>
    </row>
    <row r="278" spans="2:16">
      <c r="B278" s="78" t="str">
        <f>Companies!B314</f>
        <v>Hemison.ai</v>
      </c>
      <c r="C278" s="78" t="str">
        <f>Companies!C314</f>
        <v>Private</v>
      </c>
      <c r="D278" s="78" t="str">
        <f>Companies!D314</f>
        <v>N/A</v>
      </c>
      <c r="E278" s="78" t="str">
        <f>Companies!E314</f>
        <v>N/A</v>
      </c>
      <c r="F278" s="78" t="str">
        <f>Companies!F314</f>
        <v>N/A</v>
      </c>
      <c r="G278" s="78" t="str">
        <f>Companies!H314</f>
        <v>Text-to-Video</v>
      </c>
      <c r="H278" s="78">
        <f>Companies!I314</f>
        <v>0</v>
      </c>
      <c r="I278" s="78" t="str">
        <f>Companies!J314</f>
        <v>Enterprise</v>
      </c>
      <c r="J278" s="78" t="str">
        <f>Companies!K314</f>
        <v>Text-to-Video</v>
      </c>
      <c r="K278" s="78">
        <f>Companies!L314</f>
        <v>2020</v>
      </c>
      <c r="L278" s="78" t="str">
        <f>Companies!M314</f>
        <v>May be defunct</v>
      </c>
      <c r="M278" s="78" t="str">
        <f>Companies!N314</f>
        <v>N/A</v>
      </c>
      <c r="N278" s="78" t="str">
        <f>Companies!O314</f>
        <v>N/A</v>
      </c>
      <c r="O278" s="78" t="str">
        <f>Companies!P314</f>
        <v>N/A</v>
      </c>
      <c r="P278" s="78" t="str">
        <f>Companies!Q314</f>
        <v>N/A</v>
      </c>
    </row>
    <row r="279" spans="2:16">
      <c r="B279" s="78" t="str">
        <f>Companies!B315</f>
        <v>sudowrite</v>
      </c>
      <c r="C279" s="78" t="str">
        <f>Companies!C315</f>
        <v>Private</v>
      </c>
      <c r="D279" s="78" t="str">
        <f>Companies!D315</f>
        <v>N/A</v>
      </c>
      <c r="E279" s="78" t="str">
        <f>Companies!E315</f>
        <v>Seed</v>
      </c>
      <c r="F279" s="78" t="str">
        <f>Companies!F315</f>
        <v>N/A</v>
      </c>
      <c r="G279" s="78">
        <f>Companies!H315</f>
        <v>0</v>
      </c>
      <c r="H279" s="78" t="str">
        <f>Companies!I315</f>
        <v>Amit Gupta</v>
      </c>
      <c r="I279" s="78" t="str">
        <f>Companies!J315</f>
        <v>Enterprise</v>
      </c>
      <c r="J279" s="78" t="str">
        <f>Companies!K315</f>
        <v>Copy</v>
      </c>
      <c r="K279" s="78" t="str">
        <f>Companies!L315</f>
        <v>N/A</v>
      </c>
      <c r="L279" s="78">
        <f>Companies!M315</f>
        <v>0</v>
      </c>
      <c r="M279" s="78" t="str">
        <f>Companies!N315</f>
        <v>500 Global</v>
      </c>
      <c r="N279" s="78" t="str">
        <f>Companies!O315</f>
        <v>N/A</v>
      </c>
      <c r="O279" s="78" t="str">
        <f>Companies!P315</f>
        <v>N/A</v>
      </c>
      <c r="P279" s="78" t="str">
        <f>Companies!Q315</f>
        <v>N/A</v>
      </c>
    </row>
    <row r="280" spans="2:16">
      <c r="B280" s="78" t="str">
        <f>Companies!B316</f>
        <v>Grit</v>
      </c>
      <c r="C280" s="78" t="str">
        <f>Companies!C316</f>
        <v>Private</v>
      </c>
      <c r="D280" s="78" t="str">
        <f>Companies!D316</f>
        <v>N/A</v>
      </c>
      <c r="E280" s="78" t="str">
        <f>Companies!E316</f>
        <v>N/A</v>
      </c>
      <c r="F280" s="78" t="str">
        <f>Companies!F316</f>
        <v>N/A</v>
      </c>
      <c r="G280" s="78" t="str">
        <f>Companies!H316</f>
        <v>Code refactoring</v>
      </c>
      <c r="H280" s="78" t="str">
        <f>Companies!I316</f>
        <v>Cosmin Radoi, Morgante Pell</v>
      </c>
      <c r="I280" s="78" t="str">
        <f>Companies!J316</f>
        <v>Enterprise</v>
      </c>
      <c r="J280" s="78" t="str">
        <f>Companies!K316</f>
        <v>Programming</v>
      </c>
      <c r="K280" s="78">
        <f>Companies!L316</f>
        <v>2022</v>
      </c>
      <c r="L280" s="78">
        <f>Companies!M316</f>
        <v>0</v>
      </c>
      <c r="M280" s="78" t="str">
        <f>Companies!N316</f>
        <v>N/A</v>
      </c>
      <c r="N280" s="78" t="str">
        <f>Companies!O316</f>
        <v>N/A</v>
      </c>
      <c r="O280" s="78" t="str">
        <f>Companies!P316</f>
        <v>N/A</v>
      </c>
      <c r="P280" s="78" t="str">
        <f>Companies!Q316</f>
        <v>N/A</v>
      </c>
    </row>
  </sheetData>
  <hyperlinks>
    <hyperlink ref="A1" location="Main!A1" display="Main" xr:uid="{0455699D-B56F-4161-91EB-97E394316C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88"/>
  <sheetViews>
    <sheetView topLeftCell="A143" zoomScale="110" zoomScaleNormal="110" workbookViewId="0">
      <selection activeCell="C154" sqref="C154"/>
    </sheetView>
  </sheetViews>
  <sheetFormatPr defaultColWidth="8.875" defaultRowHeight="12.75"/>
  <cols>
    <col min="1" max="1" width="2.5" style="55" customWidth="1"/>
    <col min="2" max="2" width="27.375" style="55" customWidth="1"/>
    <col min="3" max="3" width="28.875" style="55" customWidth="1"/>
    <col min="4" max="4" width="3" style="55" customWidth="1"/>
    <col min="5" max="14" width="2" style="55" customWidth="1"/>
    <col min="15" max="15" width="10.5" style="55" bestFit="1" customWidth="1"/>
    <col min="16" max="16" width="27.875" style="55" customWidth="1"/>
    <col min="17" max="16384" width="8.875" style="55"/>
  </cols>
  <sheetData>
    <row r="1" spans="1:3" ht="15">
      <c r="A1" s="64" t="s">
        <v>1194</v>
      </c>
    </row>
    <row r="2" spans="1:3" ht="15">
      <c r="A2" s="64"/>
      <c r="B2" s="77" t="s">
        <v>5055</v>
      </c>
      <c r="C2" s="77" t="s">
        <v>5056</v>
      </c>
    </row>
    <row r="3" spans="1:3">
      <c r="A3" s="33"/>
      <c r="B3" s="55" t="s">
        <v>4411</v>
      </c>
    </row>
    <row r="4" spans="1:3">
      <c r="A4" s="33"/>
      <c r="B4" s="55" t="s">
        <v>4597</v>
      </c>
    </row>
    <row r="5" spans="1:3">
      <c r="A5" s="33"/>
      <c r="B5" s="55" t="s">
        <v>4593</v>
      </c>
    </row>
    <row r="6" spans="1:3">
      <c r="A6" s="33"/>
      <c r="B6" s="55" t="s">
        <v>4438</v>
      </c>
      <c r="C6" s="55" t="s">
        <v>4439</v>
      </c>
    </row>
    <row r="7" spans="1:3">
      <c r="B7" s="55" t="s">
        <v>4283</v>
      </c>
      <c r="C7" s="55" t="s">
        <v>4282</v>
      </c>
    </row>
    <row r="8" spans="1:3">
      <c r="B8" s="55" t="s">
        <v>4281</v>
      </c>
      <c r="C8" s="55" t="s">
        <v>4280</v>
      </c>
    </row>
    <row r="9" spans="1:3">
      <c r="B9" s="55" t="s">
        <v>4612</v>
      </c>
      <c r="C9" s="55" t="s">
        <v>4633</v>
      </c>
    </row>
    <row r="10" spans="1:3">
      <c r="B10" s="55" t="s">
        <v>4277</v>
      </c>
      <c r="C10" s="55" t="s">
        <v>4276</v>
      </c>
    </row>
    <row r="11" spans="1:3">
      <c r="B11" s="77" t="s">
        <v>5030</v>
      </c>
    </row>
    <row r="12" spans="1:3">
      <c r="B12" s="55" t="s">
        <v>4273</v>
      </c>
      <c r="C12" s="55" t="s">
        <v>4272</v>
      </c>
    </row>
    <row r="13" spans="1:3">
      <c r="B13" s="77" t="s">
        <v>4834</v>
      </c>
      <c r="C13" s="55" t="s">
        <v>4269</v>
      </c>
    </row>
    <row r="14" spans="1:3">
      <c r="B14" s="55" t="s">
        <v>4591</v>
      </c>
    </row>
    <row r="15" spans="1:3">
      <c r="B15" s="77" t="s">
        <v>4836</v>
      </c>
      <c r="C15" s="77" t="s">
        <v>4580</v>
      </c>
    </row>
    <row r="16" spans="1:3">
      <c r="B16" s="55" t="s">
        <v>4266</v>
      </c>
      <c r="C16" s="55" t="s">
        <v>4265</v>
      </c>
    </row>
    <row r="17" spans="2:3">
      <c r="B17" s="55" t="s">
        <v>4263</v>
      </c>
    </row>
    <row r="18" spans="2:3">
      <c r="B18" s="55" t="s">
        <v>4260</v>
      </c>
      <c r="C18" s="55" t="s">
        <v>4259</v>
      </c>
    </row>
    <row r="19" spans="2:3">
      <c r="B19" s="55" t="s">
        <v>4407</v>
      </c>
    </row>
    <row r="20" spans="2:3">
      <c r="B20" s="55" t="s">
        <v>4256</v>
      </c>
      <c r="C20" s="55" t="s">
        <v>4255</v>
      </c>
    </row>
    <row r="21" spans="2:3">
      <c r="B21" s="55" t="s">
        <v>4436</v>
      </c>
      <c r="C21" s="55" t="s">
        <v>4437</v>
      </c>
    </row>
    <row r="22" spans="2:3">
      <c r="B22" s="55" t="s">
        <v>4252</v>
      </c>
      <c r="C22" s="55" t="s">
        <v>4097</v>
      </c>
    </row>
    <row r="23" spans="2:3">
      <c r="B23" s="55" t="s">
        <v>4249</v>
      </c>
      <c r="C23" s="55" t="s">
        <v>4097</v>
      </c>
    </row>
    <row r="24" spans="2:3">
      <c r="B24" s="55" t="s">
        <v>4245</v>
      </c>
      <c r="C24" s="55" t="s">
        <v>4244</v>
      </c>
    </row>
    <row r="25" spans="2:3">
      <c r="B25" s="55" t="s">
        <v>4241</v>
      </c>
      <c r="C25" s="77" t="s">
        <v>4833</v>
      </c>
    </row>
    <row r="26" spans="2:3">
      <c r="B26" s="55" t="s">
        <v>4239</v>
      </c>
    </row>
    <row r="27" spans="2:3">
      <c r="B27" s="55" t="s">
        <v>4236</v>
      </c>
      <c r="C27" s="55" t="s">
        <v>4235</v>
      </c>
    </row>
    <row r="28" spans="2:3">
      <c r="B28" s="55" t="s">
        <v>4585</v>
      </c>
    </row>
    <row r="29" spans="2:3">
      <c r="B29" s="55" t="s">
        <v>4232</v>
      </c>
      <c r="C29" s="55" t="s">
        <v>4231</v>
      </c>
    </row>
    <row r="30" spans="2:3">
      <c r="B30" s="55" t="s">
        <v>4230</v>
      </c>
      <c r="C30" s="55" t="s">
        <v>4229</v>
      </c>
    </row>
    <row r="31" spans="2:3">
      <c r="B31" s="55" t="s">
        <v>4227</v>
      </c>
    </row>
    <row r="32" spans="2:3">
      <c r="B32" s="55" t="s">
        <v>4623</v>
      </c>
      <c r="C32" s="89" t="s">
        <v>5095</v>
      </c>
    </row>
    <row r="33" spans="2:3">
      <c r="B33" s="55" t="s">
        <v>4224</v>
      </c>
      <c r="C33" s="55" t="s">
        <v>4223</v>
      </c>
    </row>
    <row r="34" spans="2:3">
      <c r="B34" s="55" t="s">
        <v>4614</v>
      </c>
    </row>
    <row r="35" spans="2:3">
      <c r="B35" s="55" t="s">
        <v>4406</v>
      </c>
    </row>
    <row r="36" spans="2:3">
      <c r="B36" s="55" t="s">
        <v>4220</v>
      </c>
      <c r="C36" s="55" t="s">
        <v>4632</v>
      </c>
    </row>
    <row r="37" spans="2:3">
      <c r="B37" s="55" t="s">
        <v>4619</v>
      </c>
      <c r="C37" s="55" t="s">
        <v>4620</v>
      </c>
    </row>
    <row r="38" spans="2:3">
      <c r="B38" s="55" t="s">
        <v>4217</v>
      </c>
      <c r="C38" s="55" t="s">
        <v>4216</v>
      </c>
    </row>
    <row r="39" spans="2:3">
      <c r="B39" s="55" t="s">
        <v>4635</v>
      </c>
      <c r="C39" s="55" t="s">
        <v>4636</v>
      </c>
    </row>
    <row r="40" spans="2:3">
      <c r="B40" s="55" t="s">
        <v>4213</v>
      </c>
    </row>
    <row r="41" spans="2:3">
      <c r="B41" s="55" t="s">
        <v>4211</v>
      </c>
      <c r="C41" s="55" t="s">
        <v>4210</v>
      </c>
    </row>
    <row r="42" spans="2:3">
      <c r="B42" s="55" t="s">
        <v>4420</v>
      </c>
    </row>
    <row r="43" spans="2:3">
      <c r="B43" s="55" t="s">
        <v>1279</v>
      </c>
      <c r="C43" s="55" t="s">
        <v>4424</v>
      </c>
    </row>
    <row r="44" spans="2:3">
      <c r="B44" s="55" t="s">
        <v>4592</v>
      </c>
      <c r="C44" s="77" t="s">
        <v>4580</v>
      </c>
    </row>
    <row r="45" spans="2:3">
      <c r="B45" s="55" t="s">
        <v>4604</v>
      </c>
    </row>
    <row r="46" spans="2:3">
      <c r="B46" s="55" t="s">
        <v>4206</v>
      </c>
      <c r="C46" s="55" t="s">
        <v>4205</v>
      </c>
    </row>
    <row r="47" spans="2:3">
      <c r="B47" s="55" t="s">
        <v>4202</v>
      </c>
      <c r="C47" s="55" t="s">
        <v>4631</v>
      </c>
    </row>
    <row r="48" spans="2:3">
      <c r="B48" s="55" t="s">
        <v>4590</v>
      </c>
    </row>
    <row r="49" spans="2:3">
      <c r="B49" s="55" t="s">
        <v>4199</v>
      </c>
      <c r="C49" s="55" t="s">
        <v>4198</v>
      </c>
    </row>
    <row r="50" spans="2:3">
      <c r="B50" s="55" t="s">
        <v>4628</v>
      </c>
      <c r="C50" s="55" t="s">
        <v>4629</v>
      </c>
    </row>
    <row r="51" spans="2:3">
      <c r="B51" s="55" t="s">
        <v>4197</v>
      </c>
      <c r="C51" s="77" t="s">
        <v>4830</v>
      </c>
    </row>
    <row r="52" spans="2:3">
      <c r="B52" s="55" t="s">
        <v>4196</v>
      </c>
    </row>
    <row r="53" spans="2:3">
      <c r="B53" s="77" t="s">
        <v>4832</v>
      </c>
    </row>
    <row r="54" spans="2:3">
      <c r="B54" s="55" t="s">
        <v>4616</v>
      </c>
    </row>
    <row r="55" spans="2:3">
      <c r="B55" s="55" t="s">
        <v>4195</v>
      </c>
    </row>
    <row r="56" spans="2:3">
      <c r="B56" s="55" t="s">
        <v>4194</v>
      </c>
      <c r="C56" s="55" t="s">
        <v>4193</v>
      </c>
    </row>
    <row r="57" spans="2:3">
      <c r="B57" s="55" t="s">
        <v>4426</v>
      </c>
      <c r="C57" s="55" t="s">
        <v>4427</v>
      </c>
    </row>
    <row r="58" spans="2:3">
      <c r="B58" s="55" t="s">
        <v>4192</v>
      </c>
      <c r="C58" s="55" t="s">
        <v>4191</v>
      </c>
    </row>
    <row r="59" spans="2:3">
      <c r="B59" s="55" t="s">
        <v>4190</v>
      </c>
      <c r="C59" s="55" t="s">
        <v>4189</v>
      </c>
    </row>
    <row r="60" spans="2:3">
      <c r="B60" s="55" t="s">
        <v>4188</v>
      </c>
    </row>
    <row r="61" spans="2:3">
      <c r="B61" s="55" t="s">
        <v>4187</v>
      </c>
      <c r="C61" s="55" t="s">
        <v>4186</v>
      </c>
    </row>
    <row r="62" spans="2:3">
      <c r="B62" s="55" t="s">
        <v>4185</v>
      </c>
      <c r="C62" s="55" t="s">
        <v>4184</v>
      </c>
    </row>
    <row r="63" spans="2:3">
      <c r="B63" s="55" t="s">
        <v>4183</v>
      </c>
      <c r="C63" s="55" t="s">
        <v>4182</v>
      </c>
    </row>
    <row r="64" spans="2:3">
      <c r="B64" s="55" t="s">
        <v>4181</v>
      </c>
      <c r="C64" s="77" t="s">
        <v>4835</v>
      </c>
    </row>
    <row r="65" spans="2:3">
      <c r="B65" s="55" t="s">
        <v>4180</v>
      </c>
      <c r="C65" s="55" t="s">
        <v>4179</v>
      </c>
    </row>
    <row r="66" spans="2:3">
      <c r="B66" s="55" t="s">
        <v>4178</v>
      </c>
      <c r="C66" s="55" t="s">
        <v>4177</v>
      </c>
    </row>
    <row r="67" spans="2:3">
      <c r="B67" s="55" t="s">
        <v>4615</v>
      </c>
    </row>
    <row r="68" spans="2:3">
      <c r="B68" s="77" t="s">
        <v>5051</v>
      </c>
      <c r="C68" s="77" t="s">
        <v>5052</v>
      </c>
    </row>
    <row r="69" spans="2:3">
      <c r="B69" s="55" t="s">
        <v>939</v>
      </c>
      <c r="C69" s="55" t="s">
        <v>4609</v>
      </c>
    </row>
    <row r="70" spans="2:3">
      <c r="B70" s="77" t="s">
        <v>5060</v>
      </c>
      <c r="C70" s="77" t="s">
        <v>5061</v>
      </c>
    </row>
    <row r="71" spans="2:3">
      <c r="B71" s="55" t="s">
        <v>4608</v>
      </c>
    </row>
    <row r="72" spans="2:3">
      <c r="B72" s="55" t="s">
        <v>4415</v>
      </c>
      <c r="C72" s="55" t="s">
        <v>4416</v>
      </c>
    </row>
    <row r="73" spans="2:3">
      <c r="B73" s="55" t="s">
        <v>4621</v>
      </c>
      <c r="C73" s="55" t="s">
        <v>4622</v>
      </c>
    </row>
    <row r="74" spans="2:3">
      <c r="B74" s="55" t="s">
        <v>4405</v>
      </c>
    </row>
    <row r="75" spans="2:3">
      <c r="B75" s="55" t="s">
        <v>4176</v>
      </c>
      <c r="C75" s="55" t="s">
        <v>4175</v>
      </c>
    </row>
    <row r="76" spans="2:3">
      <c r="B76" s="55" t="s">
        <v>4174</v>
      </c>
    </row>
    <row r="77" spans="2:3">
      <c r="B77" s="55" t="s">
        <v>4173</v>
      </c>
      <c r="C77" s="55" t="s">
        <v>4172</v>
      </c>
    </row>
    <row r="78" spans="2:3">
      <c r="B78" s="55" t="s">
        <v>4605</v>
      </c>
    </row>
    <row r="79" spans="2:3">
      <c r="B79" s="55" t="s">
        <v>4598</v>
      </c>
    </row>
    <row r="80" spans="2:3">
      <c r="B80" s="55" t="s">
        <v>4171</v>
      </c>
      <c r="C80" s="55" t="s">
        <v>4170</v>
      </c>
    </row>
    <row r="81" spans="2:3">
      <c r="B81" s="55" t="s">
        <v>4169</v>
      </c>
      <c r="C81" s="55" t="s">
        <v>4168</v>
      </c>
    </row>
    <row r="82" spans="2:3">
      <c r="B82" s="55" t="s">
        <v>4167</v>
      </c>
      <c r="C82" s="55" t="s">
        <v>4166</v>
      </c>
    </row>
    <row r="83" spans="2:3">
      <c r="B83" s="55" t="s">
        <v>4165</v>
      </c>
      <c r="C83" s="89" t="s">
        <v>5102</v>
      </c>
    </row>
    <row r="84" spans="2:3">
      <c r="B84" s="55" t="s">
        <v>4164</v>
      </c>
    </row>
    <row r="85" spans="2:3">
      <c r="B85" s="55" t="s">
        <v>4163</v>
      </c>
      <c r="C85" s="55" t="s">
        <v>4606</v>
      </c>
    </row>
    <row r="86" spans="2:3">
      <c r="B86" s="63" t="s">
        <v>4162</v>
      </c>
      <c r="C86" s="63" t="s">
        <v>4161</v>
      </c>
    </row>
    <row r="87" spans="2:3">
      <c r="B87" s="55" t="s">
        <v>4624</v>
      </c>
      <c r="C87" s="55" t="s">
        <v>4625</v>
      </c>
    </row>
    <row r="88" spans="2:3">
      <c r="B88" s="55" t="s">
        <v>4421</v>
      </c>
      <c r="C88" s="55" t="s">
        <v>4422</v>
      </c>
    </row>
    <row r="89" spans="2:3">
      <c r="B89" s="55" t="s">
        <v>4596</v>
      </c>
    </row>
    <row r="90" spans="2:3">
      <c r="B90" s="55" t="s">
        <v>4160</v>
      </c>
      <c r="C90" s="55" t="s">
        <v>4159</v>
      </c>
    </row>
    <row r="91" spans="2:3">
      <c r="B91" s="55" t="s">
        <v>4158</v>
      </c>
      <c r="C91" s="55" t="s">
        <v>4157</v>
      </c>
    </row>
    <row r="92" spans="2:3">
      <c r="B92" s="55" t="s">
        <v>4156</v>
      </c>
      <c r="C92" s="55" t="s">
        <v>4155</v>
      </c>
    </row>
    <row r="93" spans="2:3">
      <c r="B93" s="55" t="s">
        <v>4428</v>
      </c>
      <c r="C93" s="55" t="s">
        <v>4429</v>
      </c>
    </row>
    <row r="94" spans="2:3">
      <c r="B94" s="55" t="s">
        <v>4154</v>
      </c>
      <c r="C94" s="55" t="s">
        <v>4423</v>
      </c>
    </row>
    <row r="95" spans="2:3">
      <c r="B95" s="55" t="s">
        <v>4153</v>
      </c>
      <c r="C95" s="55" t="s">
        <v>4148</v>
      </c>
    </row>
    <row r="96" spans="2:3">
      <c r="B96" s="55" t="s">
        <v>4413</v>
      </c>
      <c r="C96" s="55" t="s">
        <v>4414</v>
      </c>
    </row>
    <row r="97" spans="2:3">
      <c r="B97" s="55" t="s">
        <v>4588</v>
      </c>
    </row>
    <row r="98" spans="2:3">
      <c r="B98" s="55" t="s">
        <v>4152</v>
      </c>
      <c r="C98" s="89" t="s">
        <v>4151</v>
      </c>
    </row>
    <row r="99" spans="2:3">
      <c r="B99" s="55" t="s">
        <v>4150</v>
      </c>
      <c r="C99" s="55" t="s">
        <v>4097</v>
      </c>
    </row>
    <row r="100" spans="2:3">
      <c r="B100" s="55" t="s">
        <v>4626</v>
      </c>
      <c r="C100" s="55" t="s">
        <v>4627</v>
      </c>
    </row>
    <row r="101" spans="2:3">
      <c r="B101" s="55" t="s">
        <v>4149</v>
      </c>
      <c r="C101" s="55" t="s">
        <v>4148</v>
      </c>
    </row>
    <row r="102" spans="2:3">
      <c r="B102" s="55" t="s">
        <v>4147</v>
      </c>
      <c r="C102" s="55" t="s">
        <v>4146</v>
      </c>
    </row>
    <row r="103" spans="2:3">
      <c r="B103" s="55" t="s">
        <v>4410</v>
      </c>
    </row>
    <row r="104" spans="2:3">
      <c r="B104" s="55" t="s">
        <v>4409</v>
      </c>
    </row>
    <row r="105" spans="2:3">
      <c r="B105" s="55" t="s">
        <v>4145</v>
      </c>
    </row>
    <row r="106" spans="2:3">
      <c r="B106" s="55" t="s">
        <v>4144</v>
      </c>
    </row>
    <row r="107" spans="2:3">
      <c r="B107" s="55" t="s">
        <v>4143</v>
      </c>
      <c r="C107" s="55" t="s">
        <v>4142</v>
      </c>
    </row>
    <row r="108" spans="2:3">
      <c r="B108" s="55" t="s">
        <v>4586</v>
      </c>
    </row>
    <row r="109" spans="2:3">
      <c r="B109" s="55" t="s">
        <v>4582</v>
      </c>
    </row>
    <row r="110" spans="2:3">
      <c r="B110" s="55" t="s">
        <v>4408</v>
      </c>
    </row>
    <row r="111" spans="2:3">
      <c r="B111" s="55" t="s">
        <v>4434</v>
      </c>
      <c r="C111" s="55" t="s">
        <v>4435</v>
      </c>
    </row>
    <row r="112" spans="2:3">
      <c r="B112" s="55" t="s">
        <v>4584</v>
      </c>
    </row>
    <row r="113" spans="2:3">
      <c r="B113" s="55" t="s">
        <v>4403</v>
      </c>
      <c r="C113" s="55" t="s">
        <v>4404</v>
      </c>
    </row>
    <row r="114" spans="2:3">
      <c r="B114" s="55" t="s">
        <v>4618</v>
      </c>
    </row>
    <row r="115" spans="2:3">
      <c r="B115" s="55" t="s">
        <v>4581</v>
      </c>
    </row>
    <row r="116" spans="2:3">
      <c r="B116" s="55" t="s">
        <v>4141</v>
      </c>
      <c r="C116" s="55" t="s">
        <v>4140</v>
      </c>
    </row>
    <row r="117" spans="2:3">
      <c r="B117" s="55" t="s">
        <v>4583</v>
      </c>
    </row>
    <row r="118" spans="2:3">
      <c r="B118" s="89" t="s">
        <v>5098</v>
      </c>
      <c r="C118" s="89" t="s">
        <v>5099</v>
      </c>
    </row>
    <row r="119" spans="2:3">
      <c r="B119" s="77" t="s">
        <v>5053</v>
      </c>
      <c r="C119" s="77" t="s">
        <v>5054</v>
      </c>
    </row>
    <row r="120" spans="2:3">
      <c r="B120" s="55" t="s">
        <v>4599</v>
      </c>
    </row>
    <row r="121" spans="2:3">
      <c r="B121" s="55" t="s">
        <v>4139</v>
      </c>
      <c r="C121" s="89" t="s">
        <v>5096</v>
      </c>
    </row>
    <row r="122" spans="2:3">
      <c r="B122" s="55" t="s">
        <v>4610</v>
      </c>
      <c r="C122" s="55" t="s">
        <v>4611</v>
      </c>
    </row>
    <row r="123" spans="2:3">
      <c r="B123" s="55" t="s">
        <v>4600</v>
      </c>
    </row>
    <row r="124" spans="2:3">
      <c r="B124" s="55" t="s">
        <v>4613</v>
      </c>
      <c r="C124" s="89" t="s">
        <v>5097</v>
      </c>
    </row>
    <row r="125" spans="2:3">
      <c r="B125" s="77" t="s">
        <v>5064</v>
      </c>
      <c r="C125" s="77" t="s">
        <v>5065</v>
      </c>
    </row>
    <row r="126" spans="2:3">
      <c r="B126" s="55" t="s">
        <v>4138</v>
      </c>
      <c r="C126" s="89" t="s">
        <v>4607</v>
      </c>
    </row>
    <row r="127" spans="2:3">
      <c r="B127" s="55" t="s">
        <v>4603</v>
      </c>
    </row>
    <row r="128" spans="2:3">
      <c r="B128" s="55" t="s">
        <v>4579</v>
      </c>
      <c r="C128" s="55" t="s">
        <v>4580</v>
      </c>
    </row>
    <row r="129" spans="2:3">
      <c r="B129" s="77" t="s">
        <v>5062</v>
      </c>
      <c r="C129" s="77" t="s">
        <v>5063</v>
      </c>
    </row>
    <row r="130" spans="2:3">
      <c r="B130" s="55" t="s">
        <v>4630</v>
      </c>
      <c r="C130" s="89" t="s">
        <v>4634</v>
      </c>
    </row>
    <row r="131" spans="2:3">
      <c r="B131" s="55" t="s">
        <v>4137</v>
      </c>
      <c r="C131" s="55" t="s">
        <v>4136</v>
      </c>
    </row>
    <row r="132" spans="2:3">
      <c r="B132" s="55" t="s">
        <v>4135</v>
      </c>
    </row>
    <row r="133" spans="2:3">
      <c r="B133" s="55" t="s">
        <v>4134</v>
      </c>
    </row>
    <row r="134" spans="2:3">
      <c r="B134" s="55" t="s">
        <v>4133</v>
      </c>
      <c r="C134" s="55" t="s">
        <v>4097</v>
      </c>
    </row>
    <row r="135" spans="2:3">
      <c r="B135" s="55" t="s">
        <v>4132</v>
      </c>
      <c r="C135" s="89" t="s">
        <v>4131</v>
      </c>
    </row>
    <row r="136" spans="2:3">
      <c r="B136" s="55" t="s">
        <v>4130</v>
      </c>
    </row>
    <row r="137" spans="2:3">
      <c r="B137" s="55" t="s">
        <v>4587</v>
      </c>
    </row>
    <row r="138" spans="2:3">
      <c r="B138" s="55" t="s">
        <v>4129</v>
      </c>
      <c r="C138" s="55" t="s">
        <v>4128</v>
      </c>
    </row>
    <row r="139" spans="2:3">
      <c r="B139" s="55" t="s">
        <v>4127</v>
      </c>
      <c r="C139" s="55" t="s">
        <v>4126</v>
      </c>
    </row>
    <row r="140" spans="2:3">
      <c r="B140" s="55" t="s">
        <v>4601</v>
      </c>
      <c r="C140" s="55" t="s">
        <v>4602</v>
      </c>
    </row>
    <row r="141" spans="2:3">
      <c r="B141" s="77" t="s">
        <v>5056</v>
      </c>
      <c r="C141" s="77" t="s">
        <v>5057</v>
      </c>
    </row>
    <row r="142" spans="2:3">
      <c r="B142" s="55" t="s">
        <v>4125</v>
      </c>
      <c r="C142" s="55" t="s">
        <v>4124</v>
      </c>
    </row>
    <row r="143" spans="2:3">
      <c r="B143" s="77" t="s">
        <v>5066</v>
      </c>
      <c r="C143" s="77" t="s">
        <v>5067</v>
      </c>
    </row>
    <row r="144" spans="2:3">
      <c r="B144" s="55" t="s">
        <v>4589</v>
      </c>
    </row>
    <row r="145" spans="2:3">
      <c r="B145" s="63" t="s">
        <v>4123</v>
      </c>
      <c r="C145" s="63" t="s">
        <v>4419</v>
      </c>
    </row>
    <row r="146" spans="2:3">
      <c r="B146" s="55" t="s">
        <v>4122</v>
      </c>
      <c r="C146" s="63"/>
    </row>
    <row r="147" spans="2:3">
      <c r="B147" s="55" t="s">
        <v>4121</v>
      </c>
    </row>
    <row r="148" spans="2:3">
      <c r="B148" s="55" t="s">
        <v>4120</v>
      </c>
      <c r="C148" s="55" t="s">
        <v>4119</v>
      </c>
    </row>
    <row r="149" spans="2:3">
      <c r="B149" s="55" t="s">
        <v>4118</v>
      </c>
      <c r="C149" s="55" t="s">
        <v>4117</v>
      </c>
    </row>
    <row r="150" spans="2:3">
      <c r="B150" s="55" t="s">
        <v>4116</v>
      </c>
    </row>
    <row r="151" spans="2:3">
      <c r="B151" s="55" t="s">
        <v>4115</v>
      </c>
      <c r="C151" s="55" t="s">
        <v>4114</v>
      </c>
    </row>
    <row r="152" spans="2:3">
      <c r="B152" s="55" t="s">
        <v>4417</v>
      </c>
      <c r="C152" s="55" t="s">
        <v>4418</v>
      </c>
    </row>
    <row r="153" spans="2:3">
      <c r="B153" s="55" t="s">
        <v>4113</v>
      </c>
      <c r="C153" s="55" t="s">
        <v>4112</v>
      </c>
    </row>
    <row r="154" spans="2:3">
      <c r="B154" s="55" t="s">
        <v>4111</v>
      </c>
      <c r="C154" s="55" t="s">
        <v>4110</v>
      </c>
    </row>
    <row r="155" spans="2:3">
      <c r="B155" s="55" t="s">
        <v>4617</v>
      </c>
    </row>
    <row r="156" spans="2:3">
      <c r="B156" s="55" t="s">
        <v>4594</v>
      </c>
    </row>
    <row r="157" spans="2:3">
      <c r="B157" s="55" t="s">
        <v>4595</v>
      </c>
    </row>
    <row r="158" spans="2:3">
      <c r="B158" s="77" t="s">
        <v>5058</v>
      </c>
      <c r="C158" s="77" t="s">
        <v>5059</v>
      </c>
    </row>
    <row r="159" spans="2:3">
      <c r="B159" s="55" t="s">
        <v>4412</v>
      </c>
    </row>
    <row r="160" spans="2:3">
      <c r="B160" s="55" t="s">
        <v>4109</v>
      </c>
      <c r="C160" s="55" t="s">
        <v>4108</v>
      </c>
    </row>
    <row r="161" spans="2:3">
      <c r="B161" s="55" t="s">
        <v>4107</v>
      </c>
    </row>
    <row r="162" spans="2:3">
      <c r="B162" s="55" t="s">
        <v>4106</v>
      </c>
      <c r="C162" s="55" t="s">
        <v>4105</v>
      </c>
    </row>
    <row r="163" spans="2:3">
      <c r="B163" s="55" t="s">
        <v>4104</v>
      </c>
      <c r="C163" s="55" t="s">
        <v>4103</v>
      </c>
    </row>
    <row r="164" spans="2:3">
      <c r="B164" s="55" t="s">
        <v>4102</v>
      </c>
      <c r="C164" s="55" t="s">
        <v>4101</v>
      </c>
    </row>
    <row r="165" spans="2:3">
      <c r="B165" s="77" t="s">
        <v>4837</v>
      </c>
      <c r="C165" s="77" t="s">
        <v>4839</v>
      </c>
    </row>
    <row r="166" spans="2:3">
      <c r="B166" s="77" t="s">
        <v>4838</v>
      </c>
      <c r="C166" s="77" t="s">
        <v>4580</v>
      </c>
    </row>
    <row r="167" spans="2:3">
      <c r="B167" s="94" t="s">
        <v>5184</v>
      </c>
      <c r="C167" s="94" t="s">
        <v>5185</v>
      </c>
    </row>
    <row r="168" spans="2:3">
      <c r="B168" s="55" t="s">
        <v>4100</v>
      </c>
      <c r="C168" s="55" t="s">
        <v>4099</v>
      </c>
    </row>
    <row r="169" spans="2:3">
      <c r="B169" s="89" t="s">
        <v>5100</v>
      </c>
      <c r="C169" s="89" t="s">
        <v>5101</v>
      </c>
    </row>
    <row r="170" spans="2:3">
      <c r="B170" s="55" t="s">
        <v>4098</v>
      </c>
      <c r="C170" s="55" t="s">
        <v>4097</v>
      </c>
    </row>
    <row r="171" spans="2:3">
      <c r="B171" s="55" t="s">
        <v>4096</v>
      </c>
      <c r="C171" s="55" t="s">
        <v>4095</v>
      </c>
    </row>
    <row r="172" spans="2:3">
      <c r="B172" s="55" t="s">
        <v>4094</v>
      </c>
    </row>
    <row r="173" spans="2:3">
      <c r="B173" s="55" t="s">
        <v>4093</v>
      </c>
      <c r="C173" s="55" t="s">
        <v>4092</v>
      </c>
    </row>
    <row r="174" spans="2:3">
      <c r="B174" s="55" t="s">
        <v>4091</v>
      </c>
      <c r="C174" s="55" t="s">
        <v>4090</v>
      </c>
    </row>
    <row r="175" spans="2:3">
      <c r="B175" s="55" t="s">
        <v>4430</v>
      </c>
      <c r="C175" s="55" t="s">
        <v>4431</v>
      </c>
    </row>
    <row r="179" spans="2:26">
      <c r="B179" s="55" t="s">
        <v>4089</v>
      </c>
    </row>
    <row r="181" spans="2:26">
      <c r="C181" s="59"/>
      <c r="D181" s="58"/>
      <c r="F181" s="58"/>
      <c r="G181" s="57"/>
      <c r="O181" s="56"/>
      <c r="P181" s="56"/>
      <c r="Q181" s="56"/>
      <c r="R181" s="56"/>
      <c r="S181" s="56"/>
      <c r="T181" s="56"/>
      <c r="U181" s="56"/>
      <c r="V181" s="56"/>
      <c r="W181" s="56"/>
      <c r="X181" s="56"/>
      <c r="Y181" s="56"/>
      <c r="Z181" s="56"/>
    </row>
    <row r="182" spans="2:26">
      <c r="B182" s="62" t="s">
        <v>4088</v>
      </c>
      <c r="C182" s="59"/>
      <c r="D182" s="58"/>
      <c r="F182" s="58"/>
      <c r="G182" s="57"/>
      <c r="O182" s="56"/>
      <c r="P182" s="56"/>
      <c r="Q182" s="56"/>
      <c r="R182" s="56"/>
      <c r="S182" s="56"/>
      <c r="T182" s="56"/>
      <c r="U182" s="56"/>
      <c r="V182" s="56"/>
      <c r="W182" s="56"/>
      <c r="X182" s="56"/>
      <c r="Y182" s="56"/>
      <c r="Z182" s="56"/>
    </row>
    <row r="183" spans="2:26">
      <c r="B183" s="55" t="s">
        <v>4087</v>
      </c>
      <c r="C183" s="55" t="s">
        <v>4086</v>
      </c>
      <c r="D183" s="61" t="s">
        <v>4085</v>
      </c>
      <c r="F183" s="58"/>
      <c r="G183" s="57"/>
      <c r="O183" s="56"/>
      <c r="P183" s="56"/>
      <c r="Q183" s="56"/>
      <c r="R183" s="56"/>
      <c r="S183" s="56"/>
      <c r="T183" s="56"/>
      <c r="U183" s="56"/>
      <c r="V183" s="56"/>
      <c r="W183" s="56"/>
      <c r="X183" s="56"/>
      <c r="Y183" s="56"/>
      <c r="Z183" s="56"/>
    </row>
    <row r="184" spans="2:26">
      <c r="B184" s="55" t="s">
        <v>4084</v>
      </c>
      <c r="C184" s="59"/>
      <c r="D184" s="58"/>
      <c r="F184" s="58"/>
      <c r="G184" s="57"/>
      <c r="O184" s="56"/>
      <c r="P184" s="56"/>
      <c r="Q184" s="56"/>
      <c r="R184" s="56"/>
      <c r="S184" s="56"/>
      <c r="T184" s="56"/>
      <c r="U184" s="56"/>
      <c r="V184" s="56"/>
      <c r="W184" s="56"/>
      <c r="X184" s="56"/>
      <c r="Y184" s="56"/>
      <c r="Z184" s="56"/>
    </row>
    <row r="185" spans="2:26">
      <c r="B185" s="55" t="s">
        <v>4083</v>
      </c>
      <c r="C185" s="61" t="s">
        <v>4082</v>
      </c>
      <c r="D185" s="58"/>
      <c r="F185" s="58"/>
      <c r="G185" s="57"/>
      <c r="O185" s="56"/>
      <c r="P185" s="56"/>
      <c r="Q185" s="56"/>
      <c r="R185" s="56"/>
      <c r="S185" s="56"/>
      <c r="T185" s="56"/>
      <c r="U185" s="56"/>
      <c r="V185" s="56"/>
      <c r="W185" s="56"/>
      <c r="X185" s="56"/>
      <c r="Y185" s="56"/>
      <c r="Z185" s="56"/>
    </row>
    <row r="186" spans="2:26">
      <c r="B186" s="55" t="s">
        <v>4081</v>
      </c>
      <c r="C186" s="61" t="s">
        <v>4080</v>
      </c>
      <c r="D186" s="58"/>
      <c r="F186" s="58"/>
      <c r="G186" s="57"/>
      <c r="O186" s="56"/>
      <c r="P186" s="56"/>
      <c r="Q186" s="56"/>
      <c r="R186" s="56"/>
      <c r="S186" s="56"/>
      <c r="T186" s="56"/>
      <c r="U186" s="56"/>
      <c r="V186" s="56"/>
      <c r="W186" s="56"/>
      <c r="X186" s="56"/>
      <c r="Y186" s="56"/>
      <c r="Z186" s="56"/>
    </row>
    <row r="187" spans="2:26">
      <c r="B187" s="55" t="s">
        <v>4079</v>
      </c>
      <c r="C187" s="60" t="s">
        <v>4078</v>
      </c>
      <c r="D187" s="58"/>
      <c r="F187" s="58"/>
      <c r="G187" s="57"/>
      <c r="O187" s="56"/>
      <c r="P187" s="56"/>
      <c r="Q187" s="56"/>
      <c r="R187" s="56"/>
      <c r="S187" s="56"/>
      <c r="T187" s="56"/>
      <c r="U187" s="56"/>
      <c r="V187" s="56"/>
      <c r="W187" s="56"/>
      <c r="X187" s="56"/>
      <c r="Y187" s="56"/>
      <c r="Z187" s="56"/>
    </row>
    <row r="188" spans="2:26">
      <c r="C188" s="59"/>
      <c r="D188" s="58"/>
      <c r="F188" s="58"/>
      <c r="G188" s="57"/>
      <c r="O188" s="56"/>
      <c r="P188" s="56"/>
      <c r="Q188" s="56"/>
      <c r="R188" s="56"/>
      <c r="S188" s="56"/>
      <c r="T188" s="56"/>
      <c r="U188" s="56"/>
      <c r="V188" s="56"/>
      <c r="W188" s="56"/>
      <c r="X188" s="56"/>
      <c r="Y188" s="56"/>
      <c r="Z188" s="56"/>
    </row>
  </sheetData>
  <hyperlinks>
    <hyperlink ref="C185" r:id="rId1" xr:uid="{10858B8D-B9B6-E747-90C5-F7D1854E7AA1}"/>
    <hyperlink ref="D183" r:id="rId2" xr:uid="{8DDB9069-F31A-4B44-BEE7-10A7487A4BC2}"/>
    <hyperlink ref="C186" r:id="rId3" xr:uid="{D0E2D237-FDAD-9440-B97E-AF3649197E9B}"/>
    <hyperlink ref="C187"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D123"/>
  <sheetViews>
    <sheetView zoomScaleNormal="100" workbookViewId="0">
      <selection activeCell="C2" sqref="C2"/>
    </sheetView>
  </sheetViews>
  <sheetFormatPr defaultColWidth="8.875" defaultRowHeight="12.75"/>
  <cols>
    <col min="1" max="16384" width="8.875" style="55"/>
  </cols>
  <sheetData>
    <row r="1" spans="1:3">
      <c r="A1" s="77" t="s">
        <v>1194</v>
      </c>
    </row>
    <row r="2" spans="1:3">
      <c r="B2" s="63" t="s">
        <v>4395</v>
      </c>
      <c r="C2" s="77" t="s">
        <v>5032</v>
      </c>
    </row>
    <row r="3" spans="1:3">
      <c r="B3" s="55" t="s">
        <v>4394</v>
      </c>
    </row>
    <row r="6" spans="1:3">
      <c r="B6" s="55" t="s">
        <v>4393</v>
      </c>
    </row>
    <row r="7" spans="1:3">
      <c r="B7" s="55" t="s">
        <v>4392</v>
      </c>
    </row>
    <row r="8" spans="1:3">
      <c r="B8" s="55" t="s">
        <v>4391</v>
      </c>
    </row>
    <row r="9" spans="1:3">
      <c r="B9" s="55" t="s">
        <v>4390</v>
      </c>
    </row>
    <row r="10" spans="1:3">
      <c r="B10" s="55" t="s">
        <v>4389</v>
      </c>
    </row>
    <row r="11" spans="1:3">
      <c r="B11" s="55" t="s">
        <v>4388</v>
      </c>
    </row>
    <row r="12" spans="1:3">
      <c r="B12" s="55" t="s">
        <v>4387</v>
      </c>
    </row>
    <row r="13" spans="1:3">
      <c r="B13" s="55" t="s">
        <v>4386</v>
      </c>
    </row>
    <row r="14" spans="1:3">
      <c r="B14" s="55" t="s">
        <v>4385</v>
      </c>
    </row>
    <row r="15" spans="1:3">
      <c r="B15" s="55" t="s">
        <v>4384</v>
      </c>
    </row>
    <row r="23" spans="2:3">
      <c r="B23" s="55" t="s">
        <v>4383</v>
      </c>
    </row>
    <row r="24" spans="2:3">
      <c r="C24" s="55" t="s">
        <v>4382</v>
      </c>
    </row>
    <row r="25" spans="2:3">
      <c r="C25" s="55" t="s">
        <v>4381</v>
      </c>
    </row>
    <row r="26" spans="2:3">
      <c r="C26" s="55" t="s">
        <v>4380</v>
      </c>
    </row>
    <row r="27" spans="2:3">
      <c r="C27" s="55" t="s">
        <v>4379</v>
      </c>
    </row>
    <row r="28" spans="2:3">
      <c r="C28" s="55" t="s">
        <v>4378</v>
      </c>
    </row>
    <row r="29" spans="2:3">
      <c r="C29" s="55" t="s">
        <v>4377</v>
      </c>
    </row>
    <row r="30" spans="2:3">
      <c r="C30" s="55" t="s">
        <v>4376</v>
      </c>
    </row>
    <row r="31" spans="2:3">
      <c r="C31" s="55" t="s">
        <v>4375</v>
      </c>
    </row>
    <row r="32" spans="2:3">
      <c r="C32" s="55" t="s">
        <v>4374</v>
      </c>
    </row>
    <row r="34" spans="2:2">
      <c r="B34" s="62" t="s">
        <v>4373</v>
      </c>
    </row>
    <row r="35" spans="2:2">
      <c r="B35" s="55" t="s">
        <v>4372</v>
      </c>
    </row>
    <row r="36" spans="2:2">
      <c r="B36" s="55" t="s">
        <v>4371</v>
      </c>
    </row>
    <row r="37" spans="2:2">
      <c r="B37" s="55" t="s">
        <v>4370</v>
      </c>
    </row>
    <row r="38" spans="2:2">
      <c r="B38" s="55" t="s">
        <v>4369</v>
      </c>
    </row>
    <row r="39" spans="2:2">
      <c r="B39" s="55" t="s">
        <v>4368</v>
      </c>
    </row>
    <row r="40" spans="2:2">
      <c r="B40" s="55" t="s">
        <v>4367</v>
      </c>
    </row>
    <row r="41" spans="2:2">
      <c r="B41" s="55" t="s">
        <v>4366</v>
      </c>
    </row>
    <row r="42" spans="2:2">
      <c r="B42" s="55" t="s">
        <v>4365</v>
      </c>
    </row>
    <row r="43" spans="2:2">
      <c r="B43" s="55" t="s">
        <v>4364</v>
      </c>
    </row>
    <row r="44" spans="2:2">
      <c r="B44" s="55" t="s">
        <v>4363</v>
      </c>
    </row>
    <row r="48" spans="2:2">
      <c r="B48" s="63" t="s">
        <v>4362</v>
      </c>
    </row>
    <row r="49" spans="2:3">
      <c r="B49" s="63" t="s">
        <v>4361</v>
      </c>
      <c r="C49" s="55" t="s">
        <v>4360</v>
      </c>
    </row>
    <row r="50" spans="2:3">
      <c r="B50" s="55" t="s">
        <v>4359</v>
      </c>
      <c r="C50" s="55" t="s">
        <v>4358</v>
      </c>
    </row>
    <row r="51" spans="2:3">
      <c r="C51" s="55" t="s">
        <v>4357</v>
      </c>
    </row>
    <row r="52" spans="2:3">
      <c r="C52" s="63" t="s">
        <v>4356</v>
      </c>
    </row>
    <row r="53" spans="2:3">
      <c r="C53" s="55" t="s">
        <v>4355</v>
      </c>
    </row>
    <row r="54" spans="2:3">
      <c r="C54" s="55" t="s">
        <v>4354</v>
      </c>
    </row>
    <row r="55" spans="2:3">
      <c r="C55" s="55" t="s">
        <v>4353</v>
      </c>
    </row>
    <row r="56" spans="2:3">
      <c r="C56" s="55" t="s">
        <v>4352</v>
      </c>
    </row>
    <row r="57" spans="2:3">
      <c r="C57" s="55" t="s">
        <v>4351</v>
      </c>
    </row>
    <row r="58" spans="2:3">
      <c r="C58" s="55" t="s">
        <v>4350</v>
      </c>
    </row>
    <row r="59" spans="2:3">
      <c r="C59" s="55" t="s">
        <v>4349</v>
      </c>
    </row>
    <row r="60" spans="2:3">
      <c r="C60" s="55" t="s">
        <v>4348</v>
      </c>
    </row>
    <row r="61" spans="2:3">
      <c r="C61" s="55" t="s">
        <v>4347</v>
      </c>
    </row>
    <row r="62" spans="2:3">
      <c r="C62" s="55" t="s">
        <v>4346</v>
      </c>
    </row>
    <row r="63" spans="2:3">
      <c r="C63" s="55" t="s">
        <v>4345</v>
      </c>
    </row>
    <row r="64" spans="2:3">
      <c r="C64" s="55" t="s">
        <v>4344</v>
      </c>
    </row>
    <row r="65" spans="3:3">
      <c r="C65" s="55" t="s">
        <v>4343</v>
      </c>
    </row>
    <row r="66" spans="3:3">
      <c r="C66" s="55" t="s">
        <v>4342</v>
      </c>
    </row>
    <row r="67" spans="3:3">
      <c r="C67" s="55" t="s">
        <v>4341</v>
      </c>
    </row>
    <row r="68" spans="3:3">
      <c r="C68" s="55" t="s">
        <v>4340</v>
      </c>
    </row>
    <row r="69" spans="3:3">
      <c r="C69" s="55" t="s">
        <v>4339</v>
      </c>
    </row>
    <row r="70" spans="3:3">
      <c r="C70" s="55" t="s">
        <v>4338</v>
      </c>
    </row>
    <row r="71" spans="3:3">
      <c r="C71" s="55" t="s">
        <v>4337</v>
      </c>
    </row>
    <row r="72" spans="3:3">
      <c r="C72" s="55" t="s">
        <v>4336</v>
      </c>
    </row>
    <row r="73" spans="3:3">
      <c r="C73" s="55" t="s">
        <v>4335</v>
      </c>
    </row>
    <row r="74" spans="3:3">
      <c r="C74" s="55" t="s">
        <v>4334</v>
      </c>
    </row>
    <row r="75" spans="3:3">
      <c r="C75" s="55" t="s">
        <v>4333</v>
      </c>
    </row>
    <row r="76" spans="3:3">
      <c r="C76" s="55" t="s">
        <v>4332</v>
      </c>
    </row>
    <row r="77" spans="3:3">
      <c r="C77" s="55" t="s">
        <v>4331</v>
      </c>
    </row>
    <row r="78" spans="3:3">
      <c r="C78" s="55" t="s">
        <v>4330</v>
      </c>
    </row>
    <row r="79" spans="3:3">
      <c r="C79" s="55" t="s">
        <v>4329</v>
      </c>
    </row>
    <row r="80" spans="3:3">
      <c r="C80" s="55" t="s">
        <v>4328</v>
      </c>
    </row>
    <row r="81" spans="2:4">
      <c r="C81" s="55" t="s">
        <v>4327</v>
      </c>
    </row>
    <row r="82" spans="2:4">
      <c r="C82" s="55" t="s">
        <v>4326</v>
      </c>
    </row>
    <row r="84" spans="2:4">
      <c r="B84" s="55" t="s">
        <v>4325</v>
      </c>
    </row>
    <row r="85" spans="2:4">
      <c r="C85" s="55" t="s">
        <v>4324</v>
      </c>
    </row>
    <row r="86" spans="2:4">
      <c r="C86" s="55" t="s">
        <v>4323</v>
      </c>
    </row>
    <row r="87" spans="2:4">
      <c r="C87" s="55" t="s">
        <v>4322</v>
      </c>
    </row>
    <row r="88" spans="2:4">
      <c r="C88" s="55" t="s">
        <v>4321</v>
      </c>
    </row>
    <row r="89" spans="2:4">
      <c r="C89" s="55" t="s">
        <v>4320</v>
      </c>
    </row>
    <row r="90" spans="2:4">
      <c r="D90" s="55" t="s">
        <v>4319</v>
      </c>
    </row>
    <row r="91" spans="2:4">
      <c r="C91" s="55" t="s">
        <v>4318</v>
      </c>
    </row>
    <row r="92" spans="2:4">
      <c r="C92" s="55" t="s">
        <v>4317</v>
      </c>
    </row>
    <row r="93" spans="2:4">
      <c r="C93" s="55" t="s">
        <v>4316</v>
      </c>
    </row>
    <row r="94" spans="2:4">
      <c r="C94" s="55" t="s">
        <v>4315</v>
      </c>
    </row>
    <row r="95" spans="2:4">
      <c r="C95" s="55" t="s">
        <v>4314</v>
      </c>
    </row>
    <row r="96" spans="2:4">
      <c r="C96" s="55" t="s">
        <v>4313</v>
      </c>
    </row>
    <row r="97" spans="3:4">
      <c r="C97" s="55" t="s">
        <v>4312</v>
      </c>
    </row>
    <row r="98" spans="3:4">
      <c r="C98" s="55" t="s">
        <v>4311</v>
      </c>
    </row>
    <row r="99" spans="3:4">
      <c r="C99" s="55" t="s">
        <v>4310</v>
      </c>
    </row>
    <row r="100" spans="3:4">
      <c r="C100" s="55" t="s">
        <v>4309</v>
      </c>
    </row>
    <row r="101" spans="3:4">
      <c r="C101" s="55" t="s">
        <v>4308</v>
      </c>
    </row>
    <row r="102" spans="3:4">
      <c r="D102" s="55" t="s">
        <v>4307</v>
      </c>
    </row>
    <row r="103" spans="3:4">
      <c r="C103" s="55" t="s">
        <v>4306</v>
      </c>
    </row>
    <row r="104" spans="3:4">
      <c r="C104" s="63" t="s">
        <v>4305</v>
      </c>
    </row>
    <row r="105" spans="3:4">
      <c r="C105" s="63" t="s">
        <v>4304</v>
      </c>
    </row>
    <row r="106" spans="3:4">
      <c r="C106" s="55" t="s">
        <v>4303</v>
      </c>
    </row>
    <row r="107" spans="3:4">
      <c r="C107" s="55" t="s">
        <v>4302</v>
      </c>
    </row>
    <row r="109" spans="3:4">
      <c r="C109" s="55" t="s">
        <v>4301</v>
      </c>
    </row>
    <row r="110" spans="3:4">
      <c r="C110" s="55" t="s">
        <v>4300</v>
      </c>
    </row>
    <row r="111" spans="3:4">
      <c r="C111" s="60" t="s">
        <v>4299</v>
      </c>
    </row>
    <row r="112" spans="3:4">
      <c r="C112" s="55" t="s">
        <v>4298</v>
      </c>
    </row>
    <row r="113" spans="3:3">
      <c r="C113" s="55" t="s">
        <v>4297</v>
      </c>
    </row>
    <row r="114" spans="3:3">
      <c r="C114" s="55" t="s">
        <v>4296</v>
      </c>
    </row>
    <row r="115" spans="3:3">
      <c r="C115" s="55" t="s">
        <v>4295</v>
      </c>
    </row>
    <row r="116" spans="3:3">
      <c r="C116" s="55" t="s">
        <v>4294</v>
      </c>
    </row>
    <row r="117" spans="3:3">
      <c r="C117" s="55" t="s">
        <v>4293</v>
      </c>
    </row>
    <row r="118" spans="3:3">
      <c r="C118" s="55" t="s">
        <v>4292</v>
      </c>
    </row>
    <row r="119" spans="3:3">
      <c r="C119" s="55" t="s">
        <v>4291</v>
      </c>
    </row>
    <row r="120" spans="3:3">
      <c r="C120" s="55" t="s">
        <v>4290</v>
      </c>
    </row>
    <row r="121" spans="3:3">
      <c r="C121" s="55" t="s">
        <v>4289</v>
      </c>
    </row>
    <row r="122" spans="3:3">
      <c r="C122" s="55" t="s">
        <v>4288</v>
      </c>
    </row>
    <row r="123" spans="3:3">
      <c r="C123" s="55" t="s">
        <v>4287</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0"/>
  <sheetViews>
    <sheetView workbookViewId="0"/>
  </sheetViews>
  <sheetFormatPr defaultColWidth="10.875" defaultRowHeight="12.75"/>
  <cols>
    <col min="1" max="1" width="4.875" style="65" bestFit="1" customWidth="1"/>
    <col min="2" max="2" width="18.375" style="65" customWidth="1"/>
    <col min="3" max="16384" width="10.875" style="65"/>
  </cols>
  <sheetData>
    <row r="1" spans="1:4">
      <c r="A1" s="28" t="s">
        <v>1194</v>
      </c>
    </row>
    <row r="2" spans="1:4">
      <c r="B2" s="75" t="s">
        <v>4690</v>
      </c>
      <c r="C2" s="55"/>
      <c r="D2" s="55"/>
    </row>
    <row r="3" spans="1:4">
      <c r="B3" s="75" t="s">
        <v>4659</v>
      </c>
      <c r="C3" s="75" t="s">
        <v>4660</v>
      </c>
      <c r="D3" s="55"/>
    </row>
    <row r="4" spans="1:4">
      <c r="B4" s="55" t="s">
        <v>4279</v>
      </c>
      <c r="C4" s="55" t="s">
        <v>4278</v>
      </c>
      <c r="D4" s="55"/>
    </row>
    <row r="5" spans="1:4">
      <c r="B5" s="75" t="s">
        <v>4666</v>
      </c>
      <c r="C5" s="55"/>
      <c r="D5" s="55"/>
    </row>
    <row r="6" spans="1:4">
      <c r="B6" s="55" t="s">
        <v>4275</v>
      </c>
      <c r="C6" s="55" t="s">
        <v>4274</v>
      </c>
      <c r="D6" s="55"/>
    </row>
    <row r="7" spans="1:4">
      <c r="B7" s="75" t="s">
        <v>4691</v>
      </c>
      <c r="C7" s="55"/>
      <c r="D7" s="55"/>
    </row>
    <row r="8" spans="1:4">
      <c r="B8" s="55" t="s">
        <v>4271</v>
      </c>
      <c r="C8" s="55" t="s">
        <v>4270</v>
      </c>
      <c r="D8" s="55"/>
    </row>
    <row r="9" spans="1:4">
      <c r="B9" s="75" t="s">
        <v>4686</v>
      </c>
      <c r="C9" s="55"/>
      <c r="D9" s="55"/>
    </row>
    <row r="10" spans="1:4">
      <c r="B10" s="55" t="s">
        <v>4268</v>
      </c>
      <c r="C10" s="55" t="s">
        <v>4267</v>
      </c>
      <c r="D10" s="55"/>
    </row>
    <row r="11" spans="1:4">
      <c r="B11" s="55" t="s">
        <v>4058</v>
      </c>
      <c r="C11" s="55" t="s">
        <v>4264</v>
      </c>
      <c r="D11" s="55"/>
    </row>
    <row r="12" spans="1:4">
      <c r="B12" s="75" t="s">
        <v>4671</v>
      </c>
      <c r="C12" s="55"/>
      <c r="D12" s="55"/>
    </row>
    <row r="13" spans="1:4">
      <c r="B13" s="55" t="s">
        <v>4262</v>
      </c>
      <c r="C13" s="55" t="s">
        <v>4261</v>
      </c>
      <c r="D13" s="55"/>
    </row>
    <row r="14" spans="1:4">
      <c r="B14" s="75" t="s">
        <v>4683</v>
      </c>
      <c r="C14" s="55"/>
      <c r="D14" s="55"/>
    </row>
    <row r="15" spans="1:4">
      <c r="B15" s="55" t="s">
        <v>4258</v>
      </c>
      <c r="C15" s="55" t="s">
        <v>4257</v>
      </c>
      <c r="D15" s="55"/>
    </row>
    <row r="16" spans="1:4">
      <c r="B16" s="75" t="s">
        <v>4669</v>
      </c>
      <c r="C16" s="55"/>
      <c r="D16" s="55"/>
    </row>
    <row r="17" spans="2:7">
      <c r="B17" s="55" t="s">
        <v>4254</v>
      </c>
      <c r="C17" s="55" t="s">
        <v>4253</v>
      </c>
      <c r="D17" s="55"/>
    </row>
    <row r="18" spans="2:7">
      <c r="B18" s="55" t="s">
        <v>4251</v>
      </c>
      <c r="C18" s="55" t="s">
        <v>4250</v>
      </c>
      <c r="D18" s="55"/>
    </row>
    <row r="19" spans="2:7">
      <c r="B19" s="75" t="s">
        <v>4685</v>
      </c>
      <c r="C19" s="55"/>
      <c r="D19" s="55"/>
    </row>
    <row r="20" spans="2:7">
      <c r="B20" s="75" t="s">
        <v>4661</v>
      </c>
      <c r="C20" s="75" t="s">
        <v>4662</v>
      </c>
      <c r="D20" s="55"/>
    </row>
    <row r="21" spans="2:7">
      <c r="B21" s="55" t="s">
        <v>4248</v>
      </c>
      <c r="C21" s="55" t="s">
        <v>4247</v>
      </c>
      <c r="D21" s="61" t="s">
        <v>4246</v>
      </c>
    </row>
    <row r="22" spans="2:7">
      <c r="B22" s="75" t="s">
        <v>4667</v>
      </c>
      <c r="C22" s="55"/>
      <c r="D22" s="61"/>
    </row>
    <row r="23" spans="2:7">
      <c r="B23" s="75" t="s">
        <v>4797</v>
      </c>
      <c r="C23" s="75" t="s">
        <v>4798</v>
      </c>
      <c r="D23" s="28" t="s">
        <v>4799</v>
      </c>
      <c r="G23" s="28" t="s">
        <v>4831</v>
      </c>
    </row>
    <row r="24" spans="2:7">
      <c r="B24" s="75" t="s">
        <v>4664</v>
      </c>
      <c r="C24" s="55"/>
      <c r="D24" s="61"/>
    </row>
    <row r="25" spans="2:7">
      <c r="B25" s="55" t="s">
        <v>4243</v>
      </c>
      <c r="C25" s="55" t="s">
        <v>4242</v>
      </c>
      <c r="D25" s="55"/>
    </row>
    <row r="26" spans="2:7">
      <c r="B26" s="55" t="s">
        <v>3716</v>
      </c>
      <c r="C26" s="55" t="s">
        <v>4240</v>
      </c>
      <c r="D26" s="55"/>
    </row>
    <row r="27" spans="2:7">
      <c r="B27" s="75" t="s">
        <v>4687</v>
      </c>
      <c r="C27" s="55"/>
      <c r="D27" s="55"/>
    </row>
    <row r="28" spans="2:7">
      <c r="B28" s="55" t="s">
        <v>4238</v>
      </c>
      <c r="C28" s="55" t="s">
        <v>4237</v>
      </c>
      <c r="D28" s="55"/>
    </row>
    <row r="29" spans="2:7">
      <c r="B29" s="55" t="s">
        <v>4234</v>
      </c>
      <c r="C29" s="55" t="s">
        <v>4233</v>
      </c>
      <c r="D29" s="55"/>
    </row>
    <row r="30" spans="2:7">
      <c r="B30" s="75" t="s">
        <v>4670</v>
      </c>
      <c r="C30" s="55"/>
      <c r="D30" s="55"/>
    </row>
    <row r="31" spans="2:7">
      <c r="B31" s="75" t="s">
        <v>4678</v>
      </c>
      <c r="C31" s="75" t="s">
        <v>4688</v>
      </c>
      <c r="D31" s="55"/>
    </row>
    <row r="32" spans="2:7">
      <c r="B32" s="55" t="s">
        <v>3364</v>
      </c>
      <c r="C32" s="75" t="s">
        <v>4665</v>
      </c>
      <c r="D32" s="55"/>
    </row>
    <row r="33" spans="2:4">
      <c r="B33" s="75" t="s">
        <v>4673</v>
      </c>
      <c r="C33" s="75"/>
      <c r="D33" s="55"/>
    </row>
    <row r="34" spans="2:4">
      <c r="B34" s="55" t="s">
        <v>4228</v>
      </c>
      <c r="C34" s="55" t="s">
        <v>4225</v>
      </c>
      <c r="D34" s="55"/>
    </row>
    <row r="35" spans="2:4">
      <c r="B35" s="55" t="s">
        <v>4226</v>
      </c>
      <c r="C35" s="55" t="s">
        <v>4225</v>
      </c>
      <c r="D35" s="55"/>
    </row>
    <row r="36" spans="2:4">
      <c r="B36" s="55" t="s">
        <v>4222</v>
      </c>
      <c r="C36" s="55" t="s">
        <v>4221</v>
      </c>
      <c r="D36" s="55"/>
    </row>
    <row r="37" spans="2:4">
      <c r="B37" s="75" t="s">
        <v>4689</v>
      </c>
      <c r="C37" s="55"/>
      <c r="D37" s="55"/>
    </row>
    <row r="38" spans="2:4">
      <c r="B38" s="75" t="s">
        <v>4674</v>
      </c>
      <c r="C38" s="55"/>
      <c r="D38" s="55"/>
    </row>
    <row r="39" spans="2:4">
      <c r="B39" s="75" t="s">
        <v>4672</v>
      </c>
      <c r="C39" s="55"/>
      <c r="D39" s="55"/>
    </row>
    <row r="40" spans="2:4">
      <c r="B40" s="55" t="s">
        <v>4219</v>
      </c>
      <c r="C40" s="55" t="s">
        <v>4218</v>
      </c>
      <c r="D40" s="55"/>
    </row>
    <row r="41" spans="2:4">
      <c r="B41" s="55" t="s">
        <v>4215</v>
      </c>
      <c r="C41" s="55" t="s">
        <v>4214</v>
      </c>
      <c r="D41" s="55"/>
    </row>
    <row r="42" spans="2:4">
      <c r="B42" s="55" t="s">
        <v>3721</v>
      </c>
      <c r="C42" s="55" t="s">
        <v>4212</v>
      </c>
      <c r="D42" s="55"/>
    </row>
    <row r="43" spans="2:4">
      <c r="B43" s="75" t="s">
        <v>4692</v>
      </c>
      <c r="C43" s="55"/>
      <c r="D43" s="55"/>
    </row>
    <row r="44" spans="2:4">
      <c r="B44" s="75" t="s">
        <v>4663</v>
      </c>
      <c r="C44" s="55"/>
      <c r="D44" s="55"/>
    </row>
    <row r="45" spans="2:4">
      <c r="B45" s="55" t="s">
        <v>4448</v>
      </c>
      <c r="C45" s="55" t="s">
        <v>4449</v>
      </c>
      <c r="D45" s="55"/>
    </row>
    <row r="46" spans="2:4">
      <c r="B46" s="55" t="s">
        <v>4209</v>
      </c>
      <c r="C46" s="55" t="s">
        <v>4208</v>
      </c>
      <c r="D46" s="61" t="s">
        <v>4207</v>
      </c>
    </row>
    <row r="47" spans="2:4">
      <c r="B47" s="55" t="s">
        <v>4204</v>
      </c>
      <c r="C47" s="55" t="s">
        <v>4203</v>
      </c>
      <c r="D47" s="55"/>
    </row>
    <row r="48" spans="2:4">
      <c r="B48" s="55" t="s">
        <v>4201</v>
      </c>
      <c r="C48" s="55" t="s">
        <v>4200</v>
      </c>
      <c r="D48" s="55"/>
    </row>
    <row r="49" spans="2:4">
      <c r="B49" s="75" t="s">
        <v>4684</v>
      </c>
      <c r="C49" s="55"/>
      <c r="D49" s="55"/>
    </row>
    <row r="50" spans="2:4">
      <c r="B50" s="76" t="s">
        <v>4668</v>
      </c>
    </row>
  </sheetData>
  <hyperlinks>
    <hyperlink ref="D46"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55" bestFit="1" customWidth="1"/>
    <col min="2" max="16384" width="8.875" style="55"/>
  </cols>
  <sheetData>
    <row r="1" spans="1:3">
      <c r="A1" s="61" t="s">
        <v>3877</v>
      </c>
    </row>
    <row r="3" spans="1:3">
      <c r="B3" s="62" t="s">
        <v>4286</v>
      </c>
    </row>
    <row r="4" spans="1:3">
      <c r="C4" s="62" t="s">
        <v>4284</v>
      </c>
    </row>
    <row r="6" spans="1:3">
      <c r="B6" s="62" t="s">
        <v>4285</v>
      </c>
    </row>
    <row r="7" spans="1:3">
      <c r="C7" s="62" t="s">
        <v>4284</v>
      </c>
    </row>
  </sheetData>
  <hyperlinks>
    <hyperlink ref="A1" location="AI!A1" display="AI" xr:uid="{2E8934D8-F35E-C542-AE3B-981925D7C4E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74"/>
  <sheetViews>
    <sheetView workbookViewId="0">
      <pane xSplit="2" ySplit="2" topLeftCell="C3" activePane="bottomRight" state="frozen"/>
      <selection pane="topRight" activeCell="C1" sqref="C1"/>
      <selection pane="bottomLeft" activeCell="A3" sqref="A3"/>
      <selection pane="bottomRight"/>
    </sheetView>
  </sheetViews>
  <sheetFormatPr defaultRowHeight="12.75"/>
  <cols>
    <col min="1" max="1" width="4.375" style="90" bestFit="1" customWidth="1"/>
    <col min="2" max="4" width="9" style="90"/>
    <col min="5" max="5" width="15.625" style="90" customWidth="1"/>
    <col min="6" max="6" width="31.375" style="90" customWidth="1"/>
    <col min="7" max="16384" width="9" style="90"/>
  </cols>
  <sheetData>
    <row r="1" spans="1:12">
      <c r="A1" s="28" t="s">
        <v>1194</v>
      </c>
    </row>
    <row r="2" spans="1:12">
      <c r="B2" s="90" t="s">
        <v>4677</v>
      </c>
      <c r="C2" s="90" t="s">
        <v>4679</v>
      </c>
      <c r="D2" s="90" t="s">
        <v>4680</v>
      </c>
      <c r="G2" s="90" t="s">
        <v>4820</v>
      </c>
      <c r="H2" s="90" t="s">
        <v>4803</v>
      </c>
      <c r="I2" s="90" t="s">
        <v>4680</v>
      </c>
      <c r="J2" s="90" t="s">
        <v>4821</v>
      </c>
      <c r="K2" s="90" t="s">
        <v>1179</v>
      </c>
      <c r="L2" s="90" t="s">
        <v>5164</v>
      </c>
    </row>
    <row r="3" spans="1:12">
      <c r="B3" s="90">
        <v>1</v>
      </c>
      <c r="E3" s="90" t="s">
        <v>4675</v>
      </c>
      <c r="F3" s="90" t="s">
        <v>4682</v>
      </c>
    </row>
    <row r="4" spans="1:12">
      <c r="B4" s="90">
        <v>2</v>
      </c>
      <c r="E4" s="90" t="s">
        <v>4681</v>
      </c>
      <c r="F4" s="90" t="s">
        <v>4841</v>
      </c>
      <c r="G4" s="90" t="s">
        <v>4808</v>
      </c>
      <c r="H4" s="90">
        <v>2015</v>
      </c>
      <c r="I4" s="90" t="s">
        <v>4822</v>
      </c>
    </row>
    <row r="5" spans="1:12">
      <c r="B5" s="90">
        <v>3</v>
      </c>
      <c r="E5" s="90" t="s">
        <v>4661</v>
      </c>
      <c r="F5" s="90" t="s">
        <v>4676</v>
      </c>
      <c r="I5" s="90" t="s">
        <v>4822</v>
      </c>
    </row>
    <row r="6" spans="1:12">
      <c r="B6" s="90">
        <v>4</v>
      </c>
      <c r="E6" s="90" t="s">
        <v>4678</v>
      </c>
      <c r="F6" s="90" t="s">
        <v>4676</v>
      </c>
      <c r="I6" s="90" t="s">
        <v>4822</v>
      </c>
    </row>
    <row r="7" spans="1:12">
      <c r="B7" s="90">
        <v>5</v>
      </c>
      <c r="E7" s="90" t="s">
        <v>4656</v>
      </c>
      <c r="F7" s="90" t="s">
        <v>4657</v>
      </c>
      <c r="G7" s="90" t="s">
        <v>4658</v>
      </c>
      <c r="I7" s="90" t="s">
        <v>4822</v>
      </c>
      <c r="J7" s="28" t="s">
        <v>5149</v>
      </c>
      <c r="K7" s="90" t="s">
        <v>5139</v>
      </c>
      <c r="L7" s="28" t="s">
        <v>5173</v>
      </c>
    </row>
    <row r="8" spans="1:12">
      <c r="B8" s="90">
        <v>6</v>
      </c>
      <c r="E8" s="89" t="s">
        <v>4209</v>
      </c>
      <c r="F8" s="89" t="s">
        <v>4802</v>
      </c>
      <c r="H8" s="91">
        <v>42370</v>
      </c>
      <c r="I8" s="90" t="s">
        <v>4822</v>
      </c>
      <c r="J8" s="61" t="s">
        <v>4207</v>
      </c>
    </row>
    <row r="9" spans="1:12">
      <c r="B9" s="90">
        <v>7</v>
      </c>
      <c r="E9" s="90" t="s">
        <v>4693</v>
      </c>
      <c r="F9" s="90" t="s">
        <v>4864</v>
      </c>
      <c r="H9" s="90">
        <v>2016</v>
      </c>
      <c r="I9" s="90" t="s">
        <v>4822</v>
      </c>
    </row>
    <row r="10" spans="1:12">
      <c r="B10" s="90">
        <v>8</v>
      </c>
      <c r="E10" s="90" t="s">
        <v>4813</v>
      </c>
      <c r="F10" s="90" t="s">
        <v>4815</v>
      </c>
      <c r="G10" s="90" t="s">
        <v>4814</v>
      </c>
      <c r="H10" s="91">
        <v>42309</v>
      </c>
      <c r="I10" s="90" t="s">
        <v>4822</v>
      </c>
    </row>
    <row r="12" spans="1:12">
      <c r="E12" s="90" t="s">
        <v>4856</v>
      </c>
      <c r="F12" s="90" t="s">
        <v>4857</v>
      </c>
      <c r="H12" s="92">
        <v>42879</v>
      </c>
      <c r="I12" s="90" t="s">
        <v>4822</v>
      </c>
      <c r="J12" s="28" t="s">
        <v>5166</v>
      </c>
      <c r="K12" s="90" t="s">
        <v>5165</v>
      </c>
      <c r="L12" s="28" t="s">
        <v>5167</v>
      </c>
    </row>
    <row r="13" spans="1:12">
      <c r="E13" s="90" t="s">
        <v>5128</v>
      </c>
      <c r="F13" s="90" t="s">
        <v>1574</v>
      </c>
      <c r="H13" s="92">
        <v>42943</v>
      </c>
      <c r="I13" s="90" t="s">
        <v>5174</v>
      </c>
    </row>
    <row r="15" spans="1:12">
      <c r="E15" s="90" t="s">
        <v>4843</v>
      </c>
      <c r="F15" s="90" t="s">
        <v>5105</v>
      </c>
      <c r="G15" s="90" t="s">
        <v>4819</v>
      </c>
      <c r="H15" s="91">
        <v>43101</v>
      </c>
      <c r="I15" s="90" t="s">
        <v>4822</v>
      </c>
    </row>
    <row r="16" spans="1:12">
      <c r="E16" s="90" t="s">
        <v>4844</v>
      </c>
      <c r="F16" s="90" t="s">
        <v>4845</v>
      </c>
      <c r="H16" s="91">
        <v>43125</v>
      </c>
      <c r="I16" s="90" t="s">
        <v>4822</v>
      </c>
      <c r="K16" s="90" t="s">
        <v>5175</v>
      </c>
      <c r="L16" s="28" t="s">
        <v>5178</v>
      </c>
    </row>
    <row r="17" spans="5:11">
      <c r="E17" s="90" t="s">
        <v>4762</v>
      </c>
      <c r="F17" s="90" t="s">
        <v>4763</v>
      </c>
      <c r="H17" s="92">
        <v>43125</v>
      </c>
      <c r="K17" s="90" t="s">
        <v>5163</v>
      </c>
    </row>
    <row r="18" spans="5:11">
      <c r="E18" s="90" t="s">
        <v>4887</v>
      </c>
      <c r="H18" s="92">
        <v>43125</v>
      </c>
      <c r="K18" s="90" t="s">
        <v>5175</v>
      </c>
    </row>
    <row r="19" spans="5:11">
      <c r="E19" s="90" t="s">
        <v>5134</v>
      </c>
      <c r="F19" s="90" t="s">
        <v>1574</v>
      </c>
      <c r="H19" s="92">
        <v>43213</v>
      </c>
      <c r="I19" s="90" t="s">
        <v>5110</v>
      </c>
      <c r="J19" s="28" t="s">
        <v>5143</v>
      </c>
      <c r="K19" s="90" t="s">
        <v>5145</v>
      </c>
    </row>
    <row r="20" spans="5:11">
      <c r="E20" s="90" t="s">
        <v>4796</v>
      </c>
      <c r="F20" s="90" t="s">
        <v>4763</v>
      </c>
      <c r="H20" s="91">
        <v>43252</v>
      </c>
      <c r="I20" s="90" t="s">
        <v>4822</v>
      </c>
      <c r="J20" s="28" t="s">
        <v>5142</v>
      </c>
      <c r="K20" s="90" t="s">
        <v>5139</v>
      </c>
    </row>
    <row r="21" spans="5:11">
      <c r="E21" s="90" t="s">
        <v>5146</v>
      </c>
      <c r="H21" s="91">
        <v>43213</v>
      </c>
      <c r="J21" s="28" t="s">
        <v>5147</v>
      </c>
      <c r="K21" s="90" t="s">
        <v>5145</v>
      </c>
    </row>
    <row r="22" spans="5:11">
      <c r="E22" s="90" t="s">
        <v>4696</v>
      </c>
      <c r="F22" s="90" t="s">
        <v>4810</v>
      </c>
      <c r="G22" s="90" t="s">
        <v>4811</v>
      </c>
      <c r="H22" s="91">
        <v>43252</v>
      </c>
      <c r="I22" s="90" t="s">
        <v>4822</v>
      </c>
    </row>
    <row r="23" spans="5:11">
      <c r="E23" s="90" t="s">
        <v>4695</v>
      </c>
      <c r="F23" s="90" t="s">
        <v>4807</v>
      </c>
      <c r="G23" s="90" t="s">
        <v>4806</v>
      </c>
      <c r="H23" s="91">
        <v>43313</v>
      </c>
      <c r="I23" s="90" t="s">
        <v>4822</v>
      </c>
    </row>
    <row r="24" spans="5:11">
      <c r="E24" s="90" t="s">
        <v>4697</v>
      </c>
      <c r="F24" s="90" t="s">
        <v>4698</v>
      </c>
    </row>
    <row r="26" spans="5:11">
      <c r="E26" s="90" t="s">
        <v>4717</v>
      </c>
      <c r="F26" s="90" t="s">
        <v>4980</v>
      </c>
      <c r="H26" s="91">
        <v>43525</v>
      </c>
      <c r="I26" s="90" t="s">
        <v>4822</v>
      </c>
      <c r="J26" s="28" t="s">
        <v>5107</v>
      </c>
      <c r="K26" s="90" t="s">
        <v>5110</v>
      </c>
    </row>
    <row r="27" spans="5:11">
      <c r="E27" s="90" t="s">
        <v>4772</v>
      </c>
      <c r="F27" s="90" t="s">
        <v>4773</v>
      </c>
      <c r="G27" s="90" t="s">
        <v>4819</v>
      </c>
      <c r="H27" s="91">
        <v>43862</v>
      </c>
      <c r="I27" s="90" t="s">
        <v>4822</v>
      </c>
      <c r="K27" s="90" t="s">
        <v>5151</v>
      </c>
    </row>
    <row r="28" spans="5:11">
      <c r="E28" s="90" t="s">
        <v>4828</v>
      </c>
      <c r="F28" s="90" t="s">
        <v>4763</v>
      </c>
      <c r="G28" s="90" t="s">
        <v>4829</v>
      </c>
      <c r="H28" s="91">
        <v>43952</v>
      </c>
      <c r="I28" s="90" t="s">
        <v>4822</v>
      </c>
    </row>
    <row r="29" spans="5:11">
      <c r="E29" s="90" t="s">
        <v>4755</v>
      </c>
      <c r="F29" s="90" t="s">
        <v>4756</v>
      </c>
      <c r="G29" s="90" t="s">
        <v>4818</v>
      </c>
      <c r="H29" s="90">
        <v>2021</v>
      </c>
      <c r="I29" s="90" t="s">
        <v>4822</v>
      </c>
    </row>
    <row r="30" spans="5:11">
      <c r="E30" s="90" t="s">
        <v>4704</v>
      </c>
      <c r="F30" s="90" t="s">
        <v>4705</v>
      </c>
      <c r="H30" s="91">
        <v>44256</v>
      </c>
      <c r="I30" s="90" t="s">
        <v>4822</v>
      </c>
    </row>
    <row r="31" spans="5:11">
      <c r="E31" s="90" t="s">
        <v>4694</v>
      </c>
      <c r="F31" s="90" t="s">
        <v>4805</v>
      </c>
      <c r="G31" s="90" t="s">
        <v>4804</v>
      </c>
      <c r="H31" s="91">
        <v>44287</v>
      </c>
    </row>
    <row r="32" spans="5:11">
      <c r="E32" s="90" t="s">
        <v>4724</v>
      </c>
      <c r="F32" s="90" t="s">
        <v>4719</v>
      </c>
      <c r="H32" s="91">
        <v>44287</v>
      </c>
      <c r="I32" s="90" t="s">
        <v>4822</v>
      </c>
    </row>
    <row r="33" spans="5:11">
      <c r="E33" s="90" t="s">
        <v>4712</v>
      </c>
      <c r="F33" s="90" t="s">
        <v>4073</v>
      </c>
      <c r="G33" s="90" t="s">
        <v>4819</v>
      </c>
      <c r="H33" s="91">
        <v>44531</v>
      </c>
      <c r="I33" s="90" t="s">
        <v>4822</v>
      </c>
    </row>
    <row r="34" spans="5:11" s="80" customFormat="1">
      <c r="E34" s="80" t="s">
        <v>4842</v>
      </c>
      <c r="F34" s="80" t="s">
        <v>4910</v>
      </c>
      <c r="G34" s="80" t="s">
        <v>5103</v>
      </c>
      <c r="H34" s="81">
        <v>44621</v>
      </c>
      <c r="I34" s="80" t="s">
        <v>4822</v>
      </c>
      <c r="K34" s="80" t="s">
        <v>5104</v>
      </c>
    </row>
    <row r="35" spans="5:11">
      <c r="E35" s="90" t="s">
        <v>4701</v>
      </c>
      <c r="F35" s="90" t="s">
        <v>4702</v>
      </c>
      <c r="H35" s="91">
        <v>44713</v>
      </c>
      <c r="I35" s="90" t="s">
        <v>4822</v>
      </c>
    </row>
    <row r="36" spans="5:11">
      <c r="E36" s="90" t="s">
        <v>4703</v>
      </c>
      <c r="F36" s="90" t="s">
        <v>2981</v>
      </c>
      <c r="G36" s="90" t="s">
        <v>4819</v>
      </c>
      <c r="H36" s="91">
        <v>44805</v>
      </c>
      <c r="I36" s="90" t="s">
        <v>4822</v>
      </c>
    </row>
    <row r="37" spans="5:11">
      <c r="E37" s="90" t="s">
        <v>4706</v>
      </c>
      <c r="F37" s="90" t="s">
        <v>4707</v>
      </c>
      <c r="G37" s="90" t="s">
        <v>4812</v>
      </c>
      <c r="H37" s="91">
        <v>44866</v>
      </c>
      <c r="I37" s="90" t="s">
        <v>4822</v>
      </c>
    </row>
    <row r="38" spans="5:11">
      <c r="E38" s="90" t="s">
        <v>4718</v>
      </c>
      <c r="F38" s="90" t="s">
        <v>4719</v>
      </c>
      <c r="G38" s="90" t="s">
        <v>4827</v>
      </c>
      <c r="H38" s="91">
        <v>44866</v>
      </c>
      <c r="I38" s="90" t="s">
        <v>4822</v>
      </c>
      <c r="K38" s="90" t="s">
        <v>5031</v>
      </c>
    </row>
    <row r="39" spans="5:11">
      <c r="E39" s="90" t="s">
        <v>4699</v>
      </c>
      <c r="F39" s="90" t="s">
        <v>4700</v>
      </c>
      <c r="G39" s="90" t="s">
        <v>4812</v>
      </c>
      <c r="H39" s="91">
        <v>44958</v>
      </c>
      <c r="I39" s="90" t="s">
        <v>4822</v>
      </c>
    </row>
    <row r="40" spans="5:11">
      <c r="E40" s="90" t="s">
        <v>4720</v>
      </c>
      <c r="F40" s="90" t="s">
        <v>4721</v>
      </c>
      <c r="G40" s="90" t="s">
        <v>4827</v>
      </c>
      <c r="H40" s="91">
        <v>44958</v>
      </c>
      <c r="I40" s="90" t="s">
        <v>4822</v>
      </c>
    </row>
    <row r="41" spans="5:11">
      <c r="E41" s="90" t="s">
        <v>4710</v>
      </c>
      <c r="F41" s="90" t="s">
        <v>4711</v>
      </c>
      <c r="G41" s="90" t="s">
        <v>4827</v>
      </c>
      <c r="H41" s="91">
        <v>45017</v>
      </c>
      <c r="I41" s="90" t="s">
        <v>4822</v>
      </c>
    </row>
    <row r="42" spans="5:11">
      <c r="E42" s="90" t="s">
        <v>4708</v>
      </c>
      <c r="F42" s="90" t="s">
        <v>4709</v>
      </c>
      <c r="G42" s="90" t="s">
        <v>4812</v>
      </c>
      <c r="H42" s="91">
        <v>45078</v>
      </c>
      <c r="I42" s="90" t="s">
        <v>4822</v>
      </c>
    </row>
    <row r="43" spans="5:11">
      <c r="E43" s="90" t="s">
        <v>4846</v>
      </c>
      <c r="F43" s="90" t="s">
        <v>4845</v>
      </c>
      <c r="H43" s="91"/>
      <c r="K43" s="90" t="s">
        <v>5110</v>
      </c>
    </row>
    <row r="44" spans="5:11">
      <c r="E44" s="90" t="s">
        <v>4873</v>
      </c>
      <c r="F44" s="90" t="s">
        <v>4976</v>
      </c>
      <c r="H44" s="91"/>
    </row>
    <row r="45" spans="5:11">
      <c r="E45" s="90" t="s">
        <v>4847</v>
      </c>
      <c r="F45" s="90" t="s">
        <v>4975</v>
      </c>
      <c r="H45" s="91"/>
    </row>
    <row r="46" spans="5:11">
      <c r="E46" s="90" t="s">
        <v>4848</v>
      </c>
      <c r="F46" s="90" t="s">
        <v>4849</v>
      </c>
      <c r="H46" s="91"/>
      <c r="K46" s="90" t="s">
        <v>5110</v>
      </c>
    </row>
    <row r="47" spans="5:11">
      <c r="E47" s="90" t="s">
        <v>5162</v>
      </c>
      <c r="F47" s="90" t="s">
        <v>4840</v>
      </c>
      <c r="H47" s="91"/>
      <c r="K47" s="90" t="s">
        <v>5151</v>
      </c>
    </row>
    <row r="48" spans="5:11">
      <c r="E48" s="90" t="s">
        <v>4865</v>
      </c>
      <c r="F48" s="90" t="s">
        <v>4866</v>
      </c>
      <c r="H48" s="91"/>
    </row>
    <row r="49" spans="5:11">
      <c r="E49" s="90" t="s">
        <v>4867</v>
      </c>
      <c r="F49" s="90" t="s">
        <v>4866</v>
      </c>
      <c r="H49" s="91"/>
    </row>
    <row r="50" spans="5:11">
      <c r="E50" s="90" t="s">
        <v>5122</v>
      </c>
      <c r="F50" s="90" t="s">
        <v>4985</v>
      </c>
      <c r="H50" s="91"/>
      <c r="K50" s="90" t="s">
        <v>5110</v>
      </c>
    </row>
    <row r="51" spans="5:11">
      <c r="E51" s="90" t="s">
        <v>4868</v>
      </c>
      <c r="F51" s="90" t="s">
        <v>5013</v>
      </c>
      <c r="H51" s="91"/>
    </row>
    <row r="52" spans="5:11">
      <c r="E52" s="90" t="s">
        <v>4869</v>
      </c>
      <c r="F52" s="90" t="s">
        <v>5013</v>
      </c>
      <c r="H52" s="91"/>
    </row>
    <row r="53" spans="5:11">
      <c r="E53" s="90" t="s">
        <v>4870</v>
      </c>
      <c r="F53" s="90" t="s">
        <v>4866</v>
      </c>
      <c r="H53" s="91"/>
    </row>
    <row r="54" spans="5:11">
      <c r="E54" s="90" t="s">
        <v>4871</v>
      </c>
      <c r="F54" s="90" t="s">
        <v>4866</v>
      </c>
      <c r="H54" s="91"/>
    </row>
    <row r="55" spans="5:11">
      <c r="E55" s="90" t="s">
        <v>4872</v>
      </c>
      <c r="F55" s="90" t="s">
        <v>4866</v>
      </c>
      <c r="H55" s="91"/>
    </row>
    <row r="56" spans="5:11">
      <c r="E56" s="90" t="s">
        <v>4850</v>
      </c>
      <c r="F56" s="90" t="s">
        <v>4851</v>
      </c>
      <c r="H56" s="91"/>
      <c r="K56" s="90" t="s">
        <v>5110</v>
      </c>
    </row>
    <row r="57" spans="5:11">
      <c r="E57" s="90" t="s">
        <v>4852</v>
      </c>
      <c r="F57" s="90" t="s">
        <v>4853</v>
      </c>
      <c r="H57" s="91"/>
      <c r="K57" s="90" t="s">
        <v>5110</v>
      </c>
    </row>
    <row r="58" spans="5:11">
      <c r="E58" s="90" t="s">
        <v>4713</v>
      </c>
      <c r="F58" s="90" t="s">
        <v>4714</v>
      </c>
    </row>
    <row r="59" spans="5:11">
      <c r="E59" s="90" t="s">
        <v>4715</v>
      </c>
      <c r="F59" s="90" t="s">
        <v>4714</v>
      </c>
    </row>
    <row r="60" spans="5:11">
      <c r="E60" s="90" t="s">
        <v>4716</v>
      </c>
      <c r="F60" s="90" t="s">
        <v>4714</v>
      </c>
    </row>
    <row r="61" spans="5:11">
      <c r="E61" s="90" t="s">
        <v>4858</v>
      </c>
      <c r="F61" s="90" t="s">
        <v>4859</v>
      </c>
      <c r="K61" s="90" t="s">
        <v>5110</v>
      </c>
    </row>
    <row r="62" spans="5:11">
      <c r="E62" s="90" t="s">
        <v>5123</v>
      </c>
      <c r="F62" s="90" t="s">
        <v>4860</v>
      </c>
      <c r="K62" s="90" t="s">
        <v>5110</v>
      </c>
    </row>
    <row r="63" spans="5:11">
      <c r="E63" s="90" t="s">
        <v>5111</v>
      </c>
      <c r="K63" s="90" t="s">
        <v>5110</v>
      </c>
    </row>
    <row r="64" spans="5:11">
      <c r="E64" s="90" t="s">
        <v>4861</v>
      </c>
      <c r="F64" s="90" t="s">
        <v>4862</v>
      </c>
    </row>
    <row r="65" spans="5:11">
      <c r="E65" s="90" t="s">
        <v>4863</v>
      </c>
      <c r="F65" s="90" t="s">
        <v>5109</v>
      </c>
      <c r="J65" s="28" t="s">
        <v>5137</v>
      </c>
      <c r="K65" s="90" t="s">
        <v>5110</v>
      </c>
    </row>
    <row r="66" spans="5:11">
      <c r="E66" s="90" t="s">
        <v>4722</v>
      </c>
      <c r="F66" s="90" t="s">
        <v>4723</v>
      </c>
    </row>
    <row r="67" spans="5:11">
      <c r="E67" s="90" t="s">
        <v>4725</v>
      </c>
      <c r="F67" s="90" t="s">
        <v>4726</v>
      </c>
      <c r="K67" s="90" t="s">
        <v>5110</v>
      </c>
    </row>
    <row r="68" spans="5:11">
      <c r="E68" s="90" t="s">
        <v>4727</v>
      </c>
      <c r="F68" s="90" t="s">
        <v>4728</v>
      </c>
    </row>
    <row r="69" spans="5:11">
      <c r="E69" s="90" t="s">
        <v>4729</v>
      </c>
      <c r="F69" s="90" t="s">
        <v>4728</v>
      </c>
    </row>
    <row r="70" spans="5:11">
      <c r="E70" s="90" t="s">
        <v>4730</v>
      </c>
      <c r="F70" s="90" t="s">
        <v>4731</v>
      </c>
    </row>
    <row r="71" spans="5:11">
      <c r="E71" s="90" t="s">
        <v>4732</v>
      </c>
      <c r="F71" s="90" t="s">
        <v>4733</v>
      </c>
      <c r="K71" s="90" t="s">
        <v>5110</v>
      </c>
    </row>
    <row r="72" spans="5:11">
      <c r="E72" s="90" t="s">
        <v>4734</v>
      </c>
    </row>
    <row r="73" spans="5:11">
      <c r="E73" s="90" t="s">
        <v>4735</v>
      </c>
    </row>
    <row r="74" spans="5:11">
      <c r="E74" s="90" t="s">
        <v>4736</v>
      </c>
      <c r="F74" s="90" t="s">
        <v>4737</v>
      </c>
    </row>
    <row r="75" spans="5:11">
      <c r="E75" s="90" t="s">
        <v>4738</v>
      </c>
      <c r="F75" s="90" t="s">
        <v>4739</v>
      </c>
    </row>
    <row r="76" spans="5:11">
      <c r="E76" s="90" t="s">
        <v>4740</v>
      </c>
      <c r="F76" s="90" t="s">
        <v>4719</v>
      </c>
      <c r="K76" s="90" t="s">
        <v>5153</v>
      </c>
    </row>
    <row r="77" spans="5:11">
      <c r="E77" s="90" t="s">
        <v>4741</v>
      </c>
      <c r="F77" s="90" t="s">
        <v>4742</v>
      </c>
    </row>
    <row r="78" spans="5:11">
      <c r="E78" s="90" t="s">
        <v>4743</v>
      </c>
      <c r="F78" s="90" t="s">
        <v>3154</v>
      </c>
    </row>
    <row r="79" spans="5:11">
      <c r="E79" s="90" t="s">
        <v>4744</v>
      </c>
      <c r="F79" s="90" t="s">
        <v>3154</v>
      </c>
    </row>
    <row r="80" spans="5:11">
      <c r="E80" s="90" t="s">
        <v>4745</v>
      </c>
      <c r="F80" s="90" t="s">
        <v>4746</v>
      </c>
    </row>
    <row r="81" spans="5:11">
      <c r="E81" s="90" t="s">
        <v>4747</v>
      </c>
      <c r="F81" s="90" t="s">
        <v>4748</v>
      </c>
    </row>
    <row r="82" spans="5:11">
      <c r="E82" s="90" t="s">
        <v>4749</v>
      </c>
      <c r="F82" s="90" t="s">
        <v>4750</v>
      </c>
    </row>
    <row r="83" spans="5:11">
      <c r="E83" s="90" t="s">
        <v>4751</v>
      </c>
      <c r="F83" s="90" t="s">
        <v>4999</v>
      </c>
    </row>
    <row r="84" spans="5:11">
      <c r="E84" s="90" t="s">
        <v>4752</v>
      </c>
      <c r="F84" s="90" t="s">
        <v>4998</v>
      </c>
      <c r="K84" s="90" t="s">
        <v>5110</v>
      </c>
    </row>
    <row r="85" spans="5:11">
      <c r="E85" s="90" t="s">
        <v>4753</v>
      </c>
      <c r="F85" s="90" t="s">
        <v>4754</v>
      </c>
    </row>
    <row r="86" spans="5:11">
      <c r="E86" s="90" t="s">
        <v>4757</v>
      </c>
      <c r="F86" s="90" t="s">
        <v>4758</v>
      </c>
    </row>
    <row r="87" spans="5:11">
      <c r="E87" s="90" t="s">
        <v>4854</v>
      </c>
      <c r="F87" s="90" t="s">
        <v>4855</v>
      </c>
      <c r="K87" s="90" t="s">
        <v>5153</v>
      </c>
    </row>
    <row r="88" spans="5:11">
      <c r="E88" s="90" t="s">
        <v>4759</v>
      </c>
      <c r="F88" s="90" t="s">
        <v>4719</v>
      </c>
    </row>
    <row r="89" spans="5:11">
      <c r="E89" s="90" t="s">
        <v>4760</v>
      </c>
      <c r="F89" s="90" t="s">
        <v>4761</v>
      </c>
      <c r="K89" s="90" t="s">
        <v>5110</v>
      </c>
    </row>
    <row r="90" spans="5:11">
      <c r="E90" s="90" t="s">
        <v>4764</v>
      </c>
      <c r="F90" s="90" t="s">
        <v>4765</v>
      </c>
    </row>
    <row r="91" spans="5:11">
      <c r="E91" s="90" t="s">
        <v>4766</v>
      </c>
      <c r="F91" s="90" t="s">
        <v>4767</v>
      </c>
    </row>
    <row r="92" spans="5:11">
      <c r="E92" s="90" t="s">
        <v>4768</v>
      </c>
      <c r="F92" s="90" t="s">
        <v>4742</v>
      </c>
    </row>
    <row r="93" spans="5:11">
      <c r="E93" s="90" t="s">
        <v>4769</v>
      </c>
      <c r="F93" s="90" t="s">
        <v>4709</v>
      </c>
    </row>
    <row r="94" spans="5:11">
      <c r="E94" s="90" t="s">
        <v>4770</v>
      </c>
      <c r="F94" s="90" t="s">
        <v>4719</v>
      </c>
    </row>
    <row r="95" spans="5:11">
      <c r="E95" s="90" t="s">
        <v>4771</v>
      </c>
      <c r="F95" s="90" t="s">
        <v>4981</v>
      </c>
    </row>
    <row r="96" spans="5:11">
      <c r="E96" s="90" t="s">
        <v>4774</v>
      </c>
      <c r="F96" s="90" t="s">
        <v>4719</v>
      </c>
    </row>
    <row r="97" spans="5:11">
      <c r="E97" s="90" t="s">
        <v>4775</v>
      </c>
      <c r="F97" s="90" t="s">
        <v>4776</v>
      </c>
    </row>
    <row r="98" spans="5:11">
      <c r="E98" s="90" t="s">
        <v>4777</v>
      </c>
      <c r="F98" s="90" t="s">
        <v>4719</v>
      </c>
    </row>
    <row r="99" spans="5:11">
      <c r="E99" s="90" t="s">
        <v>4778</v>
      </c>
      <c r="F99" s="90" t="s">
        <v>4997</v>
      </c>
    </row>
    <row r="100" spans="5:11">
      <c r="E100" s="90" t="s">
        <v>4779</v>
      </c>
      <c r="F100" s="90" t="s">
        <v>4780</v>
      </c>
    </row>
    <row r="101" spans="5:11">
      <c r="E101" s="90" t="s">
        <v>4781</v>
      </c>
      <c r="F101" s="90" t="s">
        <v>4719</v>
      </c>
    </row>
    <row r="102" spans="5:11">
      <c r="E102" s="90" t="s">
        <v>4782</v>
      </c>
      <c r="F102" s="90" t="s">
        <v>4783</v>
      </c>
    </row>
    <row r="103" spans="5:11">
      <c r="E103" s="90" t="s">
        <v>4784</v>
      </c>
      <c r="F103" s="90" t="s">
        <v>4785</v>
      </c>
      <c r="K103" s="90" t="s">
        <v>5110</v>
      </c>
    </row>
    <row r="104" spans="5:11">
      <c r="E104" s="90" t="s">
        <v>4786</v>
      </c>
      <c r="F104" s="90" t="s">
        <v>2167</v>
      </c>
    </row>
    <row r="105" spans="5:11">
      <c r="E105" s="90" t="s">
        <v>4787</v>
      </c>
      <c r="F105" s="90" t="s">
        <v>2167</v>
      </c>
    </row>
    <row r="106" spans="5:11">
      <c r="E106" s="90" t="s">
        <v>4788</v>
      </c>
      <c r="F106" s="90" t="s">
        <v>2167</v>
      </c>
    </row>
    <row r="107" spans="5:11">
      <c r="E107" s="90" t="s">
        <v>4789</v>
      </c>
      <c r="F107" s="90" t="s">
        <v>4707</v>
      </c>
    </row>
    <row r="108" spans="5:11">
      <c r="E108" s="90" t="s">
        <v>4790</v>
      </c>
      <c r="F108" s="90" t="s">
        <v>5007</v>
      </c>
    </row>
    <row r="109" spans="5:11">
      <c r="E109" s="90" t="s">
        <v>4791</v>
      </c>
      <c r="F109" s="90" t="s">
        <v>2167</v>
      </c>
    </row>
    <row r="110" spans="5:11">
      <c r="E110" s="90" t="s">
        <v>4792</v>
      </c>
      <c r="F110" s="90" t="s">
        <v>4763</v>
      </c>
    </row>
    <row r="111" spans="5:11">
      <c r="E111" s="90" t="s">
        <v>4793</v>
      </c>
      <c r="F111" s="90" t="s">
        <v>4763</v>
      </c>
    </row>
    <row r="112" spans="5:11">
      <c r="E112" s="90" t="s">
        <v>4794</v>
      </c>
      <c r="F112" s="90" t="s">
        <v>4795</v>
      </c>
    </row>
    <row r="113" spans="5:11">
      <c r="E113" s="90" t="s">
        <v>4800</v>
      </c>
      <c r="F113" s="90" t="s">
        <v>4801</v>
      </c>
      <c r="H113" s="91"/>
      <c r="I113" s="91">
        <v>45108</v>
      </c>
    </row>
    <row r="114" spans="5:11">
      <c r="E114" s="90" t="s">
        <v>4809</v>
      </c>
    </row>
    <row r="115" spans="5:11">
      <c r="E115" s="90" t="s">
        <v>4816</v>
      </c>
      <c r="F115" s="90" t="s">
        <v>4714</v>
      </c>
    </row>
    <row r="116" spans="5:11">
      <c r="E116" s="90" t="s">
        <v>4817</v>
      </c>
    </row>
    <row r="117" spans="5:11">
      <c r="E117" s="90" t="s">
        <v>4823</v>
      </c>
    </row>
    <row r="118" spans="5:11">
      <c r="E118" s="90" t="s">
        <v>4824</v>
      </c>
    </row>
    <row r="119" spans="5:11">
      <c r="E119" s="90" t="s">
        <v>4825</v>
      </c>
      <c r="F119" s="90" t="s">
        <v>4988</v>
      </c>
    </row>
    <row r="120" spans="5:11">
      <c r="E120" s="90" t="s">
        <v>4874</v>
      </c>
      <c r="F120" s="90" t="s">
        <v>4974</v>
      </c>
    </row>
    <row r="121" spans="5:11">
      <c r="E121" s="90" t="s">
        <v>4826</v>
      </c>
    </row>
    <row r="122" spans="5:11">
      <c r="E122" s="90" t="s">
        <v>4875</v>
      </c>
      <c r="F122" s="90" t="s">
        <v>1574</v>
      </c>
      <c r="J122" s="28" t="s">
        <v>5138</v>
      </c>
    </row>
    <row r="123" spans="5:11">
      <c r="E123" s="90" t="s">
        <v>4876</v>
      </c>
      <c r="F123" s="90" t="s">
        <v>4908</v>
      </c>
      <c r="K123" s="90" t="s">
        <v>5110</v>
      </c>
    </row>
    <row r="124" spans="5:11">
      <c r="E124" s="90" t="s">
        <v>4877</v>
      </c>
    </row>
    <row r="125" spans="5:11">
      <c r="E125" s="90" t="s">
        <v>4878</v>
      </c>
    </row>
    <row r="126" spans="5:11">
      <c r="E126" s="90" t="s">
        <v>4879</v>
      </c>
    </row>
    <row r="127" spans="5:11">
      <c r="E127" s="90" t="s">
        <v>4880</v>
      </c>
      <c r="F127" s="90" t="s">
        <v>4976</v>
      </c>
    </row>
    <row r="128" spans="5:11">
      <c r="E128" s="90" t="s">
        <v>4881</v>
      </c>
      <c r="F128" s="90" t="s">
        <v>2981</v>
      </c>
    </row>
    <row r="129" spans="5:11">
      <c r="E129" s="90" t="s">
        <v>4882</v>
      </c>
    </row>
    <row r="130" spans="5:11">
      <c r="E130" s="90" t="s">
        <v>5140</v>
      </c>
      <c r="J130" s="28" t="s">
        <v>5144</v>
      </c>
      <c r="K130" s="90" t="s">
        <v>5148</v>
      </c>
    </row>
    <row r="131" spans="5:11">
      <c r="E131" s="90" t="s">
        <v>4883</v>
      </c>
      <c r="F131" s="90" t="s">
        <v>4976</v>
      </c>
    </row>
    <row r="132" spans="5:11">
      <c r="E132" s="90" t="s">
        <v>4884</v>
      </c>
    </row>
    <row r="133" spans="5:11">
      <c r="E133" s="90" t="s">
        <v>4885</v>
      </c>
      <c r="F133" s="90" t="s">
        <v>4968</v>
      </c>
    </row>
    <row r="134" spans="5:11">
      <c r="E134" s="90" t="s">
        <v>4886</v>
      </c>
      <c r="F134" s="90" t="s">
        <v>4976</v>
      </c>
    </row>
    <row r="135" spans="5:11">
      <c r="E135" s="90" t="s">
        <v>4888</v>
      </c>
    </row>
    <row r="136" spans="5:11">
      <c r="E136" s="90" t="s">
        <v>4889</v>
      </c>
    </row>
    <row r="137" spans="5:11">
      <c r="E137" s="90" t="s">
        <v>4890</v>
      </c>
      <c r="F137" s="90" t="s">
        <v>4995</v>
      </c>
    </row>
    <row r="138" spans="5:11">
      <c r="E138" s="90" t="s">
        <v>5132</v>
      </c>
      <c r="K138" s="90" t="s">
        <v>5153</v>
      </c>
    </row>
    <row r="139" spans="5:11">
      <c r="E139" s="90" t="s">
        <v>4891</v>
      </c>
      <c r="F139" s="90" t="s">
        <v>4908</v>
      </c>
      <c r="K139" s="90" t="s">
        <v>5153</v>
      </c>
    </row>
    <row r="140" spans="5:11">
      <c r="E140" s="90" t="s">
        <v>4892</v>
      </c>
    </row>
    <row r="141" spans="5:11">
      <c r="E141" s="90" t="s">
        <v>4893</v>
      </c>
      <c r="K141" s="90" t="s">
        <v>5151</v>
      </c>
    </row>
    <row r="142" spans="5:11">
      <c r="E142" s="90" t="s">
        <v>4894</v>
      </c>
    </row>
    <row r="143" spans="5:11">
      <c r="E143" s="90" t="s">
        <v>4895</v>
      </c>
    </row>
    <row r="144" spans="5:11">
      <c r="E144" s="90" t="s">
        <v>4896</v>
      </c>
      <c r="K144" s="90" t="s">
        <v>5151</v>
      </c>
    </row>
    <row r="145" spans="5:11">
      <c r="E145" s="90" t="s">
        <v>4897</v>
      </c>
    </row>
    <row r="146" spans="5:11">
      <c r="E146" s="90" t="s">
        <v>4898</v>
      </c>
      <c r="K146" s="90" t="s">
        <v>5151</v>
      </c>
    </row>
    <row r="147" spans="5:11">
      <c r="E147" s="90" t="s">
        <v>4899</v>
      </c>
      <c r="F147" s="90" t="s">
        <v>4982</v>
      </c>
      <c r="K147" s="90" t="s">
        <v>5151</v>
      </c>
    </row>
    <row r="148" spans="5:11">
      <c r="E148" s="90" t="s">
        <v>4900</v>
      </c>
      <c r="K148" s="90" t="s">
        <v>5110</v>
      </c>
    </row>
    <row r="149" spans="5:11">
      <c r="E149" s="90" t="s">
        <v>5141</v>
      </c>
      <c r="K149" s="90" t="s">
        <v>5139</v>
      </c>
    </row>
    <row r="150" spans="5:11">
      <c r="E150" s="90" t="s">
        <v>4901</v>
      </c>
    </row>
    <row r="151" spans="5:11">
      <c r="E151" s="90" t="s">
        <v>4902</v>
      </c>
    </row>
    <row r="152" spans="5:11">
      <c r="E152" s="90" t="s">
        <v>4915</v>
      </c>
      <c r="K152" s="90" t="s">
        <v>5110</v>
      </c>
    </row>
    <row r="153" spans="5:11">
      <c r="E153" s="90" t="s">
        <v>4903</v>
      </c>
    </row>
    <row r="154" spans="5:11">
      <c r="E154" s="90" t="s">
        <v>4904</v>
      </c>
    </row>
    <row r="155" spans="5:11">
      <c r="E155" s="90" t="s">
        <v>4905</v>
      </c>
      <c r="K155" s="90" t="s">
        <v>5110</v>
      </c>
    </row>
    <row r="156" spans="5:11">
      <c r="E156" s="90" t="s">
        <v>4906</v>
      </c>
      <c r="F156" s="90" t="s">
        <v>4909</v>
      </c>
    </row>
    <row r="157" spans="5:11">
      <c r="E157" s="90" t="s">
        <v>4907</v>
      </c>
      <c r="F157" s="90" t="s">
        <v>4908</v>
      </c>
    </row>
    <row r="158" spans="5:11">
      <c r="E158" s="90" t="s">
        <v>4911</v>
      </c>
      <c r="F158" s="90" t="s">
        <v>5108</v>
      </c>
      <c r="J158" s="28" t="s">
        <v>5106</v>
      </c>
      <c r="K158" s="90" t="s">
        <v>5153</v>
      </c>
    </row>
    <row r="159" spans="5:11">
      <c r="E159" s="90" t="s">
        <v>4912</v>
      </c>
    </row>
    <row r="160" spans="5:11">
      <c r="E160" s="90" t="s">
        <v>4913</v>
      </c>
    </row>
    <row r="161" spans="5:11">
      <c r="E161" s="90" t="s">
        <v>4914</v>
      </c>
    </row>
    <row r="162" spans="5:11">
      <c r="E162" s="90" t="s">
        <v>4916</v>
      </c>
    </row>
    <row r="163" spans="5:11">
      <c r="E163" s="90" t="s">
        <v>4917</v>
      </c>
      <c r="K163" s="90" t="s">
        <v>5110</v>
      </c>
    </row>
    <row r="164" spans="5:11">
      <c r="E164" s="90" t="s">
        <v>4918</v>
      </c>
      <c r="K164" s="90" t="s">
        <v>5151</v>
      </c>
    </row>
    <row r="165" spans="5:11">
      <c r="E165" s="90" t="s">
        <v>4919</v>
      </c>
    </row>
    <row r="166" spans="5:11">
      <c r="E166" s="90" t="s">
        <v>4920</v>
      </c>
    </row>
    <row r="167" spans="5:11">
      <c r="E167" s="90" t="s">
        <v>4921</v>
      </c>
    </row>
    <row r="168" spans="5:11">
      <c r="E168" s="90" t="s">
        <v>4922</v>
      </c>
    </row>
    <row r="169" spans="5:11">
      <c r="E169" s="90" t="s">
        <v>4923</v>
      </c>
    </row>
    <row r="170" spans="5:11">
      <c r="E170" s="90" t="s">
        <v>4924</v>
      </c>
      <c r="K170" s="90" t="s">
        <v>5110</v>
      </c>
    </row>
    <row r="171" spans="5:11">
      <c r="E171" s="90" t="s">
        <v>4925</v>
      </c>
    </row>
    <row r="172" spans="5:11">
      <c r="E172" s="90" t="s">
        <v>4926</v>
      </c>
      <c r="K172" s="90" t="s">
        <v>5151</v>
      </c>
    </row>
    <row r="173" spans="5:11">
      <c r="E173" s="90" t="s">
        <v>4927</v>
      </c>
      <c r="F173" s="90" t="s">
        <v>4976</v>
      </c>
    </row>
    <row r="174" spans="5:11">
      <c r="E174" s="90" t="s">
        <v>4928</v>
      </c>
    </row>
    <row r="175" spans="5:11">
      <c r="E175" s="90" t="s">
        <v>4929</v>
      </c>
      <c r="F175" s="90" t="s">
        <v>4972</v>
      </c>
    </row>
    <row r="176" spans="5:11">
      <c r="E176" s="90" t="s">
        <v>4930</v>
      </c>
    </row>
    <row r="177" spans="5:6">
      <c r="E177" s="90" t="s">
        <v>4931</v>
      </c>
      <c r="F177" s="90" t="s">
        <v>4972</v>
      </c>
    </row>
    <row r="178" spans="5:6">
      <c r="E178" s="90" t="s">
        <v>4932</v>
      </c>
      <c r="F178" s="90" t="s">
        <v>2981</v>
      </c>
    </row>
    <row r="179" spans="5:6">
      <c r="E179" s="90" t="s">
        <v>4933</v>
      </c>
      <c r="F179" s="90" t="s">
        <v>4973</v>
      </c>
    </row>
    <row r="180" spans="5:6">
      <c r="E180" s="90" t="s">
        <v>4934</v>
      </c>
      <c r="F180" s="90" t="s">
        <v>4969</v>
      </c>
    </row>
    <row r="181" spans="5:6">
      <c r="E181" s="90" t="s">
        <v>4935</v>
      </c>
      <c r="F181" s="90" t="s">
        <v>4977</v>
      </c>
    </row>
    <row r="182" spans="5:6">
      <c r="E182" s="90" t="s">
        <v>4936</v>
      </c>
      <c r="F182" s="90" t="s">
        <v>4937</v>
      </c>
    </row>
    <row r="183" spans="5:6">
      <c r="E183" s="90" t="s">
        <v>4938</v>
      </c>
      <c r="F183" s="90" t="s">
        <v>4973</v>
      </c>
    </row>
    <row r="184" spans="5:6">
      <c r="E184" s="90" t="s">
        <v>4939</v>
      </c>
      <c r="F184" s="90" t="s">
        <v>2981</v>
      </c>
    </row>
    <row r="185" spans="5:6">
      <c r="E185" s="90" t="s">
        <v>4940</v>
      </c>
    </row>
    <row r="186" spans="5:6">
      <c r="E186" s="90" t="s">
        <v>4941</v>
      </c>
      <c r="F186" s="90" t="s">
        <v>4976</v>
      </c>
    </row>
    <row r="187" spans="5:6">
      <c r="E187" s="90" t="s">
        <v>4942</v>
      </c>
      <c r="F187" s="90" t="s">
        <v>2981</v>
      </c>
    </row>
    <row r="188" spans="5:6">
      <c r="E188" s="90" t="s">
        <v>4943</v>
      </c>
      <c r="F188" s="90" t="s">
        <v>4972</v>
      </c>
    </row>
    <row r="189" spans="5:6">
      <c r="E189" s="90" t="s">
        <v>4944</v>
      </c>
      <c r="F189" s="90" t="s">
        <v>4968</v>
      </c>
    </row>
    <row r="190" spans="5:6">
      <c r="E190" s="90" t="s">
        <v>4945</v>
      </c>
      <c r="F190" s="90" t="s">
        <v>2981</v>
      </c>
    </row>
    <row r="191" spans="5:6">
      <c r="E191" s="90" t="s">
        <v>4946</v>
      </c>
      <c r="F191" s="90" t="s">
        <v>4986</v>
      </c>
    </row>
    <row r="192" spans="5:6">
      <c r="E192" s="90" t="s">
        <v>4947</v>
      </c>
    </row>
    <row r="193" spans="5:11">
      <c r="E193" s="90" t="s">
        <v>4948</v>
      </c>
      <c r="F193" s="90" t="s">
        <v>2981</v>
      </c>
    </row>
    <row r="194" spans="5:11">
      <c r="E194" s="90" t="s">
        <v>4949</v>
      </c>
    </row>
    <row r="195" spans="5:11">
      <c r="E195" s="90" t="s">
        <v>4950</v>
      </c>
      <c r="F195" s="90" t="s">
        <v>2981</v>
      </c>
    </row>
    <row r="196" spans="5:11">
      <c r="E196" s="90" t="s">
        <v>4951</v>
      </c>
      <c r="F196" s="90" t="s">
        <v>4978</v>
      </c>
    </row>
    <row r="197" spans="5:11">
      <c r="E197" s="90" t="s">
        <v>4952</v>
      </c>
    </row>
    <row r="198" spans="5:11">
      <c r="E198" s="90" t="s">
        <v>4953</v>
      </c>
    </row>
    <row r="199" spans="5:11">
      <c r="E199" s="90" t="s">
        <v>5005</v>
      </c>
      <c r="F199" s="90" t="s">
        <v>2981</v>
      </c>
    </row>
    <row r="200" spans="5:11">
      <c r="E200" s="90" t="s">
        <v>4954</v>
      </c>
    </row>
    <row r="201" spans="5:11">
      <c r="E201" s="90" t="s">
        <v>5160</v>
      </c>
      <c r="K201" s="90" t="s">
        <v>5151</v>
      </c>
    </row>
    <row r="202" spans="5:11">
      <c r="E202" s="90" t="s">
        <v>5176</v>
      </c>
      <c r="H202" s="92">
        <v>43125</v>
      </c>
      <c r="K202" s="90" t="s">
        <v>5177</v>
      </c>
    </row>
    <row r="203" spans="5:11">
      <c r="E203" s="90" t="s">
        <v>4955</v>
      </c>
      <c r="F203" s="90" t="s">
        <v>4986</v>
      </c>
    </row>
    <row r="204" spans="5:11">
      <c r="E204" s="90" t="s">
        <v>4956</v>
      </c>
      <c r="F204" s="90" t="s">
        <v>4976</v>
      </c>
    </row>
    <row r="205" spans="5:11">
      <c r="E205" s="90" t="s">
        <v>4957</v>
      </c>
      <c r="F205" s="90" t="s">
        <v>4996</v>
      </c>
    </row>
    <row r="206" spans="5:11">
      <c r="E206" s="90" t="s">
        <v>4958</v>
      </c>
      <c r="F206" s="90" t="s">
        <v>4976</v>
      </c>
    </row>
    <row r="207" spans="5:11">
      <c r="E207" s="90" t="s">
        <v>4959</v>
      </c>
      <c r="F207" s="90" t="s">
        <v>5006</v>
      </c>
    </row>
    <row r="208" spans="5:11">
      <c r="E208" s="90" t="s">
        <v>4960</v>
      </c>
      <c r="F208" s="90" t="s">
        <v>5006</v>
      </c>
    </row>
    <row r="209" spans="5:11">
      <c r="E209" s="90" t="s">
        <v>4961</v>
      </c>
      <c r="F209" s="90" t="s">
        <v>4976</v>
      </c>
      <c r="K209" s="90" t="s">
        <v>5110</v>
      </c>
    </row>
    <row r="210" spans="5:11">
      <c r="E210" s="90" t="s">
        <v>4962</v>
      </c>
    </row>
    <row r="211" spans="5:11">
      <c r="E211" s="90" t="s">
        <v>4963</v>
      </c>
    </row>
    <row r="212" spans="5:11">
      <c r="E212" s="90" t="s">
        <v>4964</v>
      </c>
      <c r="F212" s="90" t="s">
        <v>2981</v>
      </c>
      <c r="K212" s="90" t="s">
        <v>5110</v>
      </c>
    </row>
    <row r="213" spans="5:11">
      <c r="E213" s="90" t="s">
        <v>4965</v>
      </c>
      <c r="F213" s="90" t="s">
        <v>2981</v>
      </c>
    </row>
    <row r="214" spans="5:11">
      <c r="E214" s="90" t="s">
        <v>4966</v>
      </c>
      <c r="F214" s="90" t="s">
        <v>4996</v>
      </c>
    </row>
    <row r="215" spans="5:11">
      <c r="E215" s="90" t="s">
        <v>4967</v>
      </c>
      <c r="F215" s="90" t="s">
        <v>2981</v>
      </c>
    </row>
    <row r="216" spans="5:11">
      <c r="E216" s="90" t="s">
        <v>4970</v>
      </c>
      <c r="F216" s="90" t="s">
        <v>4968</v>
      </c>
    </row>
    <row r="217" spans="5:11">
      <c r="E217" s="90" t="s">
        <v>4971</v>
      </c>
      <c r="F217" s="90" t="s">
        <v>4968</v>
      </c>
    </row>
    <row r="218" spans="5:11">
      <c r="E218" s="90" t="s">
        <v>4979</v>
      </c>
      <c r="F218" s="90" t="s">
        <v>4992</v>
      </c>
    </row>
    <row r="219" spans="5:11">
      <c r="E219" s="90" t="s">
        <v>4983</v>
      </c>
      <c r="F219" s="90" t="s">
        <v>4984</v>
      </c>
    </row>
    <row r="220" spans="5:11">
      <c r="E220" s="90" t="s">
        <v>4987</v>
      </c>
      <c r="F220" s="90" t="s">
        <v>4988</v>
      </c>
    </row>
    <row r="221" spans="5:11">
      <c r="E221" s="90" t="s">
        <v>4989</v>
      </c>
      <c r="F221" s="90" t="s">
        <v>4982</v>
      </c>
      <c r="K221" s="90" t="s">
        <v>5153</v>
      </c>
    </row>
    <row r="222" spans="5:11">
      <c r="E222" s="90" t="s">
        <v>4990</v>
      </c>
      <c r="F222" s="90" t="s">
        <v>4991</v>
      </c>
    </row>
    <row r="223" spans="5:11">
      <c r="E223" s="90" t="s">
        <v>4993</v>
      </c>
      <c r="F223" s="90" t="s">
        <v>4994</v>
      </c>
    </row>
    <row r="224" spans="5:11">
      <c r="E224" s="90" t="s">
        <v>5000</v>
      </c>
      <c r="F224" s="90" t="s">
        <v>5001</v>
      </c>
    </row>
    <row r="225" spans="5:11">
      <c r="E225" s="90" t="s">
        <v>5002</v>
      </c>
      <c r="F225" s="90" t="s">
        <v>5003</v>
      </c>
    </row>
    <row r="226" spans="5:11">
      <c r="E226" s="90" t="s">
        <v>5004</v>
      </c>
    </row>
    <row r="227" spans="5:11">
      <c r="E227" s="90" t="s">
        <v>5008</v>
      </c>
      <c r="K227" s="90" t="s">
        <v>5110</v>
      </c>
    </row>
    <row r="228" spans="5:11">
      <c r="E228" s="90" t="s">
        <v>5009</v>
      </c>
      <c r="K228" s="90" t="s">
        <v>5110</v>
      </c>
    </row>
    <row r="229" spans="5:11">
      <c r="E229" s="90" t="s">
        <v>5010</v>
      </c>
      <c r="F229" s="90" t="s">
        <v>5011</v>
      </c>
    </row>
    <row r="230" spans="5:11">
      <c r="E230" s="90" t="s">
        <v>5012</v>
      </c>
      <c r="F230" s="90" t="s">
        <v>2499</v>
      </c>
    </row>
    <row r="231" spans="5:11">
      <c r="E231" s="90" t="s">
        <v>5014</v>
      </c>
      <c r="F231" s="90" t="s">
        <v>2499</v>
      </c>
    </row>
    <row r="232" spans="5:11">
      <c r="E232" s="90" t="s">
        <v>5015</v>
      </c>
      <c r="F232" s="90" t="s">
        <v>5016</v>
      </c>
    </row>
    <row r="233" spans="5:11">
      <c r="E233" s="90" t="s">
        <v>5017</v>
      </c>
      <c r="F233" s="90" t="s">
        <v>5016</v>
      </c>
    </row>
    <row r="234" spans="5:11">
      <c r="E234" s="90" t="s">
        <v>5018</v>
      </c>
      <c r="F234" s="90" t="s">
        <v>5016</v>
      </c>
    </row>
    <row r="235" spans="5:11">
      <c r="E235" s="90" t="s">
        <v>5019</v>
      </c>
      <c r="F235" s="90" t="s">
        <v>2120</v>
      </c>
    </row>
    <row r="236" spans="5:11">
      <c r="E236" s="90" t="s">
        <v>5020</v>
      </c>
      <c r="F236" s="90" t="s">
        <v>2120</v>
      </c>
    </row>
    <row r="237" spans="5:11">
      <c r="E237" s="90" t="s">
        <v>5021</v>
      </c>
      <c r="F237" s="90" t="s">
        <v>2120</v>
      </c>
    </row>
    <row r="238" spans="5:11">
      <c r="E238" s="90" t="s">
        <v>5022</v>
      </c>
      <c r="F238" s="90" t="s">
        <v>2120</v>
      </c>
    </row>
    <row r="239" spans="5:11">
      <c r="E239" s="90" t="s">
        <v>5023</v>
      </c>
      <c r="F239" s="90" t="s">
        <v>2120</v>
      </c>
      <c r="I239" s="90" t="s">
        <v>5110</v>
      </c>
    </row>
    <row r="240" spans="5:11">
      <c r="E240" s="90" t="s">
        <v>5024</v>
      </c>
      <c r="F240" s="90" t="s">
        <v>2120</v>
      </c>
    </row>
    <row r="241" spans="5:9">
      <c r="E241" s="90" t="s">
        <v>5025</v>
      </c>
      <c r="F241" s="90" t="s">
        <v>2120</v>
      </c>
    </row>
    <row r="242" spans="5:9">
      <c r="E242" s="90" t="s">
        <v>5026</v>
      </c>
      <c r="F242" s="90" t="s">
        <v>2494</v>
      </c>
    </row>
    <row r="243" spans="5:9">
      <c r="E243" s="90" t="s">
        <v>5027</v>
      </c>
      <c r="F243" s="90" t="s">
        <v>2494</v>
      </c>
      <c r="I243" s="90" t="s">
        <v>5110</v>
      </c>
    </row>
    <row r="244" spans="5:9">
      <c r="E244" s="90" t="s">
        <v>5028</v>
      </c>
      <c r="F244" s="90" t="s">
        <v>2494</v>
      </c>
    </row>
    <row r="245" spans="5:9">
      <c r="E245" s="90" t="s">
        <v>5029</v>
      </c>
    </row>
    <row r="246" spans="5:9">
      <c r="E246" s="90" t="s">
        <v>5116</v>
      </c>
      <c r="F246" s="90" t="s">
        <v>1574</v>
      </c>
      <c r="I246" s="90" t="s">
        <v>5110</v>
      </c>
    </row>
    <row r="247" spans="5:9">
      <c r="E247" s="90" t="s">
        <v>5115</v>
      </c>
      <c r="F247" s="90" t="s">
        <v>1574</v>
      </c>
      <c r="I247" s="90" t="s">
        <v>5110</v>
      </c>
    </row>
    <row r="248" spans="5:9">
      <c r="E248" s="90" t="s">
        <v>5118</v>
      </c>
      <c r="F248" s="90" t="s">
        <v>1574</v>
      </c>
      <c r="I248" s="90" t="s">
        <v>5110</v>
      </c>
    </row>
    <row r="249" spans="5:9">
      <c r="E249" s="90" t="s">
        <v>5121</v>
      </c>
      <c r="F249" s="90" t="s">
        <v>1574</v>
      </c>
      <c r="I249" s="90" t="s">
        <v>5153</v>
      </c>
    </row>
    <row r="250" spans="5:9">
      <c r="E250" s="90" t="s">
        <v>5124</v>
      </c>
      <c r="F250" s="90" t="s">
        <v>1574</v>
      </c>
      <c r="I250" s="90" t="s">
        <v>5110</v>
      </c>
    </row>
    <row r="251" spans="5:9">
      <c r="E251" s="90" t="s">
        <v>5127</v>
      </c>
      <c r="F251" s="90" t="s">
        <v>1574</v>
      </c>
      <c r="I251" s="90" t="s">
        <v>5110</v>
      </c>
    </row>
    <row r="252" spans="5:9">
      <c r="E252" s="90" t="s">
        <v>5129</v>
      </c>
      <c r="F252" s="90" t="s">
        <v>1574</v>
      </c>
      <c r="I252" s="90" t="s">
        <v>5110</v>
      </c>
    </row>
    <row r="253" spans="5:9">
      <c r="E253" s="90" t="s">
        <v>5130</v>
      </c>
      <c r="F253" s="90" t="s">
        <v>1574</v>
      </c>
      <c r="I253" s="90" t="s">
        <v>5110</v>
      </c>
    </row>
    <row r="254" spans="5:9">
      <c r="E254" s="90" t="s">
        <v>5131</v>
      </c>
      <c r="F254" s="90" t="s">
        <v>1574</v>
      </c>
      <c r="I254" s="90" t="s">
        <v>5110</v>
      </c>
    </row>
    <row r="255" spans="5:9">
      <c r="E255" s="90" t="s">
        <v>5133</v>
      </c>
      <c r="F255" s="90" t="s">
        <v>1574</v>
      </c>
      <c r="I255" s="90" t="s">
        <v>5110</v>
      </c>
    </row>
    <row r="256" spans="5:9">
      <c r="E256" s="90" t="s">
        <v>5135</v>
      </c>
      <c r="F256" s="90" t="s">
        <v>1574</v>
      </c>
      <c r="I256" s="90" t="s">
        <v>5110</v>
      </c>
    </row>
    <row r="257" spans="5:9">
      <c r="E257" s="90" t="s">
        <v>5136</v>
      </c>
      <c r="F257" s="90" t="s">
        <v>1574</v>
      </c>
      <c r="I257" s="90" t="s">
        <v>5110</v>
      </c>
    </row>
    <row r="258" spans="5:9">
      <c r="E258" s="90" t="s">
        <v>5150</v>
      </c>
      <c r="I258" s="90" t="s">
        <v>5151</v>
      </c>
    </row>
    <row r="259" spans="5:9">
      <c r="E259" s="90" t="s">
        <v>5152</v>
      </c>
      <c r="I259" s="90" t="s">
        <v>5151</v>
      </c>
    </row>
    <row r="260" spans="5:9">
      <c r="E260" s="90" t="s">
        <v>5154</v>
      </c>
      <c r="I260" s="90" t="s">
        <v>5151</v>
      </c>
    </row>
    <row r="261" spans="5:9">
      <c r="E261" s="90" t="s">
        <v>5156</v>
      </c>
      <c r="I261" s="90" t="s">
        <v>5151</v>
      </c>
    </row>
    <row r="262" spans="5:9">
      <c r="E262" s="90" t="s">
        <v>5157</v>
      </c>
      <c r="I262" s="90" t="s">
        <v>5151</v>
      </c>
    </row>
    <row r="263" spans="5:9">
      <c r="E263" s="90" t="s">
        <v>5158</v>
      </c>
      <c r="I263" s="90" t="s">
        <v>5151</v>
      </c>
    </row>
    <row r="264" spans="5:9">
      <c r="E264" s="90" t="s">
        <v>5159</v>
      </c>
      <c r="I264" s="90" t="s">
        <v>5151</v>
      </c>
    </row>
    <row r="265" spans="5:9">
      <c r="E265" s="90" t="s">
        <v>5161</v>
      </c>
      <c r="I265" s="90" t="s">
        <v>5151</v>
      </c>
    </row>
    <row r="267" spans="5:9">
      <c r="E267" s="90" t="s">
        <v>5112</v>
      </c>
      <c r="F267" s="90" t="s">
        <v>5114</v>
      </c>
      <c r="I267" s="90" t="s">
        <v>5155</v>
      </c>
    </row>
    <row r="268" spans="5:9">
      <c r="E268" s="90" t="s">
        <v>5117</v>
      </c>
      <c r="F268" s="90" t="s">
        <v>5114</v>
      </c>
      <c r="I268" s="90" t="s">
        <v>5113</v>
      </c>
    </row>
    <row r="269" spans="5:9">
      <c r="E269" s="90" t="s">
        <v>5125</v>
      </c>
      <c r="F269" s="90" t="s">
        <v>5114</v>
      </c>
      <c r="I269" s="90" t="s">
        <v>5155</v>
      </c>
    </row>
    <row r="270" spans="5:9">
      <c r="E270" s="90" t="s">
        <v>5126</v>
      </c>
      <c r="F270" s="90" t="s">
        <v>5114</v>
      </c>
      <c r="I270" s="90" t="s">
        <v>5113</v>
      </c>
    </row>
    <row r="271" spans="5:9">
      <c r="E271" s="90" t="s">
        <v>5119</v>
      </c>
      <c r="F271" s="90" t="s">
        <v>5120</v>
      </c>
    </row>
    <row r="273" spans="3:12">
      <c r="C273" s="90" t="s">
        <v>5170</v>
      </c>
    </row>
    <row r="274" spans="3:12">
      <c r="E274" s="90" t="s">
        <v>5168</v>
      </c>
      <c r="F274" s="90" t="s">
        <v>5171</v>
      </c>
      <c r="H274" s="92">
        <v>42879</v>
      </c>
      <c r="J274" s="28"/>
      <c r="K274" s="90" t="s">
        <v>5172</v>
      </c>
      <c r="L274" s="28" t="s">
        <v>5169</v>
      </c>
    </row>
  </sheetData>
  <hyperlinks>
    <hyperlink ref="J8" r:id="rId1" xr:uid="{798ED00F-DFA6-4EE1-9257-9C35EF3FC55A}"/>
    <hyperlink ref="J158" r:id="rId2" xr:uid="{D544E45F-95B2-49E7-8409-133EF4A58ABE}"/>
    <hyperlink ref="J26" r:id="rId3" xr:uid="{EDBB7E11-A5BA-46C9-85EF-DF3E3C3D7D1A}"/>
    <hyperlink ref="J65" r:id="rId4" xr:uid="{9094A79A-04AF-4419-A574-9CA4960D5A88}"/>
    <hyperlink ref="J122" r:id="rId5" xr:uid="{02197E27-4CCD-4B89-AF6C-5E128A03AAC4}"/>
    <hyperlink ref="J20" r:id="rId6" xr:uid="{771325DD-69DE-4DEB-8C96-996AF3F476E5}"/>
    <hyperlink ref="J19" r:id="rId7" xr:uid="{559FAF39-EA61-4923-8B27-0FB8E40F8C7D}"/>
    <hyperlink ref="J21" r:id="rId8" xr:uid="{5D812F8D-F40F-488A-A817-654D9D438321}"/>
    <hyperlink ref="J130" r:id="rId9" xr:uid="{DDB36237-55BB-4D05-A04F-D6E95357CC68}"/>
    <hyperlink ref="J7" r:id="rId10" xr:uid="{573A50BF-AB4D-4EBA-A8C3-E395FFF9E9D7}"/>
    <hyperlink ref="J12" r:id="rId11" xr:uid="{426FBAF9-D10A-4EF4-8EF7-CA43E0DFF84A}"/>
    <hyperlink ref="L12" r:id="rId12" xr:uid="{D7116D52-7415-4DC8-BCCF-2CA8627E9F42}"/>
    <hyperlink ref="L7" r:id="rId13" xr:uid="{1B7A4A39-EE9E-435B-977C-105C0B04051B}"/>
    <hyperlink ref="L16" r:id="rId14" xr:uid="{D411BB9B-6963-4139-A89D-E8219F9D9691}"/>
    <hyperlink ref="A1" location="Main!A1" display="Main" xr:uid="{451B8011-1F05-4B9E-80AB-3D74F1846F2B}"/>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Companies</vt:lpstr>
      <vt:lpstr>Investors</vt:lpstr>
      <vt:lpstr>NuAI</vt:lpstr>
      <vt:lpstr>Glossary</vt:lpstr>
      <vt:lpstr>Papers</vt:lpstr>
      <vt:lpstr>People</vt:lpstr>
      <vt:lpstr>Transformer</vt:lpstr>
      <vt:lpstr>OpenAI</vt:lpstr>
      <vt:lpstr>DeepMind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2023-07-24T12:35:44Z</dcterms:modified>
</cp:coreProperties>
</file>