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F6A3D93-2439-46D0-A76D-8EDED724FCD1}" xr6:coauthVersionLast="47" xr6:coauthVersionMax="47" xr10:uidLastSave="{00000000-0000-0000-0000-000000000000}"/>
  <bookViews>
    <workbookView xWindow="-38355" yWindow="4395" windowWidth="38700" windowHeight="15345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6" i="1" l="1"/>
  <c r="R24" i="1"/>
  <c r="R23" i="1"/>
  <c r="R22" i="1"/>
  <c r="R21" i="1"/>
  <c r="R20" i="1"/>
  <c r="R19" i="1"/>
  <c r="R18" i="1"/>
  <c r="R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N157" i="1"/>
  <c r="R157" i="1" s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25" i="1"/>
  <c r="R26" i="1"/>
  <c r="R27" i="1"/>
  <c r="R28" i="1"/>
  <c r="R29" i="1"/>
  <c r="R30" i="1"/>
  <c r="R32" i="1"/>
  <c r="R34" i="1"/>
  <c r="R33" i="1"/>
  <c r="A4" i="1"/>
  <c r="A5" i="1" s="1"/>
  <c r="A26" i="1" l="1"/>
  <c r="A27" i="1" s="1"/>
  <c r="A38" i="1" s="1"/>
  <c r="A39" i="1" s="1"/>
  <c r="A40" i="1" s="1"/>
  <c r="W27" i="1" s="1"/>
  <c r="A41" i="1" s="1"/>
  <c r="A42" i="1" s="1"/>
  <c r="A43" i="1" s="1"/>
  <c r="A44" i="1" s="1"/>
  <c r="A45" i="1" s="1"/>
  <c r="A46" i="1" s="1"/>
  <c r="A47" i="1" l="1"/>
  <c r="A48" i="1" s="1"/>
  <c r="W28" i="1" s="1"/>
  <c r="A49" i="1" l="1"/>
  <c r="A50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W29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l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l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l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6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l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l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8" i="1" s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4" i="1" s="1"/>
  <c r="A475" i="1" s="1"/>
  <c r="A476" i="1" s="1"/>
  <c r="A477" i="1" s="1"/>
  <c r="A4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56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<sst xmlns="http://schemas.openxmlformats.org/spreadsheetml/2006/main" count="1461" uniqueCount="835">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</sst>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6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Z648"/>
  <sheetViews>
    <sheetView tabSelected="1" zoomScale="150" zoomScaleNormal="150" workbookViewId="0">
      <pane xSplit="6" ySplit="2" topLeftCell="G624" activePane="bottomRight" state="frozen"/>
      <selection pane="topRight" activeCell="E1" sqref="E1"/>
      <selection pane="bottomLeft" activeCell="A3" sqref="A3"/>
      <selection pane="bottomRight" activeCell="A648" sqref="A648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9.140625" style="2" customWidth="1"/>
    <col min="4" max="4" width="21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10.42578125" style="1" customWidth="1"/>
    <col min="14" max="14" width="10.140625" style="1" customWidth="1"/>
    <col min="15" max="15" width="9.42578125" style="1" customWidth="1"/>
    <col min="16" max="16" width="9.42578125" customWidth="1"/>
    <col min="17" max="17" width="9.140625" bestFit="1" customWidth="1"/>
    <col min="23" max="23" width="22.140625" customWidth="1"/>
    <col min="24" max="24" width="14.28515625" customWidth="1"/>
    <col min="25" max="25" width="8.140625" customWidth="1"/>
    <col min="26" max="26" width="9.42578125" bestFit="1" customWidth="1"/>
  </cols>
  <sheetData>
    <row r="1" spans="1:24" x14ac:dyDescent="0.2">
      <c r="G1" s="2" t="s">
        <v>742</v>
      </c>
      <c r="H1" s="15" t="s">
        <v>741</v>
      </c>
      <c r="I1" s="15" t="s">
        <v>740</v>
      </c>
      <c r="J1" s="2" t="s">
        <v>736</v>
      </c>
      <c r="O1" s="46" t="s">
        <v>746</v>
      </c>
      <c r="P1" s="46"/>
    </row>
    <row r="2" spans="1:24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M2" s="24">
        <v>45127</v>
      </c>
      <c r="N2" s="24">
        <v>45121</v>
      </c>
      <c r="O2" s="24">
        <v>45089</v>
      </c>
      <c r="P2" s="18">
        <v>45088</v>
      </c>
      <c r="Q2" t="s">
        <v>747</v>
      </c>
      <c r="R2" t="s">
        <v>768</v>
      </c>
      <c r="S2" t="s">
        <v>773</v>
      </c>
    </row>
    <row r="3" spans="1:24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M3" s="2">
        <v>77620</v>
      </c>
      <c r="N3" s="2">
        <v>77990</v>
      </c>
      <c r="Q3" s="19">
        <v>0.44027777777777777</v>
      </c>
      <c r="R3" s="8">
        <f>(10+(34/60))*N3</f>
        <v>824094.33333333337</v>
      </c>
      <c r="S3">
        <v>1998</v>
      </c>
    </row>
    <row r="4" spans="1:24" x14ac:dyDescent="0.2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30740</v>
      </c>
      <c r="Q4" s="19">
        <v>0.84930555555555554</v>
      </c>
      <c r="R4" s="8">
        <f>(20+(23/60))*N4</f>
        <v>626583.66666666663</v>
      </c>
      <c r="S4">
        <v>2005</v>
      </c>
      <c r="W4" t="s">
        <v>157</v>
      </c>
    </row>
    <row r="5" spans="1:24" x14ac:dyDescent="0.2">
      <c r="A5" s="2">
        <f t="shared" ref="A5:A68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M5" s="1">
        <v>15730</v>
      </c>
      <c r="N5" s="2">
        <v>15760</v>
      </c>
      <c r="Q5" s="19">
        <v>0.44305555555555554</v>
      </c>
      <c r="R5" s="8">
        <f>(10+(38/60))*N5</f>
        <v>167581.33333333331</v>
      </c>
      <c r="S5">
        <v>2004</v>
      </c>
    </row>
    <row r="6" spans="1:24" x14ac:dyDescent="0.2">
      <c r="A6" s="2">
        <v>4</v>
      </c>
      <c r="B6" s="2">
        <v>4</v>
      </c>
      <c r="C6" s="2">
        <v>12</v>
      </c>
      <c r="D6" t="s">
        <v>22</v>
      </c>
      <c r="E6" t="s">
        <v>2</v>
      </c>
      <c r="F6" s="2">
        <v>1000000</v>
      </c>
      <c r="G6" s="2">
        <v>2096</v>
      </c>
      <c r="H6" s="15">
        <v>74.86</v>
      </c>
      <c r="I6" s="15">
        <v>50.16</v>
      </c>
      <c r="N6" s="2">
        <v>2318</v>
      </c>
      <c r="Q6" s="19">
        <v>0.31597222222222221</v>
      </c>
      <c r="R6" s="8">
        <f>(7+(35/60))*N6</f>
        <v>17578.166666666664</v>
      </c>
      <c r="S6">
        <v>1994</v>
      </c>
    </row>
    <row r="7" spans="1:24" x14ac:dyDescent="0.2">
      <c r="A7" s="2">
        <v>6</v>
      </c>
      <c r="B7" s="2">
        <v>5</v>
      </c>
      <c r="C7" s="2">
        <v>13</v>
      </c>
      <c r="D7" s="3" t="s">
        <v>23</v>
      </c>
      <c r="E7" s="3" t="s">
        <v>724</v>
      </c>
      <c r="F7" s="4">
        <v>4400</v>
      </c>
      <c r="G7" s="4">
        <v>2989</v>
      </c>
      <c r="H7" s="16">
        <v>106.7</v>
      </c>
      <c r="I7" s="15">
        <v>56.75</v>
      </c>
      <c r="L7" s="1" t="s">
        <v>16</v>
      </c>
      <c r="N7" s="2">
        <v>3203</v>
      </c>
      <c r="Q7" s="19">
        <v>0.36736111111111108</v>
      </c>
      <c r="R7" s="8">
        <f>(8+(49/60))*N7</f>
        <v>28239.783333333333</v>
      </c>
      <c r="S7">
        <v>1995</v>
      </c>
    </row>
    <row r="8" spans="1:24" x14ac:dyDescent="0.2">
      <c r="A8" s="2">
        <v>5</v>
      </c>
      <c r="B8" s="2">
        <v>6</v>
      </c>
      <c r="C8" s="2">
        <v>5</v>
      </c>
      <c r="D8" t="s">
        <v>24</v>
      </c>
      <c r="E8" t="s">
        <v>4</v>
      </c>
      <c r="F8" s="2">
        <v>20000</v>
      </c>
      <c r="G8" s="2">
        <v>5910</v>
      </c>
      <c r="H8" s="15">
        <v>211</v>
      </c>
      <c r="I8" s="15">
        <v>113.1</v>
      </c>
      <c r="K8" s="1" t="s">
        <v>12</v>
      </c>
      <c r="L8" s="1" t="s">
        <v>16</v>
      </c>
      <c r="N8" s="2">
        <v>5997</v>
      </c>
      <c r="Q8" s="19">
        <v>0.45</v>
      </c>
      <c r="R8" s="8">
        <f>(10+(48/60))*N8</f>
        <v>64767.600000000006</v>
      </c>
      <c r="S8">
        <v>2006</v>
      </c>
    </row>
    <row r="9" spans="1:24" x14ac:dyDescent="0.2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15">
        <v>210.1</v>
      </c>
      <c r="I9" s="15">
        <v>121.4</v>
      </c>
      <c r="L9" s="1" t="s">
        <v>16</v>
      </c>
      <c r="N9" s="2">
        <v>6141</v>
      </c>
      <c r="Q9" s="19">
        <v>0.34583333333333338</v>
      </c>
      <c r="R9" s="8">
        <f>(8+(18/60))*N9</f>
        <v>50970.3</v>
      </c>
      <c r="S9">
        <v>2010</v>
      </c>
    </row>
    <row r="10" spans="1:24" x14ac:dyDescent="0.2">
      <c r="A10" s="2">
        <v>450</v>
      </c>
      <c r="B10" s="2" t="s">
        <v>775</v>
      </c>
      <c r="C10" s="2">
        <v>8</v>
      </c>
      <c r="D10" t="s">
        <v>774</v>
      </c>
      <c r="I10" s="15"/>
      <c r="N10" s="2">
        <v>3107</v>
      </c>
      <c r="Q10" s="19">
        <v>0.38194444444444442</v>
      </c>
      <c r="R10" s="8">
        <f>(9+(10/60))*N10</f>
        <v>28480.833333333332</v>
      </c>
      <c r="S10">
        <v>1997</v>
      </c>
    </row>
    <row r="11" spans="1:24" x14ac:dyDescent="0.2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4022</v>
      </c>
      <c r="O11" s="7"/>
      <c r="Q11" s="19">
        <v>0.16111111111111112</v>
      </c>
      <c r="R11" s="8">
        <f>(3+(52/60))*N11</f>
        <v>15551.733333333334</v>
      </c>
      <c r="S11">
        <v>2001</v>
      </c>
      <c r="W11" s="10" t="s">
        <v>568</v>
      </c>
    </row>
    <row r="12" spans="1:24" x14ac:dyDescent="0.2">
      <c r="A12" s="2">
        <v>14</v>
      </c>
      <c r="B12" s="2">
        <v>9</v>
      </c>
      <c r="C12" s="2">
        <v>19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1605</v>
      </c>
      <c r="Q12" s="19">
        <v>0.35486111111111113</v>
      </c>
      <c r="R12" s="8">
        <f>(8+(31/60))*N12</f>
        <v>13669.250000000002</v>
      </c>
      <c r="S12">
        <v>2005</v>
      </c>
      <c r="U12" s="1">
        <v>1600</v>
      </c>
      <c r="W12" t="s">
        <v>196</v>
      </c>
      <c r="X12" t="s">
        <v>0</v>
      </c>
    </row>
    <row r="13" spans="1:24" x14ac:dyDescent="0.2">
      <c r="A13" s="2">
        <v>13</v>
      </c>
      <c r="B13" s="2">
        <v>10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1073</v>
      </c>
      <c r="Q13" s="19">
        <v>0.28194444444444444</v>
      </c>
      <c r="R13" s="8">
        <f>(6+(46/60))*N13</f>
        <v>7260.6333333333332</v>
      </c>
      <c r="S13">
        <v>2015</v>
      </c>
      <c r="U13" s="1">
        <v>2800</v>
      </c>
      <c r="W13" t="s">
        <v>346</v>
      </c>
      <c r="X13" t="s">
        <v>0</v>
      </c>
    </row>
    <row r="14" spans="1:24" x14ac:dyDescent="0.2">
      <c r="A14" s="2">
        <v>19</v>
      </c>
      <c r="B14" s="2">
        <v>11</v>
      </c>
      <c r="C14" s="2">
        <v>23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1201</v>
      </c>
      <c r="Q14" s="19">
        <v>0.41875000000000001</v>
      </c>
      <c r="R14" s="8">
        <f>(10+(3/60))*N14</f>
        <v>12070.050000000001</v>
      </c>
      <c r="S14">
        <v>2010</v>
      </c>
      <c r="W14" t="s">
        <v>404</v>
      </c>
      <c r="X14" t="s">
        <v>0</v>
      </c>
    </row>
    <row r="15" spans="1:24" x14ac:dyDescent="0.2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>
        <v>657.6</v>
      </c>
      <c r="Q15" s="19">
        <v>0.28680555555555554</v>
      </c>
      <c r="R15" s="8">
        <f>(6+(53/60))*N15</f>
        <v>4526.4799999999996</v>
      </c>
      <c r="S15">
        <v>2007</v>
      </c>
    </row>
    <row r="16" spans="1:24" x14ac:dyDescent="0.2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>
        <v>1570</v>
      </c>
      <c r="Q16" s="19">
        <v>0.3125</v>
      </c>
      <c r="R16" s="8">
        <f>(7.5)*N16</f>
        <v>11775</v>
      </c>
      <c r="S16">
        <v>2002</v>
      </c>
    </row>
    <row r="17" spans="1:26" x14ac:dyDescent="0.2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>
        <v>548.9</v>
      </c>
      <c r="Q17" s="19">
        <v>0.13819444444444443</v>
      </c>
      <c r="R17" s="8">
        <f>(3+(19/60))*N17</f>
        <v>1820.5183333333332</v>
      </c>
    </row>
    <row r="18" spans="1:26" x14ac:dyDescent="0.2">
      <c r="A18" s="2">
        <v>10</v>
      </c>
      <c r="B18" s="2" t="s">
        <v>775</v>
      </c>
      <c r="C18" s="2">
        <v>7</v>
      </c>
      <c r="D18" t="s">
        <v>30</v>
      </c>
      <c r="I18" s="15"/>
      <c r="N18" s="2">
        <v>2697</v>
      </c>
      <c r="Q18" s="19">
        <v>0.36180555555555555</v>
      </c>
      <c r="R18" s="8">
        <f>(8+(41/60))*N18</f>
        <v>23418.95</v>
      </c>
      <c r="S18">
        <v>2007</v>
      </c>
    </row>
    <row r="19" spans="1:26" x14ac:dyDescent="0.2">
      <c r="A19" s="2">
        <v>9</v>
      </c>
      <c r="B19" s="2" t="s">
        <v>775</v>
      </c>
      <c r="C19" s="2">
        <v>10</v>
      </c>
      <c r="D19" t="s">
        <v>28</v>
      </c>
      <c r="I19" s="15"/>
      <c r="N19" s="2">
        <v>2392</v>
      </c>
      <c r="Q19" s="19">
        <v>0.35486111111111113</v>
      </c>
      <c r="R19" s="8">
        <f>(8+(31/60))*N19</f>
        <v>20371.866666666669</v>
      </c>
      <c r="S19">
        <v>2007</v>
      </c>
    </row>
    <row r="20" spans="1:26" x14ac:dyDescent="0.2">
      <c r="A20" s="2">
        <v>11</v>
      </c>
      <c r="B20" s="2" t="s">
        <v>775</v>
      </c>
      <c r="C20" s="2">
        <v>9</v>
      </c>
      <c r="D20" t="s">
        <v>33</v>
      </c>
      <c r="I20" s="15"/>
      <c r="N20" s="2">
        <v>2157</v>
      </c>
      <c r="Q20" s="19">
        <v>0.3</v>
      </c>
      <c r="R20" s="8">
        <f>(7+(12/60))*N20</f>
        <v>15530.4</v>
      </c>
      <c r="S20">
        <v>1997</v>
      </c>
    </row>
    <row r="21" spans="1:26" x14ac:dyDescent="0.2">
      <c r="A21" s="2">
        <v>1024</v>
      </c>
      <c r="B21" s="2" t="s">
        <v>775</v>
      </c>
      <c r="C21" s="2">
        <v>18</v>
      </c>
      <c r="D21" t="s">
        <v>776</v>
      </c>
      <c r="I21" s="15"/>
      <c r="N21" s="2">
        <v>1892</v>
      </c>
      <c r="Q21" s="19">
        <v>0.39374999999999999</v>
      </c>
      <c r="R21" s="8">
        <f>(9+(27/60))*N21</f>
        <v>17879.399999999998</v>
      </c>
      <c r="S21">
        <v>1996</v>
      </c>
    </row>
    <row r="22" spans="1:26" x14ac:dyDescent="0.2">
      <c r="A22" s="2">
        <v>24237</v>
      </c>
      <c r="B22" s="2" t="s">
        <v>775</v>
      </c>
      <c r="C22" s="2">
        <v>25</v>
      </c>
      <c r="D22" t="s">
        <v>777</v>
      </c>
      <c r="I22" s="15"/>
      <c r="N22" s="2">
        <v>1647</v>
      </c>
      <c r="Q22" s="19">
        <v>0.23611111111111113</v>
      </c>
      <c r="R22" s="8">
        <f>(5+(40/60))*N22</f>
        <v>9333</v>
      </c>
      <c r="S22">
        <v>1992</v>
      </c>
    </row>
    <row r="23" spans="1:26" x14ac:dyDescent="0.2">
      <c r="A23" s="2">
        <v>3282</v>
      </c>
      <c r="B23" s="2" t="s">
        <v>775</v>
      </c>
      <c r="C23" s="2">
        <v>33</v>
      </c>
      <c r="D23" t="s">
        <v>778</v>
      </c>
      <c r="I23" s="15"/>
      <c r="N23" s="2">
        <v>1343</v>
      </c>
      <c r="Q23" s="19">
        <v>0.37083333333333335</v>
      </c>
      <c r="R23" s="8">
        <f>(8+(54/60))*N23</f>
        <v>11952.7</v>
      </c>
      <c r="S23">
        <v>2015</v>
      </c>
    </row>
    <row r="24" spans="1:26" x14ac:dyDescent="0.2">
      <c r="A24" s="2">
        <v>345</v>
      </c>
      <c r="B24" s="2" t="s">
        <v>775</v>
      </c>
      <c r="C24" s="2">
        <v>18</v>
      </c>
      <c r="D24" t="s">
        <v>779</v>
      </c>
      <c r="I24" s="15"/>
      <c r="N24" s="2">
        <v>1162</v>
      </c>
      <c r="Q24" s="19">
        <v>0.52500000000000002</v>
      </c>
      <c r="R24" s="8">
        <f>(12+(36/60))*N24</f>
        <v>14641.199999999999</v>
      </c>
      <c r="S24">
        <v>2006</v>
      </c>
    </row>
    <row r="25" spans="1:26" x14ac:dyDescent="0.2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>
        <v>912.3</v>
      </c>
      <c r="Q25" s="19">
        <v>9.2361111111111116E-2</v>
      </c>
      <c r="R25" s="8">
        <f>(2+(13/60))*N25</f>
        <v>2022.2650000000001</v>
      </c>
    </row>
    <row r="26" spans="1:26" x14ac:dyDescent="0.2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>
        <v>569.79999999999995</v>
      </c>
      <c r="Q26" s="19">
        <v>0.1277777777777778</v>
      </c>
      <c r="R26" s="8">
        <f>(3+(4/60))*N26</f>
        <v>1747.3866666666665</v>
      </c>
      <c r="W26" s="10" t="s">
        <v>678</v>
      </c>
    </row>
    <row r="27" spans="1:26" x14ac:dyDescent="0.2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>
        <v>325.5</v>
      </c>
      <c r="Q27" s="19">
        <v>0.37361111111111112</v>
      </c>
      <c r="R27" s="8">
        <f>(8+(58/60))*N27</f>
        <v>2918.65</v>
      </c>
      <c r="W27" s="11">
        <f>A40+1</f>
        <v>30</v>
      </c>
      <c r="X27" s="11" t="s">
        <v>51</v>
      </c>
      <c r="Y27" s="11" t="s">
        <v>7</v>
      </c>
      <c r="Z27" s="12"/>
    </row>
    <row r="28" spans="1:26" x14ac:dyDescent="0.2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>
        <v>1846</v>
      </c>
      <c r="Q28" s="19">
        <v>0.33611111111111108</v>
      </c>
      <c r="R28" s="8">
        <f>(8+(4/60))*N28</f>
        <v>14891.066666666666</v>
      </c>
      <c r="S28">
        <v>2005</v>
      </c>
      <c r="W28" s="11">
        <f>A48+1</f>
        <v>39</v>
      </c>
      <c r="X28" t="s">
        <v>61</v>
      </c>
      <c r="Y28" t="s">
        <v>7</v>
      </c>
      <c r="Z28" s="2"/>
    </row>
    <row r="29" spans="1:26" x14ac:dyDescent="0.2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>
        <v>746.8</v>
      </c>
      <c r="Q29" s="19">
        <v>0.36180555555555555</v>
      </c>
      <c r="R29" s="8">
        <f>(8+(41/60))*N29</f>
        <v>6484.7133333333331</v>
      </c>
      <c r="W29" s="11">
        <f>A75+1</f>
        <v>67</v>
      </c>
      <c r="X29" t="s">
        <v>92</v>
      </c>
      <c r="Y29" t="s">
        <v>7</v>
      </c>
    </row>
    <row r="30" spans="1:26" x14ac:dyDescent="0.2">
      <c r="A30" s="2">
        <v>21</v>
      </c>
      <c r="B30" s="2">
        <v>20</v>
      </c>
      <c r="C30" s="2">
        <v>29</v>
      </c>
      <c r="D30" t="s">
        <v>41</v>
      </c>
      <c r="E30" t="s">
        <v>7</v>
      </c>
      <c r="F30" s="2">
        <v>2000000</v>
      </c>
      <c r="G30" s="2">
        <v>1155</v>
      </c>
      <c r="H30" s="15">
        <v>41.27</v>
      </c>
      <c r="I30" s="15">
        <v>22.19</v>
      </c>
      <c r="L30" s="1" t="s">
        <v>16</v>
      </c>
      <c r="N30" s="2">
        <v>1095</v>
      </c>
      <c r="Q30" s="19">
        <v>0.27777777777777779</v>
      </c>
      <c r="R30" s="8">
        <f>(6+(40/60))*N30</f>
        <v>7300</v>
      </c>
      <c r="S30">
        <v>2009</v>
      </c>
      <c r="X30" t="s">
        <v>258</v>
      </c>
    </row>
    <row r="31" spans="1:26" x14ac:dyDescent="0.2">
      <c r="D31" t="s">
        <v>58</v>
      </c>
      <c r="E31" t="s">
        <v>6</v>
      </c>
      <c r="I31" s="15"/>
      <c r="N31" s="2"/>
      <c r="Q31" s="19"/>
      <c r="R31" s="8"/>
    </row>
    <row r="32" spans="1:26" x14ac:dyDescent="0.2">
      <c r="A32" s="2">
        <v>21</v>
      </c>
      <c r="D32" t="s">
        <v>42</v>
      </c>
      <c r="E32" t="s">
        <v>530</v>
      </c>
      <c r="F32" s="2">
        <v>3420</v>
      </c>
      <c r="G32" s="2">
        <v>404.8</v>
      </c>
      <c r="H32" s="15">
        <v>14.45</v>
      </c>
      <c r="I32" s="15">
        <v>6.4640000000000004</v>
      </c>
      <c r="N32" s="2">
        <v>178.8</v>
      </c>
      <c r="Q32" s="19">
        <v>0.45624999999999999</v>
      </c>
      <c r="R32" s="8">
        <f>(10+(57/60))*N32</f>
        <v>1957.86</v>
      </c>
    </row>
    <row r="33" spans="1:25" x14ac:dyDescent="0.2">
      <c r="A33" s="2">
        <v>22</v>
      </c>
      <c r="D33" t="s">
        <v>43</v>
      </c>
      <c r="E33" t="s">
        <v>519</v>
      </c>
      <c r="F33" s="2">
        <v>412860</v>
      </c>
      <c r="G33" s="2">
        <v>343.9</v>
      </c>
      <c r="H33" s="15">
        <v>12.28</v>
      </c>
      <c r="I33" s="15">
        <v>9.984</v>
      </c>
      <c r="K33" s="1" t="s">
        <v>11</v>
      </c>
      <c r="L33" s="1" t="s">
        <v>11</v>
      </c>
      <c r="N33" s="2">
        <v>387</v>
      </c>
      <c r="Q33" s="19">
        <v>0.19166666666666665</v>
      </c>
      <c r="R33" s="8">
        <f>(4+(36/60))*N33</f>
        <v>1780.1999999999998</v>
      </c>
    </row>
    <row r="34" spans="1:25" x14ac:dyDescent="0.2">
      <c r="A34" s="2">
        <v>34</v>
      </c>
      <c r="B34" s="2">
        <v>23</v>
      </c>
      <c r="C34" s="2">
        <v>27</v>
      </c>
      <c r="D34" t="s">
        <v>44</v>
      </c>
      <c r="E34" t="s">
        <v>520</v>
      </c>
      <c r="F34" s="2">
        <v>152910</v>
      </c>
      <c r="G34" s="2">
        <v>1291</v>
      </c>
      <c r="H34" s="15">
        <v>46.11</v>
      </c>
      <c r="I34" s="15">
        <v>24.61</v>
      </c>
      <c r="N34" s="2">
        <v>1390</v>
      </c>
      <c r="Q34" s="19">
        <v>0.2298611111111111</v>
      </c>
      <c r="R34" s="8">
        <f>(5+(31/60))*N34</f>
        <v>7668.166666666667</v>
      </c>
      <c r="S34">
        <v>1997</v>
      </c>
    </row>
    <row r="35" spans="1:25" x14ac:dyDescent="0.2">
      <c r="A35" s="2">
        <v>39</v>
      </c>
      <c r="B35" s="2">
        <v>24</v>
      </c>
      <c r="C35" s="2">
        <v>36</v>
      </c>
      <c r="D35" t="s">
        <v>45</v>
      </c>
      <c r="E35" t="s">
        <v>679</v>
      </c>
      <c r="F35" s="2">
        <v>1000</v>
      </c>
      <c r="G35" s="2">
        <v>1037</v>
      </c>
      <c r="H35" s="15">
        <v>37.07</v>
      </c>
      <c r="I35" s="15">
        <v>29.69</v>
      </c>
      <c r="N35" s="2">
        <v>1197</v>
      </c>
      <c r="Q35" s="19">
        <v>4.027777777777778E-2</v>
      </c>
      <c r="R35" s="8">
        <f>(58/60)*N35</f>
        <v>1157.0999999999999</v>
      </c>
      <c r="S35">
        <v>1982</v>
      </c>
    </row>
    <row r="36" spans="1:25" x14ac:dyDescent="0.2">
      <c r="A36" s="2">
        <v>23</v>
      </c>
      <c r="B36" s="2">
        <v>25</v>
      </c>
      <c r="C36" s="2">
        <v>14</v>
      </c>
      <c r="D36" t="s">
        <v>46</v>
      </c>
      <c r="E36" t="s">
        <v>6</v>
      </c>
      <c r="F36" s="2">
        <v>180000</v>
      </c>
      <c r="G36" s="2">
        <v>1898</v>
      </c>
      <c r="H36" s="15">
        <v>67.81</v>
      </c>
      <c r="I36" s="15">
        <v>52.79</v>
      </c>
      <c r="N36" s="2">
        <v>2042</v>
      </c>
      <c r="Q36" s="19">
        <v>0.15625</v>
      </c>
      <c r="R36" s="8">
        <f>(3+(45/60))*N36</f>
        <v>7657.5</v>
      </c>
      <c r="S36">
        <v>2016</v>
      </c>
    </row>
    <row r="37" spans="1:25" x14ac:dyDescent="0.2">
      <c r="A37" s="2">
        <v>26</v>
      </c>
      <c r="D37" t="s">
        <v>47</v>
      </c>
      <c r="E37" t="s">
        <v>531</v>
      </c>
      <c r="F37" s="8">
        <v>10740</v>
      </c>
      <c r="G37" s="2">
        <v>291.8</v>
      </c>
      <c r="H37" s="15">
        <v>10.42</v>
      </c>
      <c r="I37" s="15">
        <v>7.625</v>
      </c>
      <c r="N37" s="2">
        <v>312.60000000000002</v>
      </c>
      <c r="Q37" s="19">
        <v>0.25763888888888892</v>
      </c>
      <c r="R37" s="8">
        <f>(6+(11/60))*N37</f>
        <v>1932.9100000000003</v>
      </c>
    </row>
    <row r="38" spans="1:25" x14ac:dyDescent="0.2">
      <c r="A38" s="2">
        <f t="shared" si="0"/>
        <v>27</v>
      </c>
      <c r="D38" t="s">
        <v>48</v>
      </c>
      <c r="E38" t="s">
        <v>521</v>
      </c>
      <c r="F38" s="2">
        <v>15820</v>
      </c>
      <c r="G38" s="2">
        <v>287.7</v>
      </c>
      <c r="H38" s="15">
        <v>10.27</v>
      </c>
      <c r="I38" s="15">
        <v>5.9850000000000003</v>
      </c>
      <c r="N38" s="2">
        <v>268.8</v>
      </c>
      <c r="Q38" s="19">
        <v>0.2673611111111111</v>
      </c>
      <c r="R38" s="8">
        <f>(6+(25/60))*N38</f>
        <v>1724.8000000000002</v>
      </c>
    </row>
    <row r="39" spans="1:25" x14ac:dyDescent="0.2">
      <c r="A39" s="2">
        <f t="shared" si="0"/>
        <v>28</v>
      </c>
      <c r="D39" t="s">
        <v>49</v>
      </c>
      <c r="E39" t="s">
        <v>6</v>
      </c>
      <c r="F39" s="2">
        <v>2000</v>
      </c>
      <c r="G39" s="2">
        <v>675.9</v>
      </c>
      <c r="H39" s="15">
        <v>24.14</v>
      </c>
      <c r="I39" s="15">
        <v>19.010000000000002</v>
      </c>
      <c r="N39" s="2">
        <v>643</v>
      </c>
      <c r="Q39" s="19">
        <v>0.12916666666666668</v>
      </c>
      <c r="R39" s="8">
        <f>(3+(6/60))*N39</f>
        <v>1993.3</v>
      </c>
    </row>
    <row r="40" spans="1:25" x14ac:dyDescent="0.2">
      <c r="A40" s="2">
        <f t="shared" si="0"/>
        <v>29</v>
      </c>
      <c r="D40" t="s">
        <v>50</v>
      </c>
      <c r="E40" t="s">
        <v>532</v>
      </c>
      <c r="F40" s="2">
        <v>14720</v>
      </c>
      <c r="G40" s="2">
        <v>916.8</v>
      </c>
      <c r="H40" s="15">
        <v>32.74</v>
      </c>
      <c r="I40" s="15">
        <v>24.51</v>
      </c>
      <c r="N40" s="2">
        <v>945.3</v>
      </c>
      <c r="Q40" s="19">
        <v>0.25</v>
      </c>
      <c r="R40" s="8">
        <f>6*N40</f>
        <v>5671.7999999999993</v>
      </c>
    </row>
    <row r="41" spans="1:25" x14ac:dyDescent="0.2">
      <c r="A41" s="2">
        <f>W27+1</f>
        <v>31</v>
      </c>
      <c r="D41" t="s">
        <v>52</v>
      </c>
      <c r="E41" t="s">
        <v>522</v>
      </c>
      <c r="F41" s="2">
        <v>24420</v>
      </c>
      <c r="G41" s="2">
        <v>716.2</v>
      </c>
      <c r="H41" s="15">
        <v>25.57</v>
      </c>
      <c r="I41" s="15">
        <v>9.7479999999999993</v>
      </c>
      <c r="N41" s="2">
        <v>801.5</v>
      </c>
      <c r="Q41" s="19">
        <v>0.56944444444444442</v>
      </c>
      <c r="R41" s="8">
        <f>(13+(40/60))*N41</f>
        <v>10953.833333333332</v>
      </c>
    </row>
    <row r="42" spans="1:25" x14ac:dyDescent="0.2">
      <c r="A42" s="2">
        <f t="shared" si="0"/>
        <v>32</v>
      </c>
      <c r="D42" t="s">
        <v>53</v>
      </c>
      <c r="E42" t="s">
        <v>523</v>
      </c>
      <c r="F42" s="2">
        <v>11850</v>
      </c>
      <c r="G42" s="2">
        <v>430.7</v>
      </c>
      <c r="H42" s="15">
        <v>15.38</v>
      </c>
      <c r="I42" s="15">
        <v>11.52</v>
      </c>
      <c r="N42" s="2">
        <v>417.9</v>
      </c>
      <c r="Q42" s="19">
        <v>0.24027777777777778</v>
      </c>
      <c r="R42" s="8">
        <f>(5+(46/60))*N42</f>
        <v>2409.89</v>
      </c>
    </row>
    <row r="43" spans="1:25" x14ac:dyDescent="0.2">
      <c r="A43" s="2">
        <f t="shared" si="0"/>
        <v>33</v>
      </c>
      <c r="D43" t="s">
        <v>54</v>
      </c>
      <c r="E43" t="s">
        <v>6</v>
      </c>
      <c r="F43" s="2">
        <v>200</v>
      </c>
      <c r="G43" s="2">
        <v>680.1</v>
      </c>
      <c r="H43" s="15">
        <v>24.29</v>
      </c>
      <c r="I43" s="15">
        <v>16</v>
      </c>
      <c r="N43" s="2">
        <v>706.2</v>
      </c>
      <c r="Q43" s="19">
        <v>0.21666666666666667</v>
      </c>
      <c r="R43" s="8">
        <f>(5+(12/60))*N43</f>
        <v>3672.2400000000002</v>
      </c>
    </row>
    <row r="44" spans="1:25" x14ac:dyDescent="0.2">
      <c r="A44" s="2">
        <f t="shared" si="0"/>
        <v>34</v>
      </c>
      <c r="D44" t="s">
        <v>55</v>
      </c>
      <c r="E44" t="s">
        <v>524</v>
      </c>
      <c r="F44" s="2">
        <v>19090</v>
      </c>
      <c r="G44" s="2">
        <v>782.5</v>
      </c>
      <c r="H44" s="15">
        <v>27.94</v>
      </c>
      <c r="I44" s="15">
        <v>19.75</v>
      </c>
      <c r="N44" s="2">
        <v>711.5</v>
      </c>
      <c r="Q44" s="19">
        <v>0.14583333333333334</v>
      </c>
      <c r="R44" s="8">
        <f>(3.5)*N44</f>
        <v>2490.25</v>
      </c>
    </row>
    <row r="45" spans="1:25" x14ac:dyDescent="0.2">
      <c r="A45" s="2">
        <f t="shared" si="0"/>
        <v>35</v>
      </c>
      <c r="D45" t="s">
        <v>56</v>
      </c>
      <c r="E45" t="s">
        <v>533</v>
      </c>
      <c r="F45" s="2">
        <v>65000</v>
      </c>
      <c r="G45" s="2">
        <v>545.5</v>
      </c>
      <c r="H45" s="15">
        <v>19.48</v>
      </c>
      <c r="I45" s="15">
        <v>14.08</v>
      </c>
      <c r="N45" s="2">
        <v>570.1</v>
      </c>
      <c r="Q45" s="19">
        <v>0.2722222222222222</v>
      </c>
      <c r="R45" s="8">
        <f>(6+(32/60))*N45</f>
        <v>3724.6533333333332</v>
      </c>
    </row>
    <row r="46" spans="1:25" x14ac:dyDescent="0.2">
      <c r="A46" s="2">
        <f t="shared" si="0"/>
        <v>36</v>
      </c>
      <c r="D46" t="s">
        <v>57</v>
      </c>
      <c r="E46" t="s">
        <v>6</v>
      </c>
      <c r="F46" s="2">
        <v>1000</v>
      </c>
      <c r="G46" s="2">
        <v>509.6</v>
      </c>
      <c r="H46" s="15">
        <v>18.2</v>
      </c>
      <c r="I46" s="15">
        <v>13.96</v>
      </c>
      <c r="N46" s="2">
        <v>599.4</v>
      </c>
      <c r="Q46" s="19">
        <v>5.1388888888888894E-2</v>
      </c>
      <c r="R46" s="8">
        <f>(1+(14/60))*N46</f>
        <v>739.26</v>
      </c>
    </row>
    <row r="47" spans="1:25" x14ac:dyDescent="0.2">
      <c r="A47" s="2">
        <f t="shared" si="0"/>
        <v>37</v>
      </c>
      <c r="D47" t="s">
        <v>59</v>
      </c>
      <c r="E47" t="s">
        <v>541</v>
      </c>
      <c r="F47" s="2">
        <v>0</v>
      </c>
      <c r="G47" s="2">
        <v>719.1</v>
      </c>
      <c r="H47" s="15">
        <v>7.86</v>
      </c>
      <c r="I47" s="15">
        <v>5.1890000000000001</v>
      </c>
      <c r="N47" s="2">
        <v>238.7</v>
      </c>
      <c r="Q47" s="19">
        <v>0.1125</v>
      </c>
      <c r="R47" s="8">
        <f>(2+(42/60))*N47</f>
        <v>644.49</v>
      </c>
    </row>
    <row r="48" spans="1:25" x14ac:dyDescent="0.2">
      <c r="A48" s="2">
        <f t="shared" si="0"/>
        <v>38</v>
      </c>
      <c r="D48" t="s">
        <v>60</v>
      </c>
      <c r="E48" t="s">
        <v>2</v>
      </c>
      <c r="F48" s="2">
        <v>1000000</v>
      </c>
      <c r="G48" s="2">
        <v>1071</v>
      </c>
      <c r="H48" s="15">
        <v>35</v>
      </c>
      <c r="I48" s="15">
        <v>12.88</v>
      </c>
      <c r="N48" s="2">
        <v>1002</v>
      </c>
      <c r="Q48" s="19">
        <v>0.37847222222222227</v>
      </c>
      <c r="R48" s="8">
        <f>(9+(5/60))*N48</f>
        <v>9101.5</v>
      </c>
      <c r="W48" t="s">
        <v>28</v>
      </c>
      <c r="X48" t="s">
        <v>6</v>
      </c>
      <c r="Y48" s="2">
        <v>1000</v>
      </c>
    </row>
    <row r="49" spans="1:25" x14ac:dyDescent="0.2">
      <c r="A49" s="2">
        <f>W28+1</f>
        <v>40</v>
      </c>
      <c r="D49" t="s">
        <v>63</v>
      </c>
      <c r="E49" t="s">
        <v>525</v>
      </c>
      <c r="F49" s="2">
        <v>290540</v>
      </c>
      <c r="G49" s="2">
        <v>181.2</v>
      </c>
      <c r="H49" s="15">
        <v>7.25</v>
      </c>
      <c r="I49" s="15">
        <v>5.6109999999999998</v>
      </c>
      <c r="N49" s="2">
        <v>208.2</v>
      </c>
      <c r="Q49" s="19">
        <v>0.20347222222222219</v>
      </c>
      <c r="R49" s="8">
        <f>(4+(53/60))*N49</f>
        <v>1016.7099999999998</v>
      </c>
      <c r="W49" t="s">
        <v>30</v>
      </c>
      <c r="X49" t="s">
        <v>6</v>
      </c>
      <c r="Y49" s="2">
        <v>1000</v>
      </c>
    </row>
    <row r="50" spans="1:25" x14ac:dyDescent="0.2">
      <c r="A50" s="2">
        <f t="shared" si="0"/>
        <v>41</v>
      </c>
      <c r="D50" t="s">
        <v>64</v>
      </c>
      <c r="E50" t="s">
        <v>3</v>
      </c>
      <c r="F50" s="2">
        <v>5500</v>
      </c>
      <c r="G50" s="2">
        <v>232.6</v>
      </c>
      <c r="H50" s="15">
        <v>7.92</v>
      </c>
      <c r="I50" s="15">
        <v>3.5169999999999999</v>
      </c>
      <c r="N50" s="2">
        <v>243.5</v>
      </c>
      <c r="Q50" s="19">
        <v>0.4770833333333333</v>
      </c>
      <c r="R50" s="8">
        <f>(11+(27/60))*N50</f>
        <v>2788.0749999999998</v>
      </c>
      <c r="W50" t="s">
        <v>33</v>
      </c>
      <c r="X50" t="s">
        <v>6</v>
      </c>
      <c r="Y50" s="2">
        <v>1000</v>
      </c>
    </row>
    <row r="51" spans="1:25" x14ac:dyDescent="0.2">
      <c r="A51" s="2">
        <v>81</v>
      </c>
      <c r="B51" s="2">
        <v>42</v>
      </c>
      <c r="C51" s="2">
        <v>22</v>
      </c>
      <c r="D51" t="s">
        <v>65</v>
      </c>
      <c r="E51" t="s">
        <v>6</v>
      </c>
      <c r="F51" s="2">
        <v>29000</v>
      </c>
      <c r="G51" s="2">
        <v>1504</v>
      </c>
      <c r="H51" s="15">
        <v>59.85</v>
      </c>
      <c r="I51" s="15">
        <v>35.47</v>
      </c>
      <c r="M51" s="2">
        <v>1406</v>
      </c>
      <c r="N51" s="2">
        <v>1448</v>
      </c>
      <c r="Q51" s="19">
        <v>0.18333333333333335</v>
      </c>
      <c r="R51" s="8">
        <f>(4+(24/60))*N51</f>
        <v>6371.2000000000007</v>
      </c>
      <c r="S51">
        <v>2015</v>
      </c>
      <c r="W51" t="s">
        <v>58</v>
      </c>
      <c r="X51" t="s">
        <v>6</v>
      </c>
    </row>
    <row r="52" spans="1:25" x14ac:dyDescent="0.2">
      <c r="A52" s="2">
        <v>43</v>
      </c>
      <c r="D52" t="s">
        <v>66</v>
      </c>
      <c r="E52" t="s">
        <v>2</v>
      </c>
      <c r="F52" s="2">
        <v>1000000</v>
      </c>
      <c r="G52" s="2">
        <v>499.9</v>
      </c>
      <c r="H52" s="15">
        <v>16.05</v>
      </c>
      <c r="I52" s="15">
        <v>12.63</v>
      </c>
      <c r="N52" s="2">
        <v>476.5</v>
      </c>
      <c r="Q52" s="19">
        <v>0.1361111111111111</v>
      </c>
      <c r="R52" s="8">
        <f>(3+(16/60))*N52</f>
        <v>1556.5666666666666</v>
      </c>
      <c r="W52" t="s">
        <v>62</v>
      </c>
      <c r="X52" t="s">
        <v>6</v>
      </c>
    </row>
    <row r="53" spans="1:25" x14ac:dyDescent="0.2">
      <c r="A53" s="2">
        <v>44</v>
      </c>
      <c r="D53" t="s">
        <v>67</v>
      </c>
      <c r="E53" t="s">
        <v>526</v>
      </c>
      <c r="F53" s="2">
        <v>171400</v>
      </c>
      <c r="N53" s="2">
        <v>209.6</v>
      </c>
      <c r="Q53" s="19">
        <v>0.14305555555555557</v>
      </c>
      <c r="R53" s="8">
        <f>(3+(26/60))*N53</f>
        <v>719.62666666666667</v>
      </c>
      <c r="W53" t="s">
        <v>76</v>
      </c>
    </row>
    <row r="54" spans="1:25" x14ac:dyDescent="0.2">
      <c r="A54" s="2">
        <f t="shared" si="0"/>
        <v>45</v>
      </c>
      <c r="D54" t="s">
        <v>68</v>
      </c>
      <c r="E54" t="s">
        <v>6</v>
      </c>
      <c r="F54" s="2">
        <v>1000</v>
      </c>
      <c r="N54" s="2">
        <v>193.8</v>
      </c>
      <c r="Q54" s="19">
        <v>0.32777777777777778</v>
      </c>
      <c r="R54" s="8">
        <f>(7+(52/60))*N54</f>
        <v>1524.5600000000002</v>
      </c>
      <c r="W54" t="s">
        <v>77</v>
      </c>
    </row>
    <row r="55" spans="1:25" x14ac:dyDescent="0.2">
      <c r="A55" s="2">
        <f t="shared" si="0"/>
        <v>46</v>
      </c>
      <c r="D55" t="s">
        <v>69</v>
      </c>
      <c r="E55" t="s">
        <v>6</v>
      </c>
      <c r="F55" s="2">
        <v>500</v>
      </c>
      <c r="N55" s="2">
        <v>181.7</v>
      </c>
      <c r="Q55" s="19">
        <v>7.8472222222222221E-2</v>
      </c>
      <c r="R55" s="8">
        <f>(1+(53/60))*N55</f>
        <v>342.20166666666665</v>
      </c>
      <c r="W55" t="s">
        <v>140</v>
      </c>
    </row>
    <row r="56" spans="1:25" x14ac:dyDescent="0.2">
      <c r="A56" s="2">
        <f t="shared" si="0"/>
        <v>47</v>
      </c>
      <c r="D56" t="s">
        <v>70</v>
      </c>
      <c r="E56" t="s">
        <v>528</v>
      </c>
      <c r="F56" s="2">
        <v>392730</v>
      </c>
      <c r="N56" s="2">
        <v>181.3</v>
      </c>
      <c r="Q56" s="19">
        <v>0.28125</v>
      </c>
      <c r="R56" s="8">
        <f>(6+(45/60))*N56</f>
        <v>1223.7750000000001</v>
      </c>
      <c r="W56" t="s">
        <v>165</v>
      </c>
    </row>
    <row r="57" spans="1:25" x14ac:dyDescent="0.2">
      <c r="A57" s="2">
        <f t="shared" si="0"/>
        <v>48</v>
      </c>
      <c r="D57" t="s">
        <v>71</v>
      </c>
      <c r="E57" t="s">
        <v>527</v>
      </c>
      <c r="F57" s="2">
        <v>70570</v>
      </c>
      <c r="N57" s="2">
        <v>415</v>
      </c>
      <c r="Q57" s="19">
        <v>0.15138888888888888</v>
      </c>
      <c r="R57" s="8">
        <f>(3+(38/60))*N57</f>
        <v>1507.8333333333333</v>
      </c>
      <c r="W57" t="s">
        <v>313</v>
      </c>
    </row>
    <row r="58" spans="1:25" x14ac:dyDescent="0.2">
      <c r="A58" s="2">
        <f t="shared" si="0"/>
        <v>49</v>
      </c>
      <c r="D58" t="s">
        <v>72</v>
      </c>
      <c r="E58" t="s">
        <v>9</v>
      </c>
      <c r="F58" s="2">
        <v>167830</v>
      </c>
      <c r="N58" s="2">
        <v>169.3</v>
      </c>
      <c r="Q58" s="19">
        <v>0.47847222222222219</v>
      </c>
      <c r="R58" s="8">
        <f>(11+(29/60))*N58</f>
        <v>1944.1283333333333</v>
      </c>
      <c r="W58" t="s">
        <v>282</v>
      </c>
    </row>
    <row r="59" spans="1:25" x14ac:dyDescent="0.2">
      <c r="A59" s="2">
        <f t="shared" si="0"/>
        <v>50</v>
      </c>
      <c r="D59" t="s">
        <v>73</v>
      </c>
      <c r="E59" t="s">
        <v>7</v>
      </c>
      <c r="F59" s="2">
        <v>2000000</v>
      </c>
      <c r="M59" s="1">
        <v>721.3</v>
      </c>
      <c r="N59" s="2">
        <v>729.4</v>
      </c>
      <c r="Q59" s="19">
        <v>0.18402777777777779</v>
      </c>
      <c r="R59" s="8">
        <f>(4+(25/60))*N59</f>
        <v>3221.5166666666669</v>
      </c>
      <c r="W59" t="s">
        <v>283</v>
      </c>
    </row>
    <row r="60" spans="1:25" x14ac:dyDescent="0.2">
      <c r="A60" s="2">
        <f t="shared" si="0"/>
        <v>51</v>
      </c>
      <c r="D60" t="s">
        <v>74</v>
      </c>
      <c r="E60" t="s">
        <v>535</v>
      </c>
      <c r="F60" s="2">
        <v>119540</v>
      </c>
      <c r="N60" s="2">
        <v>111.9</v>
      </c>
      <c r="Q60" s="19">
        <v>0.49236111111111108</v>
      </c>
      <c r="R60" s="8">
        <f>(11+(49/60))*N60</f>
        <v>1322.2850000000001</v>
      </c>
      <c r="W60" t="s">
        <v>266</v>
      </c>
    </row>
    <row r="61" spans="1:25" x14ac:dyDescent="0.2">
      <c r="A61" s="2">
        <f t="shared" si="0"/>
        <v>52</v>
      </c>
      <c r="D61" t="s">
        <v>75</v>
      </c>
      <c r="N61" s="2">
        <v>328.9</v>
      </c>
      <c r="Q61" s="19">
        <v>0.67152777777777783</v>
      </c>
      <c r="R61" s="8">
        <f>(16+(7/60))*N61</f>
        <v>5300.7716666666665</v>
      </c>
      <c r="W61" t="s">
        <v>261</v>
      </c>
    </row>
    <row r="62" spans="1:25" x14ac:dyDescent="0.2">
      <c r="A62" s="2">
        <f t="shared" si="0"/>
        <v>53</v>
      </c>
      <c r="D62" t="s">
        <v>78</v>
      </c>
      <c r="E62" t="s">
        <v>6</v>
      </c>
      <c r="F62" s="2">
        <v>5000</v>
      </c>
      <c r="N62" s="2">
        <v>296.60000000000002</v>
      </c>
      <c r="Q62" s="19">
        <v>0.21944444444444444</v>
      </c>
      <c r="R62" s="8">
        <f>(5+(16/60))*N62</f>
        <v>1562.0933333333335</v>
      </c>
      <c r="W62" t="s">
        <v>192</v>
      </c>
    </row>
    <row r="63" spans="1:25" x14ac:dyDescent="0.2">
      <c r="A63" s="2">
        <f t="shared" si="0"/>
        <v>54</v>
      </c>
      <c r="D63" t="s">
        <v>79</v>
      </c>
      <c r="E63" t="s">
        <v>677</v>
      </c>
      <c r="F63" s="2">
        <v>863</v>
      </c>
      <c r="N63" s="2">
        <v>165.3</v>
      </c>
      <c r="Q63" s="19">
        <v>0.12083333333333333</v>
      </c>
      <c r="R63" s="8">
        <f>(2+(54/60))*N63</f>
        <v>479.37</v>
      </c>
      <c r="W63" t="s">
        <v>371</v>
      </c>
    </row>
    <row r="64" spans="1:25" x14ac:dyDescent="0.2">
      <c r="A64" s="2">
        <f t="shared" si="0"/>
        <v>55</v>
      </c>
      <c r="D64" t="s">
        <v>80</v>
      </c>
      <c r="E64" t="s">
        <v>542</v>
      </c>
      <c r="F64" s="2">
        <v>200000</v>
      </c>
      <c r="N64" s="2">
        <v>162.30000000000001</v>
      </c>
      <c r="Q64" s="19">
        <v>0.12638888888888888</v>
      </c>
      <c r="R64" s="8">
        <f>(3+(2/60))*N64</f>
        <v>492.31</v>
      </c>
      <c r="W64" t="s">
        <v>388</v>
      </c>
    </row>
    <row r="65" spans="1:23" x14ac:dyDescent="0.2">
      <c r="A65" s="2">
        <f t="shared" si="0"/>
        <v>56</v>
      </c>
      <c r="D65" t="s">
        <v>81</v>
      </c>
      <c r="E65" t="s">
        <v>676</v>
      </c>
      <c r="F65" s="2">
        <v>10280</v>
      </c>
      <c r="N65" s="2">
        <v>165.8</v>
      </c>
      <c r="Q65" s="19">
        <v>0.1076388888888889</v>
      </c>
      <c r="R65" s="8">
        <f>(2+(35/60))*N65</f>
        <v>428.31666666666672</v>
      </c>
      <c r="W65" t="s">
        <v>502</v>
      </c>
    </row>
    <row r="66" spans="1:23" x14ac:dyDescent="0.2">
      <c r="A66" s="2">
        <f t="shared" si="0"/>
        <v>57</v>
      </c>
      <c r="D66" t="s">
        <v>82</v>
      </c>
      <c r="E66" t="s">
        <v>552</v>
      </c>
      <c r="F66" s="2">
        <v>73170</v>
      </c>
      <c r="N66" s="1">
        <v>147.69999999999999</v>
      </c>
      <c r="Q66" s="19">
        <v>0.16111111111111112</v>
      </c>
      <c r="R66" s="8">
        <f>(3+(52/60))*N66</f>
        <v>571.10666666666668</v>
      </c>
      <c r="W66" t="s">
        <v>486</v>
      </c>
    </row>
    <row r="67" spans="1:23" x14ac:dyDescent="0.2">
      <c r="A67" s="2">
        <f t="shared" si="0"/>
        <v>58</v>
      </c>
      <c r="D67" t="s">
        <v>83</v>
      </c>
      <c r="E67" t="s">
        <v>553</v>
      </c>
      <c r="F67" s="2">
        <v>145640</v>
      </c>
      <c r="N67" s="1">
        <v>177.7</v>
      </c>
      <c r="Q67" s="19">
        <v>0.12430555555555556</v>
      </c>
      <c r="R67" s="8">
        <f>(2+(59/60))*N67</f>
        <v>530.13833333333332</v>
      </c>
      <c r="W67" t="s">
        <v>472</v>
      </c>
    </row>
    <row r="68" spans="1:23" x14ac:dyDescent="0.2">
      <c r="A68" s="2">
        <f t="shared" si="0"/>
        <v>59</v>
      </c>
      <c r="D68" t="s">
        <v>84</v>
      </c>
      <c r="E68" t="s">
        <v>0</v>
      </c>
      <c r="F68" s="2">
        <v>1000000</v>
      </c>
      <c r="N68" s="1">
        <v>366.3</v>
      </c>
      <c r="Q68" s="19">
        <v>0.23680555555555557</v>
      </c>
      <c r="R68" s="8">
        <f>(5+(41/60))*N68</f>
        <v>2081.8050000000003</v>
      </c>
      <c r="W68" t="s">
        <v>480</v>
      </c>
    </row>
    <row r="69" spans="1:23" x14ac:dyDescent="0.2">
      <c r="A69" s="2">
        <f t="shared" ref="A69:A130" si="1">A68+1</f>
        <v>60</v>
      </c>
      <c r="D69" t="s">
        <v>85</v>
      </c>
      <c r="E69" t="s">
        <v>554</v>
      </c>
      <c r="F69" s="2">
        <v>27530</v>
      </c>
      <c r="N69" s="1">
        <v>447.6</v>
      </c>
      <c r="Q69" s="19">
        <v>0.35902777777777778</v>
      </c>
      <c r="R69" s="8">
        <f>(8+(37/60))*N69</f>
        <v>3856.8200000000006</v>
      </c>
      <c r="W69" t="s">
        <v>458</v>
      </c>
    </row>
    <row r="70" spans="1:23" x14ac:dyDescent="0.2">
      <c r="A70" s="2">
        <f t="shared" si="1"/>
        <v>61</v>
      </c>
      <c r="D70" t="s">
        <v>86</v>
      </c>
      <c r="E70" t="s">
        <v>539</v>
      </c>
      <c r="F70" s="2">
        <v>167900</v>
      </c>
      <c r="N70" s="1">
        <v>123.9</v>
      </c>
      <c r="Q70" s="19">
        <v>0.28402777777777777</v>
      </c>
      <c r="R70" s="8">
        <f>(6+(49/60))*N70</f>
        <v>844.58500000000004</v>
      </c>
      <c r="W70" t="s">
        <v>322</v>
      </c>
    </row>
    <row r="71" spans="1:23" x14ac:dyDescent="0.2">
      <c r="A71" s="2">
        <f t="shared" si="1"/>
        <v>62</v>
      </c>
      <c r="D71" t="s">
        <v>87</v>
      </c>
      <c r="E71" t="s">
        <v>536</v>
      </c>
      <c r="F71" s="2">
        <v>2500000</v>
      </c>
      <c r="N71" s="1">
        <v>416.9</v>
      </c>
      <c r="Q71" s="19">
        <v>0.11388888888888889</v>
      </c>
      <c r="R71" s="8">
        <f>(2+(44/60))*N71</f>
        <v>1139.5266666666666</v>
      </c>
      <c r="W71" t="s">
        <v>373</v>
      </c>
    </row>
    <row r="72" spans="1:23" x14ac:dyDescent="0.2">
      <c r="A72" s="2">
        <f t="shared" si="1"/>
        <v>63</v>
      </c>
      <c r="D72" t="s">
        <v>88</v>
      </c>
      <c r="E72" t="s">
        <v>676</v>
      </c>
      <c r="F72" s="2">
        <v>10280</v>
      </c>
      <c r="N72" s="1">
        <v>132.80000000000001</v>
      </c>
      <c r="Q72" s="19">
        <v>0.23750000000000002</v>
      </c>
      <c r="R72" s="8">
        <f>(5+(42/60))*N72</f>
        <v>756.96</v>
      </c>
      <c r="W72" t="s">
        <v>466</v>
      </c>
    </row>
    <row r="73" spans="1:23" x14ac:dyDescent="0.2">
      <c r="A73" s="2">
        <f t="shared" si="1"/>
        <v>64</v>
      </c>
      <c r="D73" t="s">
        <v>89</v>
      </c>
      <c r="E73" t="s">
        <v>3</v>
      </c>
      <c r="F73" s="2">
        <v>5000</v>
      </c>
      <c r="N73" s="1">
        <v>205.9</v>
      </c>
      <c r="Q73" s="19">
        <v>0.18402777777777779</v>
      </c>
      <c r="R73" s="8">
        <f>(4+(25/60))*N73</f>
        <v>909.39166666666677</v>
      </c>
      <c r="W73" t="s">
        <v>473</v>
      </c>
    </row>
    <row r="74" spans="1:23" x14ac:dyDescent="0.2">
      <c r="A74" s="2">
        <f t="shared" si="1"/>
        <v>65</v>
      </c>
      <c r="D74" t="s">
        <v>90</v>
      </c>
      <c r="E74" t="s">
        <v>609</v>
      </c>
      <c r="F74" s="2">
        <v>2050</v>
      </c>
      <c r="N74" s="1">
        <v>142.30000000000001</v>
      </c>
      <c r="Q74" s="19">
        <v>0.11388888888888889</v>
      </c>
      <c r="R74" s="8">
        <f>(2+(44/60))*N74</f>
        <v>388.95333333333338</v>
      </c>
      <c r="W74" t="s">
        <v>498</v>
      </c>
    </row>
    <row r="75" spans="1:23" x14ac:dyDescent="0.2">
      <c r="A75" s="2">
        <f t="shared" si="1"/>
        <v>66</v>
      </c>
      <c r="D75" t="s">
        <v>91</v>
      </c>
      <c r="E75" t="s">
        <v>608</v>
      </c>
      <c r="F75" s="2">
        <v>121240</v>
      </c>
      <c r="N75" s="1">
        <v>129.80000000000001</v>
      </c>
      <c r="Q75" s="19">
        <v>0.18472222222222223</v>
      </c>
      <c r="R75" s="8">
        <f>(4+(26/60))*N75</f>
        <v>575.44666666666672</v>
      </c>
      <c r="W75" t="s">
        <v>178</v>
      </c>
    </row>
    <row r="76" spans="1:23" x14ac:dyDescent="0.2">
      <c r="A76" s="2">
        <f>W29+1</f>
        <v>68</v>
      </c>
      <c r="D76" t="s">
        <v>93</v>
      </c>
      <c r="E76" t="s">
        <v>6</v>
      </c>
      <c r="N76" s="1">
        <v>139.80000000000001</v>
      </c>
      <c r="Q76" s="19">
        <v>0.14027777777777778</v>
      </c>
      <c r="R76" s="8">
        <f>(3+(22/60))*N76</f>
        <v>470.66</v>
      </c>
    </row>
    <row r="77" spans="1:23" x14ac:dyDescent="0.2">
      <c r="A77" s="2">
        <f t="shared" si="1"/>
        <v>69</v>
      </c>
      <c r="D77" t="s">
        <v>94</v>
      </c>
      <c r="N77" s="1">
        <v>139.6</v>
      </c>
      <c r="Q77" s="19">
        <v>0.1111111111111111</v>
      </c>
      <c r="R77" s="8">
        <f>(2+(40/60))*N77</f>
        <v>372.26666666666665</v>
      </c>
    </row>
    <row r="78" spans="1:23" x14ac:dyDescent="0.2">
      <c r="A78" s="2">
        <f t="shared" si="1"/>
        <v>70</v>
      </c>
      <c r="D78" t="s">
        <v>95</v>
      </c>
      <c r="N78" s="1">
        <v>522.79999999999995</v>
      </c>
      <c r="Q78" s="19">
        <v>0.12361111111111112</v>
      </c>
      <c r="R78" s="8">
        <f>(2+(58/60))*N78</f>
        <v>1550.9733333333334</v>
      </c>
    </row>
    <row r="79" spans="1:23" x14ac:dyDescent="0.2">
      <c r="A79" s="2">
        <f t="shared" si="1"/>
        <v>71</v>
      </c>
      <c r="D79" t="s">
        <v>96</v>
      </c>
      <c r="E79" t="s">
        <v>543</v>
      </c>
      <c r="F79" s="2">
        <v>56030</v>
      </c>
      <c r="N79" s="1">
        <v>151.5</v>
      </c>
      <c r="Q79" s="19">
        <v>0.13402777777777777</v>
      </c>
      <c r="R79" s="8">
        <f>(3+(13/60))*N79</f>
        <v>487.32500000000005</v>
      </c>
      <c r="T79" t="s">
        <v>686</v>
      </c>
    </row>
    <row r="80" spans="1:23" x14ac:dyDescent="0.2">
      <c r="A80" s="2">
        <f t="shared" si="1"/>
        <v>72</v>
      </c>
      <c r="D80" t="s">
        <v>97</v>
      </c>
      <c r="E80" t="s">
        <v>537</v>
      </c>
      <c r="F80" s="2">
        <v>140670</v>
      </c>
      <c r="N80" s="1">
        <v>114.3</v>
      </c>
      <c r="Q80" s="19">
        <v>0.23819444444444446</v>
      </c>
      <c r="R80" s="8">
        <f>(5+(43/60))*N80</f>
        <v>653.41499999999996</v>
      </c>
    </row>
    <row r="81" spans="1:18" x14ac:dyDescent="0.2">
      <c r="A81" s="2">
        <f t="shared" si="1"/>
        <v>73</v>
      </c>
      <c r="D81" t="s">
        <v>98</v>
      </c>
      <c r="E81" t="s">
        <v>6</v>
      </c>
      <c r="F81" s="2">
        <v>1000</v>
      </c>
      <c r="N81" s="1">
        <v>397</v>
      </c>
      <c r="Q81" s="19">
        <v>0.18402777777777779</v>
      </c>
      <c r="R81" s="8">
        <f>(4+(25/60))*N81</f>
        <v>1753.4166666666667</v>
      </c>
    </row>
    <row r="82" spans="1:18" x14ac:dyDescent="0.2">
      <c r="A82" s="2">
        <f t="shared" si="1"/>
        <v>74</v>
      </c>
      <c r="D82" t="s">
        <v>99</v>
      </c>
      <c r="E82" t="s">
        <v>6</v>
      </c>
      <c r="F82" s="2">
        <v>0</v>
      </c>
      <c r="N82" s="1">
        <v>127.7</v>
      </c>
      <c r="Q82" s="19">
        <v>0.35833333333333334</v>
      </c>
      <c r="R82" s="8">
        <f>(8+(36/60))*N82</f>
        <v>1098.22</v>
      </c>
    </row>
    <row r="83" spans="1:18" x14ac:dyDescent="0.2">
      <c r="A83" s="2">
        <f t="shared" si="1"/>
        <v>75</v>
      </c>
      <c r="D83" t="s">
        <v>100</v>
      </c>
      <c r="E83" t="s">
        <v>538</v>
      </c>
      <c r="F83" s="2">
        <v>32970</v>
      </c>
      <c r="N83" s="1">
        <v>110.1</v>
      </c>
      <c r="Q83" s="19">
        <v>0.22777777777777777</v>
      </c>
      <c r="R83" s="8">
        <f>(5+(28/60))*N83</f>
        <v>601.88</v>
      </c>
    </row>
    <row r="84" spans="1:18" x14ac:dyDescent="0.2">
      <c r="A84" s="2">
        <f t="shared" si="1"/>
        <v>76</v>
      </c>
      <c r="D84" t="s">
        <v>101</v>
      </c>
      <c r="E84" t="s">
        <v>539</v>
      </c>
      <c r="F84" s="2">
        <v>167630</v>
      </c>
      <c r="N84" s="1">
        <v>117.2</v>
      </c>
      <c r="Q84" s="19">
        <v>0.10347222222222223</v>
      </c>
      <c r="R84" s="8">
        <f>(2+(29/60))*N84</f>
        <v>291.04666666666668</v>
      </c>
    </row>
    <row r="85" spans="1:18" x14ac:dyDescent="0.2">
      <c r="A85" s="2">
        <f t="shared" si="1"/>
        <v>77</v>
      </c>
      <c r="D85" t="s">
        <v>102</v>
      </c>
      <c r="E85" t="s">
        <v>680</v>
      </c>
      <c r="F85" s="2">
        <v>3910</v>
      </c>
      <c r="N85" s="1">
        <v>109.2</v>
      </c>
      <c r="Q85" s="19">
        <v>0.21180555555555555</v>
      </c>
      <c r="R85" s="8">
        <f>(5+(5/60))*N85</f>
        <v>555.1</v>
      </c>
    </row>
    <row r="86" spans="1:18" x14ac:dyDescent="0.2">
      <c r="A86" s="4">
        <f t="shared" si="1"/>
        <v>78</v>
      </c>
      <c r="B86" s="4"/>
      <c r="C86" s="4"/>
      <c r="D86" s="3" t="s">
        <v>103</v>
      </c>
      <c r="E86" t="s">
        <v>541</v>
      </c>
      <c r="F86" s="2">
        <v>0</v>
      </c>
      <c r="G86" s="2">
        <v>246.9</v>
      </c>
      <c r="H86" s="15">
        <v>7.6470000000000002</v>
      </c>
      <c r="I86" s="16">
        <v>5.8239999999999998</v>
      </c>
      <c r="J86" s="2">
        <v>102.9</v>
      </c>
      <c r="N86" s="1">
        <v>198.8</v>
      </c>
      <c r="Q86" s="19">
        <v>0.17847222222222223</v>
      </c>
      <c r="R86" s="8">
        <f>(4+(17/60))*N86</f>
        <v>851.52666666666664</v>
      </c>
    </row>
    <row r="87" spans="1:18" x14ac:dyDescent="0.2">
      <c r="A87" s="2">
        <f t="shared" si="1"/>
        <v>79</v>
      </c>
      <c r="D87" t="s">
        <v>104</v>
      </c>
      <c r="E87" t="s">
        <v>683</v>
      </c>
      <c r="F87" s="2">
        <v>5030</v>
      </c>
      <c r="N87" s="1">
        <v>143.5</v>
      </c>
      <c r="Q87" s="19">
        <v>8.0555555555555561E-2</v>
      </c>
      <c r="R87" s="8">
        <f>(1+(56/60))*N87</f>
        <v>277.43333333333334</v>
      </c>
    </row>
    <row r="88" spans="1:18" x14ac:dyDescent="0.2">
      <c r="A88" s="2">
        <f t="shared" si="1"/>
        <v>80</v>
      </c>
      <c r="D88" t="s">
        <v>105</v>
      </c>
      <c r="E88" t="s">
        <v>540</v>
      </c>
      <c r="F88" s="2">
        <v>215690</v>
      </c>
      <c r="N88" s="1">
        <v>107.4</v>
      </c>
      <c r="Q88" s="19">
        <v>0.26805555555555555</v>
      </c>
      <c r="R88" s="8">
        <f>(6+(26/60))*N88</f>
        <v>690.94</v>
      </c>
    </row>
    <row r="89" spans="1:18" x14ac:dyDescent="0.2">
      <c r="A89" s="2">
        <f t="shared" si="1"/>
        <v>81</v>
      </c>
      <c r="D89" t="s">
        <v>106</v>
      </c>
      <c r="E89" t="s">
        <v>681</v>
      </c>
      <c r="F89" s="2">
        <v>2220</v>
      </c>
      <c r="N89" s="1">
        <v>184.5</v>
      </c>
      <c r="Q89" s="19">
        <v>0.125</v>
      </c>
      <c r="R89" s="8">
        <f>3*N89</f>
        <v>553.5</v>
      </c>
    </row>
    <row r="90" spans="1:18" x14ac:dyDescent="0.2">
      <c r="A90" s="2">
        <f t="shared" si="1"/>
        <v>82</v>
      </c>
      <c r="D90" t="s">
        <v>107</v>
      </c>
      <c r="E90" t="s">
        <v>682</v>
      </c>
      <c r="F90" s="2">
        <v>1170</v>
      </c>
      <c r="N90" s="1">
        <v>103.8</v>
      </c>
      <c r="Q90" s="19">
        <v>0.18194444444444444</v>
      </c>
      <c r="R90" s="8">
        <f>(4+(22/60))*N90</f>
        <v>453.25999999999993</v>
      </c>
    </row>
    <row r="91" spans="1:18" x14ac:dyDescent="0.2">
      <c r="A91" s="2">
        <f t="shared" si="1"/>
        <v>83</v>
      </c>
      <c r="D91" t="s">
        <v>108</v>
      </c>
      <c r="E91" t="s">
        <v>541</v>
      </c>
      <c r="F91" s="2">
        <v>0</v>
      </c>
      <c r="N91" s="1">
        <v>37.85</v>
      </c>
      <c r="Q91" s="19">
        <v>0.19791666666666666</v>
      </c>
      <c r="R91" s="8">
        <f>(4+(45/60))*N91</f>
        <v>179.78749999999999</v>
      </c>
    </row>
    <row r="92" spans="1:18" x14ac:dyDescent="0.2">
      <c r="A92" s="2">
        <f t="shared" si="1"/>
        <v>84</v>
      </c>
      <c r="D92" t="s">
        <v>109</v>
      </c>
      <c r="E92" t="s">
        <v>6</v>
      </c>
      <c r="F92" s="2">
        <v>1000</v>
      </c>
      <c r="N92" s="1">
        <v>66.430000000000007</v>
      </c>
      <c r="Q92" s="19">
        <v>0.31944444444444448</v>
      </c>
      <c r="R92" s="8">
        <f>(7+(40/60))*N92</f>
        <v>509.29666666666674</v>
      </c>
    </row>
    <row r="93" spans="1:18" x14ac:dyDescent="0.2">
      <c r="A93" s="2">
        <f t="shared" si="1"/>
        <v>85</v>
      </c>
      <c r="D93" t="s">
        <v>110</v>
      </c>
      <c r="E93" t="s">
        <v>542</v>
      </c>
      <c r="F93" s="2">
        <v>121750</v>
      </c>
      <c r="N93" s="1">
        <v>93.72</v>
      </c>
      <c r="Q93" s="19">
        <v>0.12569444444444444</v>
      </c>
      <c r="R93" s="8">
        <f>(3+(1/60))*N93</f>
        <v>282.72199999999998</v>
      </c>
    </row>
    <row r="94" spans="1:18" x14ac:dyDescent="0.2">
      <c r="A94" s="2">
        <f t="shared" si="1"/>
        <v>86</v>
      </c>
      <c r="D94" t="s">
        <v>111</v>
      </c>
      <c r="E94" t="s">
        <v>684</v>
      </c>
      <c r="F94" s="2">
        <v>17970</v>
      </c>
      <c r="N94" s="1">
        <v>99.1</v>
      </c>
      <c r="Q94" s="19">
        <v>0.12986111111111112</v>
      </c>
      <c r="R94" s="8">
        <f>(3+(7/60))*N94</f>
        <v>308.86166666666668</v>
      </c>
    </row>
    <row r="95" spans="1:18" x14ac:dyDescent="0.2">
      <c r="A95" s="2">
        <f t="shared" si="1"/>
        <v>87</v>
      </c>
      <c r="D95" t="s">
        <v>112</v>
      </c>
      <c r="E95" t="s">
        <v>685</v>
      </c>
      <c r="F95" s="2">
        <v>7500</v>
      </c>
      <c r="N95" s="1">
        <v>207.7</v>
      </c>
      <c r="Q95" s="19">
        <v>0.37083333333333335</v>
      </c>
      <c r="R95" s="8">
        <f>(8+(54/60))*N95</f>
        <v>1848.53</v>
      </c>
    </row>
    <row r="96" spans="1:18" x14ac:dyDescent="0.2">
      <c r="A96" s="4">
        <f t="shared" si="1"/>
        <v>88</v>
      </c>
      <c r="B96" s="4"/>
      <c r="C96" s="4"/>
      <c r="D96" s="3" t="s">
        <v>113</v>
      </c>
      <c r="E96" t="s">
        <v>687</v>
      </c>
      <c r="F96" s="2">
        <v>100</v>
      </c>
      <c r="G96" s="2">
        <v>204.4</v>
      </c>
      <c r="H96" s="15">
        <v>6.41</v>
      </c>
      <c r="I96" s="16">
        <v>5.6589999999999998</v>
      </c>
      <c r="J96" s="2">
        <v>117.3</v>
      </c>
      <c r="L96" s="1" t="s">
        <v>745</v>
      </c>
      <c r="N96" s="1">
        <v>180.2</v>
      </c>
      <c r="P96" t="s">
        <v>688</v>
      </c>
      <c r="Q96" s="19">
        <v>0.10694444444444444</v>
      </c>
      <c r="R96" s="8">
        <f>(2+(34/60))*N96</f>
        <v>462.51333333333326</v>
      </c>
    </row>
    <row r="97" spans="1:19" x14ac:dyDescent="0.2">
      <c r="A97" s="2">
        <f t="shared" si="1"/>
        <v>89</v>
      </c>
      <c r="D97" t="s">
        <v>114</v>
      </c>
      <c r="E97" t="s">
        <v>5</v>
      </c>
      <c r="F97" s="2">
        <v>0</v>
      </c>
      <c r="N97" s="1">
        <v>90.26</v>
      </c>
      <c r="Q97" s="19">
        <v>8.5416666666666655E-2</v>
      </c>
      <c r="R97" s="8">
        <f>(2+(3/60))*N97</f>
        <v>185.03299999999999</v>
      </c>
    </row>
    <row r="98" spans="1:19" x14ac:dyDescent="0.2">
      <c r="A98" s="2">
        <f t="shared" si="1"/>
        <v>90</v>
      </c>
      <c r="D98" t="s">
        <v>115</v>
      </c>
      <c r="E98" t="s">
        <v>6</v>
      </c>
      <c r="F98" s="2">
        <v>1000</v>
      </c>
      <c r="N98" s="1">
        <v>170.8</v>
      </c>
      <c r="Q98" s="19">
        <v>0.1361111111111111</v>
      </c>
      <c r="R98" s="8">
        <f>(3+(16/60))*N98</f>
        <v>557.94666666666672</v>
      </c>
    </row>
    <row r="99" spans="1:19" x14ac:dyDescent="0.2">
      <c r="A99" s="2">
        <f t="shared" si="1"/>
        <v>91</v>
      </c>
      <c r="D99" t="s">
        <v>116</v>
      </c>
      <c r="E99" t="s">
        <v>555</v>
      </c>
      <c r="F99" s="2">
        <v>12330</v>
      </c>
      <c r="N99" s="1">
        <v>122.4</v>
      </c>
      <c r="Q99" s="19">
        <v>0.15625</v>
      </c>
      <c r="R99" s="8">
        <f>(3+(45/60))*N99</f>
        <v>459</v>
      </c>
    </row>
    <row r="100" spans="1:19" x14ac:dyDescent="0.2">
      <c r="A100" s="2">
        <f t="shared" si="1"/>
        <v>92</v>
      </c>
      <c r="D100" t="s">
        <v>117</v>
      </c>
      <c r="E100" t="s">
        <v>3</v>
      </c>
      <c r="F100" s="2">
        <v>5000</v>
      </c>
      <c r="N100" s="1">
        <v>235.2</v>
      </c>
      <c r="Q100" s="19">
        <v>0.14444444444444446</v>
      </c>
      <c r="R100" s="8">
        <f>(3+(28/60))*N100</f>
        <v>815.36</v>
      </c>
    </row>
    <row r="101" spans="1:19" x14ac:dyDescent="0.2">
      <c r="A101" s="2">
        <f t="shared" si="1"/>
        <v>93</v>
      </c>
      <c r="D101" t="s">
        <v>118</v>
      </c>
      <c r="E101" t="s">
        <v>689</v>
      </c>
      <c r="F101" s="2">
        <v>4070</v>
      </c>
      <c r="N101" s="1">
        <v>85.37</v>
      </c>
      <c r="Q101" s="19">
        <v>0.20972222222222223</v>
      </c>
      <c r="R101" s="8">
        <f>(5+(2/60))*N101</f>
        <v>429.69566666666668</v>
      </c>
    </row>
    <row r="102" spans="1:19" x14ac:dyDescent="0.2">
      <c r="A102" s="2">
        <f t="shared" si="1"/>
        <v>94</v>
      </c>
      <c r="D102" t="s">
        <v>119</v>
      </c>
      <c r="E102" t="s">
        <v>6</v>
      </c>
      <c r="F102" s="2">
        <v>1000</v>
      </c>
      <c r="N102" s="1">
        <v>106</v>
      </c>
      <c r="Q102" s="19">
        <v>5.0694444444444452E-2</v>
      </c>
      <c r="R102" s="8">
        <f>(1+(13/60))*N102</f>
        <v>128.96666666666667</v>
      </c>
    </row>
    <row r="103" spans="1:19" x14ac:dyDescent="0.2">
      <c r="A103" s="2">
        <f t="shared" si="1"/>
        <v>95</v>
      </c>
      <c r="D103" t="s">
        <v>120</v>
      </c>
      <c r="E103" t="s">
        <v>556</v>
      </c>
      <c r="F103" s="2">
        <v>13250</v>
      </c>
      <c r="N103" s="1">
        <v>95.61</v>
      </c>
      <c r="Q103" s="19">
        <v>0.24305555555555555</v>
      </c>
      <c r="R103" s="8">
        <f>(5+(50/60))*N103</f>
        <v>557.72500000000002</v>
      </c>
    </row>
    <row r="104" spans="1:19" x14ac:dyDescent="0.2">
      <c r="A104" s="2">
        <f t="shared" si="1"/>
        <v>96</v>
      </c>
      <c r="D104" t="s">
        <v>121</v>
      </c>
      <c r="E104" t="s">
        <v>557</v>
      </c>
      <c r="F104" s="2">
        <v>15680</v>
      </c>
      <c r="N104" s="1">
        <v>101.6</v>
      </c>
      <c r="Q104" s="19">
        <v>0.17430555555555557</v>
      </c>
      <c r="R104" s="8">
        <f>(4+(11/60))*N104</f>
        <v>425.02666666666664</v>
      </c>
    </row>
    <row r="105" spans="1:19" x14ac:dyDescent="0.2">
      <c r="A105" s="2">
        <v>174</v>
      </c>
      <c r="B105" s="2">
        <v>97</v>
      </c>
      <c r="C105" s="2">
        <v>20</v>
      </c>
      <c r="D105" t="s">
        <v>122</v>
      </c>
      <c r="E105" t="s">
        <v>1</v>
      </c>
      <c r="F105" s="2">
        <v>600000</v>
      </c>
      <c r="N105" s="1">
        <v>2715</v>
      </c>
      <c r="Q105" s="19">
        <v>0.78263888888888899</v>
      </c>
      <c r="R105" s="8">
        <f>(18+(47/60))*N105</f>
        <v>50996.750000000007</v>
      </c>
      <c r="S105">
        <v>2009</v>
      </c>
    </row>
    <row r="106" spans="1:19" x14ac:dyDescent="0.2">
      <c r="A106" s="2">
        <v>98</v>
      </c>
      <c r="D106" t="s">
        <v>123</v>
      </c>
      <c r="E106" t="s">
        <v>690</v>
      </c>
      <c r="F106" s="2">
        <v>84130</v>
      </c>
      <c r="N106" s="1">
        <v>212.1</v>
      </c>
      <c r="Q106" s="19">
        <v>0.20555555555555557</v>
      </c>
      <c r="R106" s="8">
        <f>(4+(56/60))*N106</f>
        <v>1046.3600000000001</v>
      </c>
    </row>
    <row r="107" spans="1:19" x14ac:dyDescent="0.2">
      <c r="A107" s="2">
        <f t="shared" si="1"/>
        <v>99</v>
      </c>
      <c r="D107" t="s">
        <v>124</v>
      </c>
      <c r="E107" t="s">
        <v>534</v>
      </c>
      <c r="F107" s="2">
        <v>30480</v>
      </c>
      <c r="N107" s="1">
        <v>118.7</v>
      </c>
      <c r="Q107" s="19">
        <v>0.19097222222222221</v>
      </c>
      <c r="R107" s="8">
        <f>(4+(35/60))*N107</f>
        <v>544.04166666666663</v>
      </c>
    </row>
    <row r="108" spans="1:19" x14ac:dyDescent="0.2">
      <c r="A108" s="2">
        <f t="shared" si="1"/>
        <v>100</v>
      </c>
      <c r="D108" t="s">
        <v>125</v>
      </c>
      <c r="E108" t="s">
        <v>691</v>
      </c>
      <c r="F108" s="2">
        <v>191320</v>
      </c>
      <c r="N108" s="1">
        <v>60.28</v>
      </c>
      <c r="Q108" s="19">
        <v>4.5833333333333337E-2</v>
      </c>
      <c r="R108" s="8">
        <f>(1+(6/60))*N108</f>
        <v>66.308000000000007</v>
      </c>
    </row>
    <row r="109" spans="1:19" x14ac:dyDescent="0.2">
      <c r="A109" s="2">
        <f t="shared" si="1"/>
        <v>101</v>
      </c>
      <c r="D109" t="s">
        <v>126</v>
      </c>
      <c r="E109" t="s">
        <v>6</v>
      </c>
      <c r="F109" s="2">
        <v>85900</v>
      </c>
      <c r="N109" s="1">
        <v>76.8</v>
      </c>
      <c r="Q109" s="19">
        <v>0.30138888888888887</v>
      </c>
      <c r="R109" s="8">
        <f>(7+(14/60))*N109</f>
        <v>555.52</v>
      </c>
    </row>
    <row r="110" spans="1:19" x14ac:dyDescent="0.2">
      <c r="A110" s="2">
        <f t="shared" si="1"/>
        <v>102</v>
      </c>
      <c r="D110" t="s">
        <v>127</v>
      </c>
      <c r="E110" t="s">
        <v>544</v>
      </c>
      <c r="F110" s="2">
        <v>223550</v>
      </c>
      <c r="N110" s="1">
        <v>90.46</v>
      </c>
      <c r="Q110" s="19">
        <v>0.17986111111111111</v>
      </c>
      <c r="R110" s="8">
        <f>(4+(19/60))*N110</f>
        <v>390.48566666666665</v>
      </c>
    </row>
    <row r="111" spans="1:19" x14ac:dyDescent="0.2">
      <c r="A111" s="2">
        <f t="shared" si="1"/>
        <v>103</v>
      </c>
      <c r="D111" t="s">
        <v>128</v>
      </c>
      <c r="E111" t="s">
        <v>7</v>
      </c>
      <c r="F111" s="2">
        <v>2000000</v>
      </c>
      <c r="N111" s="1">
        <v>381.2</v>
      </c>
      <c r="Q111" s="19">
        <v>0.3125</v>
      </c>
      <c r="R111" s="8">
        <f>7.5*N111</f>
        <v>2859</v>
      </c>
    </row>
    <row r="112" spans="1:19" x14ac:dyDescent="0.2">
      <c r="A112" s="2">
        <f t="shared" si="1"/>
        <v>104</v>
      </c>
      <c r="D112" t="s">
        <v>129</v>
      </c>
      <c r="E112" t="s">
        <v>692</v>
      </c>
      <c r="F112" s="2">
        <v>1000</v>
      </c>
      <c r="N112" s="1">
        <v>67.97</v>
      </c>
      <c r="Q112" s="19">
        <v>6.458333333333334E-2</v>
      </c>
      <c r="R112" s="8">
        <f>(1+(33/60))*N112</f>
        <v>105.3535</v>
      </c>
    </row>
    <row r="113" spans="1:18" x14ac:dyDescent="0.2">
      <c r="A113" s="2">
        <f t="shared" si="1"/>
        <v>105</v>
      </c>
      <c r="D113" t="s">
        <v>130</v>
      </c>
      <c r="E113" t="s">
        <v>693</v>
      </c>
      <c r="F113" s="2">
        <v>1000</v>
      </c>
      <c r="N113" s="1">
        <v>323.10000000000002</v>
      </c>
      <c r="Q113" s="19">
        <v>0.19166666666666665</v>
      </c>
      <c r="R113" s="8">
        <f>(4+(36/60))*N113</f>
        <v>1486.26</v>
      </c>
    </row>
    <row r="114" spans="1:18" x14ac:dyDescent="0.2">
      <c r="A114" s="2">
        <f t="shared" si="1"/>
        <v>106</v>
      </c>
      <c r="D114" t="s">
        <v>131</v>
      </c>
      <c r="E114" t="s">
        <v>6</v>
      </c>
      <c r="F114" s="2">
        <v>64000</v>
      </c>
      <c r="N114" s="1">
        <v>229.6</v>
      </c>
      <c r="Q114" s="19">
        <v>0.31388888888888888</v>
      </c>
      <c r="R114" s="8">
        <f>(7+(32/60))*N114</f>
        <v>1729.6533333333332</v>
      </c>
    </row>
    <row r="115" spans="1:18" x14ac:dyDescent="0.2">
      <c r="A115" s="2">
        <f t="shared" si="1"/>
        <v>107</v>
      </c>
      <c r="D115" t="s">
        <v>132</v>
      </c>
      <c r="E115" t="s">
        <v>545</v>
      </c>
      <c r="F115" s="2">
        <v>66340</v>
      </c>
      <c r="N115" s="1">
        <v>103</v>
      </c>
      <c r="Q115" s="19">
        <v>0.33888888888888885</v>
      </c>
      <c r="R115" s="8">
        <f>(8+(8/60))*N115</f>
        <v>837.73333333333323</v>
      </c>
    </row>
    <row r="116" spans="1:18" x14ac:dyDescent="0.2">
      <c r="A116" s="2">
        <f t="shared" si="1"/>
        <v>108</v>
      </c>
      <c r="D116" s="3" t="s">
        <v>133</v>
      </c>
      <c r="E116" t="s">
        <v>6</v>
      </c>
      <c r="F116" s="2">
        <v>300</v>
      </c>
      <c r="G116" s="2">
        <v>117.3</v>
      </c>
      <c r="H116" s="15">
        <v>3.98</v>
      </c>
      <c r="I116" s="16">
        <v>3.5779999999999998</v>
      </c>
      <c r="J116" s="2">
        <v>72.209999999999994</v>
      </c>
      <c r="N116" s="1">
        <v>109.5</v>
      </c>
      <c r="Q116" s="19">
        <v>5.1388888888888894E-2</v>
      </c>
      <c r="R116" s="8">
        <f>(1+(14/60))*N116</f>
        <v>135.05000000000001</v>
      </c>
    </row>
    <row r="117" spans="1:18" x14ac:dyDescent="0.2">
      <c r="A117" s="2">
        <f t="shared" si="1"/>
        <v>109</v>
      </c>
      <c r="D117" t="s">
        <v>134</v>
      </c>
      <c r="E117" t="s">
        <v>539</v>
      </c>
      <c r="F117" s="2">
        <v>167630</v>
      </c>
      <c r="N117" s="1">
        <v>57.19</v>
      </c>
      <c r="Q117" s="19">
        <v>0.44722222222222219</v>
      </c>
      <c r="R117" s="8">
        <f>(10+(44/60))*N117</f>
        <v>613.83933333333323</v>
      </c>
    </row>
    <row r="118" spans="1:18" x14ac:dyDescent="0.2">
      <c r="A118" s="2">
        <f t="shared" si="1"/>
        <v>110</v>
      </c>
      <c r="D118" t="s">
        <v>135</v>
      </c>
      <c r="E118" t="s">
        <v>558</v>
      </c>
      <c r="F118" s="2">
        <v>87920</v>
      </c>
      <c r="N118" s="1">
        <v>67.12</v>
      </c>
      <c r="Q118" s="19">
        <v>0.1277777777777778</v>
      </c>
      <c r="R118" s="8">
        <f>(3+(4/60))*N118</f>
        <v>205.83466666666669</v>
      </c>
    </row>
    <row r="119" spans="1:18" x14ac:dyDescent="0.2">
      <c r="A119" s="2">
        <f t="shared" si="1"/>
        <v>111</v>
      </c>
      <c r="D119" t="s">
        <v>136</v>
      </c>
      <c r="E119" t="s">
        <v>541</v>
      </c>
      <c r="F119" s="2">
        <v>0</v>
      </c>
      <c r="N119" s="1">
        <v>79.61</v>
      </c>
      <c r="Q119" s="19">
        <v>0.15138888888888888</v>
      </c>
      <c r="R119" s="8">
        <f>(3+(38/60))*N119</f>
        <v>289.24966666666666</v>
      </c>
    </row>
    <row r="120" spans="1:18" x14ac:dyDescent="0.2">
      <c r="A120" s="2">
        <f t="shared" si="1"/>
        <v>112</v>
      </c>
      <c r="D120" t="s">
        <v>137</v>
      </c>
      <c r="E120" t="s">
        <v>559</v>
      </c>
      <c r="F120" s="2">
        <v>2910</v>
      </c>
      <c r="N120" s="1">
        <v>69.09</v>
      </c>
      <c r="Q120" s="19">
        <v>0.22083333333333333</v>
      </c>
      <c r="R120" s="8">
        <f>(5+(18/60))*N120</f>
        <v>366.17700000000002</v>
      </c>
    </row>
    <row r="121" spans="1:18" x14ac:dyDescent="0.2">
      <c r="A121" s="2">
        <f t="shared" si="1"/>
        <v>113</v>
      </c>
      <c r="D121" t="s">
        <v>138</v>
      </c>
      <c r="E121" s="13" t="s">
        <v>694</v>
      </c>
      <c r="F121" s="2">
        <v>430000</v>
      </c>
      <c r="N121" s="1">
        <v>1082</v>
      </c>
      <c r="Q121" s="19">
        <v>0.10486111111111111</v>
      </c>
      <c r="R121" s="8">
        <f>(2+(31/60))*N121</f>
        <v>2723.0333333333333</v>
      </c>
    </row>
    <row r="122" spans="1:18" x14ac:dyDescent="0.2">
      <c r="A122" s="2">
        <f t="shared" si="1"/>
        <v>114</v>
      </c>
      <c r="D122" t="s">
        <v>139</v>
      </c>
      <c r="E122" t="s">
        <v>6</v>
      </c>
      <c r="F122" s="2">
        <v>19000</v>
      </c>
      <c r="N122" s="1">
        <v>392.4</v>
      </c>
      <c r="Q122" s="19">
        <v>0.42986111111111108</v>
      </c>
      <c r="R122" s="8">
        <f>(10+(19/60))*N122</f>
        <v>4048.2599999999998</v>
      </c>
    </row>
    <row r="123" spans="1:18" x14ac:dyDescent="0.2">
      <c r="A123" s="2">
        <f t="shared" si="1"/>
        <v>115</v>
      </c>
      <c r="D123" t="s">
        <v>141</v>
      </c>
      <c r="E123" t="s">
        <v>546</v>
      </c>
      <c r="F123" s="2">
        <v>97170</v>
      </c>
      <c r="N123" s="1">
        <v>618.70000000000005</v>
      </c>
      <c r="Q123" s="19">
        <v>0.36736111111111108</v>
      </c>
      <c r="R123" s="8">
        <f>(8+(49/60))*N123</f>
        <v>5454.8716666666669</v>
      </c>
    </row>
    <row r="124" spans="1:18" x14ac:dyDescent="0.2">
      <c r="A124" s="2">
        <f t="shared" si="1"/>
        <v>116</v>
      </c>
      <c r="D124" t="s">
        <v>142</v>
      </c>
      <c r="E124" t="s">
        <v>547</v>
      </c>
      <c r="F124" s="2">
        <v>153870</v>
      </c>
      <c r="N124" s="1">
        <v>241.4</v>
      </c>
      <c r="Q124" s="19">
        <v>0.16527777777777777</v>
      </c>
      <c r="R124" s="8">
        <f>(3+(58/60))*N124</f>
        <v>957.5533333333334</v>
      </c>
    </row>
    <row r="125" spans="1:18" x14ac:dyDescent="0.2">
      <c r="A125" s="2">
        <f t="shared" si="1"/>
        <v>117</v>
      </c>
      <c r="D125" t="s">
        <v>143</v>
      </c>
      <c r="E125" t="s">
        <v>539</v>
      </c>
      <c r="F125" s="2">
        <v>167630</v>
      </c>
      <c r="N125" s="1">
        <v>80.47</v>
      </c>
      <c r="Q125" s="19">
        <v>6.1805555555555558E-2</v>
      </c>
      <c r="R125" s="8">
        <f>(1+(29/60))*N125</f>
        <v>119.36383333333333</v>
      </c>
    </row>
    <row r="126" spans="1:18" x14ac:dyDescent="0.2">
      <c r="A126" s="2">
        <f t="shared" si="1"/>
        <v>118</v>
      </c>
      <c r="D126" t="s">
        <v>144</v>
      </c>
      <c r="E126" t="s">
        <v>6</v>
      </c>
      <c r="F126" s="2">
        <v>6900</v>
      </c>
      <c r="N126" s="1">
        <v>65.540000000000006</v>
      </c>
      <c r="Q126" s="19">
        <v>1.4583333333333332E-2</v>
      </c>
      <c r="R126" s="8">
        <f>(21/60)*N126</f>
        <v>22.939</v>
      </c>
    </row>
    <row r="127" spans="1:18" x14ac:dyDescent="0.2">
      <c r="A127" s="2">
        <f t="shared" si="1"/>
        <v>119</v>
      </c>
      <c r="D127" t="s">
        <v>145</v>
      </c>
      <c r="E127" t="s">
        <v>676</v>
      </c>
      <c r="F127" s="2">
        <v>10490</v>
      </c>
      <c r="G127" s="2">
        <v>88.58</v>
      </c>
      <c r="H127" s="15">
        <v>2.8239999999999998</v>
      </c>
      <c r="I127" s="16">
        <v>2.0449999999999999</v>
      </c>
      <c r="J127" s="2">
        <v>32.67</v>
      </c>
      <c r="N127" s="1">
        <v>80.77</v>
      </c>
      <c r="Q127" s="19">
        <v>0.11458333333333333</v>
      </c>
      <c r="R127" s="8">
        <f>(2+(45/60))*N127</f>
        <v>222.11749999999998</v>
      </c>
    </row>
    <row r="128" spans="1:18" x14ac:dyDescent="0.2">
      <c r="A128" s="2">
        <f t="shared" si="1"/>
        <v>120</v>
      </c>
      <c r="D128" t="s">
        <v>146</v>
      </c>
      <c r="E128" t="s">
        <v>9</v>
      </c>
      <c r="F128" s="2">
        <v>168050</v>
      </c>
      <c r="N128" s="1">
        <v>71.849999999999994</v>
      </c>
      <c r="Q128" s="19">
        <v>0.16458333333333333</v>
      </c>
      <c r="R128" s="8">
        <f>(3+(57/60))*N128</f>
        <v>283.8075</v>
      </c>
    </row>
    <row r="129" spans="1:18" x14ac:dyDescent="0.2">
      <c r="A129" s="2">
        <f t="shared" si="1"/>
        <v>121</v>
      </c>
      <c r="D129" t="s">
        <v>147</v>
      </c>
      <c r="E129" t="s">
        <v>695</v>
      </c>
      <c r="F129" s="2">
        <v>9800</v>
      </c>
      <c r="N129" s="1">
        <v>47.59</v>
      </c>
      <c r="Q129" s="19">
        <v>0.17361111111111113</v>
      </c>
      <c r="R129" s="8">
        <f>(4+(10/60))*N129</f>
        <v>198.29166666666669</v>
      </c>
    </row>
    <row r="130" spans="1:18" x14ac:dyDescent="0.2">
      <c r="A130" s="2">
        <f t="shared" si="1"/>
        <v>122</v>
      </c>
      <c r="D130" t="s">
        <v>148</v>
      </c>
      <c r="E130" t="s">
        <v>698</v>
      </c>
      <c r="F130" s="2">
        <v>1000</v>
      </c>
      <c r="N130" s="1">
        <v>113.1</v>
      </c>
      <c r="Q130" s="19">
        <v>0.125</v>
      </c>
      <c r="R130" s="8">
        <f>3*N130</f>
        <v>339.29999999999995</v>
      </c>
    </row>
    <row r="131" spans="1:18" x14ac:dyDescent="0.2">
      <c r="A131" s="2">
        <f t="shared" ref="A131:A195" si="2">A130+1</f>
        <v>123</v>
      </c>
      <c r="D131" t="s">
        <v>149</v>
      </c>
      <c r="E131" t="s">
        <v>683</v>
      </c>
      <c r="F131" s="2">
        <v>5000</v>
      </c>
      <c r="N131" s="1">
        <v>89.5</v>
      </c>
      <c r="Q131" s="19">
        <v>5.9722222222222225E-2</v>
      </c>
      <c r="R131" s="8">
        <f>(1+(26/60))*N131</f>
        <v>128.28333333333333</v>
      </c>
    </row>
    <row r="132" spans="1:18" x14ac:dyDescent="0.2">
      <c r="A132" s="2">
        <f t="shared" si="2"/>
        <v>124</v>
      </c>
      <c r="D132" s="3" t="s">
        <v>150</v>
      </c>
      <c r="E132" t="s">
        <v>5</v>
      </c>
      <c r="F132" s="2">
        <v>0</v>
      </c>
      <c r="G132" s="2">
        <v>153.19999999999999</v>
      </c>
      <c r="H132" s="15">
        <v>4.7300000000000004</v>
      </c>
      <c r="I132" s="16">
        <v>4.2839999999999998</v>
      </c>
      <c r="J132" s="2">
        <v>101.9</v>
      </c>
      <c r="N132" s="1">
        <v>125.3</v>
      </c>
      <c r="Q132" s="19">
        <v>5.0694444444444452E-2</v>
      </c>
      <c r="R132" s="8">
        <f>(1+(13/60))*N132</f>
        <v>152.44833333333335</v>
      </c>
    </row>
    <row r="133" spans="1:18" x14ac:dyDescent="0.2">
      <c r="A133" s="2">
        <f t="shared" si="2"/>
        <v>125</v>
      </c>
      <c r="D133" t="s">
        <v>151</v>
      </c>
      <c r="E133" t="s">
        <v>697</v>
      </c>
      <c r="F133" s="2">
        <v>0</v>
      </c>
      <c r="N133" s="1">
        <v>8.8130000000000006</v>
      </c>
      <c r="Q133" s="19">
        <v>3.9583333333333331E-2</v>
      </c>
      <c r="R133" s="8">
        <f>(57/60)*N133</f>
        <v>8.3723500000000008</v>
      </c>
    </row>
    <row r="134" spans="1:18" x14ac:dyDescent="0.2">
      <c r="A134" s="2">
        <f t="shared" si="2"/>
        <v>126</v>
      </c>
      <c r="D134" t="s">
        <v>152</v>
      </c>
      <c r="E134" t="s">
        <v>564</v>
      </c>
      <c r="F134" s="2">
        <v>197580</v>
      </c>
      <c r="N134" s="1">
        <v>116.7</v>
      </c>
      <c r="Q134" s="19">
        <v>0.74444444444444446</v>
      </c>
      <c r="R134" s="8">
        <f>(17+(52/60))*N134</f>
        <v>2085.04</v>
      </c>
    </row>
    <row r="135" spans="1:18" x14ac:dyDescent="0.2">
      <c r="A135" s="2">
        <f t="shared" si="2"/>
        <v>127</v>
      </c>
      <c r="D135" t="s">
        <v>153</v>
      </c>
      <c r="E135" t="s">
        <v>696</v>
      </c>
      <c r="F135" s="2">
        <v>87890</v>
      </c>
      <c r="N135" s="1">
        <v>70.099999999999994</v>
      </c>
      <c r="Q135" s="19">
        <v>0.20277777777777781</v>
      </c>
      <c r="R135" s="8">
        <f>(4+(52/60))*N135</f>
        <v>341.15333333333336</v>
      </c>
    </row>
    <row r="136" spans="1:18" x14ac:dyDescent="0.2">
      <c r="A136" s="2">
        <f t="shared" si="2"/>
        <v>128</v>
      </c>
      <c r="D136" t="s">
        <v>154</v>
      </c>
      <c r="E136" t="s">
        <v>3</v>
      </c>
      <c r="F136" s="2">
        <v>5000</v>
      </c>
      <c r="N136" s="1">
        <v>71.12</v>
      </c>
      <c r="Q136" s="19">
        <v>9.6527777777777768E-2</v>
      </c>
      <c r="R136" s="8">
        <f>(2+(19/60))*N136</f>
        <v>164.76133333333334</v>
      </c>
    </row>
    <row r="137" spans="1:18" x14ac:dyDescent="0.2">
      <c r="A137" s="2">
        <f t="shared" si="2"/>
        <v>129</v>
      </c>
      <c r="D137" t="s">
        <v>155</v>
      </c>
      <c r="E137" t="s">
        <v>560</v>
      </c>
      <c r="F137" s="2">
        <v>25590</v>
      </c>
      <c r="N137" s="1">
        <v>63.04</v>
      </c>
      <c r="Q137" s="19">
        <v>0.31527777777777777</v>
      </c>
      <c r="R137" s="8">
        <f>(7+(34/60))*N137</f>
        <v>477.00266666666664</v>
      </c>
    </row>
    <row r="138" spans="1:18" x14ac:dyDescent="0.2">
      <c r="A138" s="2">
        <f t="shared" si="2"/>
        <v>130</v>
      </c>
      <c r="D138" t="s">
        <v>156</v>
      </c>
      <c r="E138" t="s">
        <v>535</v>
      </c>
      <c r="F138" s="2">
        <v>119970</v>
      </c>
      <c r="N138" s="1">
        <v>44.6</v>
      </c>
      <c r="Q138" s="19">
        <v>0.11944444444444445</v>
      </c>
      <c r="R138" s="8">
        <f>(2+(52/60))*N138</f>
        <v>127.85333333333334</v>
      </c>
    </row>
    <row r="139" spans="1:18" x14ac:dyDescent="0.2">
      <c r="A139" s="2">
        <f t="shared" si="2"/>
        <v>131</v>
      </c>
      <c r="D139" t="s">
        <v>158</v>
      </c>
      <c r="E139" t="s">
        <v>561</v>
      </c>
      <c r="F139" s="2">
        <v>2200</v>
      </c>
      <c r="N139" s="1">
        <v>55.94</v>
      </c>
      <c r="Q139" s="19">
        <v>0.19305555555555554</v>
      </c>
      <c r="R139" s="8">
        <f>(4+(38/60))*N139</f>
        <v>259.18866666666662</v>
      </c>
    </row>
    <row r="140" spans="1:18" x14ac:dyDescent="0.2">
      <c r="A140" s="2">
        <f t="shared" si="2"/>
        <v>132</v>
      </c>
      <c r="D140" t="s">
        <v>159</v>
      </c>
      <c r="E140" t="s">
        <v>6</v>
      </c>
      <c r="F140" s="2">
        <v>500</v>
      </c>
      <c r="N140" s="1">
        <v>186.2</v>
      </c>
      <c r="Q140" s="19">
        <v>0.60138888888888886</v>
      </c>
      <c r="R140" s="8">
        <f>(14+(26/60))*N140</f>
        <v>2687.4866666666667</v>
      </c>
    </row>
    <row r="141" spans="1:18" x14ac:dyDescent="0.2">
      <c r="A141" s="2">
        <f t="shared" si="2"/>
        <v>133</v>
      </c>
      <c r="D141" t="s">
        <v>160</v>
      </c>
      <c r="N141" s="1">
        <v>77.06</v>
      </c>
      <c r="Q141" s="19">
        <v>6.0416666666666667E-2</v>
      </c>
      <c r="R141" s="8">
        <f>(1+(27/60))*N141</f>
        <v>111.73699999999999</v>
      </c>
    </row>
    <row r="142" spans="1:18" x14ac:dyDescent="0.2">
      <c r="A142" s="2">
        <f t="shared" si="2"/>
        <v>134</v>
      </c>
      <c r="D142" t="s">
        <v>161</v>
      </c>
      <c r="E142" t="s">
        <v>548</v>
      </c>
      <c r="F142" s="2">
        <v>109950</v>
      </c>
      <c r="N142" s="1">
        <v>81.77</v>
      </c>
      <c r="Q142" s="19">
        <v>0.20277777777777781</v>
      </c>
      <c r="R142" s="8">
        <f>(4+(52/60))*N142</f>
        <v>397.94733333333335</v>
      </c>
    </row>
    <row r="143" spans="1:18" x14ac:dyDescent="0.2">
      <c r="A143" s="2">
        <f t="shared" si="2"/>
        <v>135</v>
      </c>
      <c r="D143" t="s">
        <v>162</v>
      </c>
      <c r="E143" t="s">
        <v>549</v>
      </c>
      <c r="F143" s="2">
        <v>184760</v>
      </c>
      <c r="N143" s="1">
        <v>129.69999999999999</v>
      </c>
      <c r="Q143" s="19">
        <v>0.15</v>
      </c>
      <c r="R143" s="8">
        <f>(3+(36/60))*N143</f>
        <v>466.91999999999996</v>
      </c>
    </row>
    <row r="144" spans="1:18" x14ac:dyDescent="0.2">
      <c r="A144" s="2">
        <f t="shared" si="2"/>
        <v>136</v>
      </c>
      <c r="D144" t="s">
        <v>163</v>
      </c>
      <c r="E144" t="s">
        <v>6</v>
      </c>
      <c r="F144" s="2">
        <v>10000</v>
      </c>
      <c r="N144" s="1">
        <v>132.30000000000001</v>
      </c>
      <c r="Q144" s="19">
        <v>0.12013888888888889</v>
      </c>
      <c r="R144" s="8">
        <f>(2+(53/60))*N144</f>
        <v>381.46500000000003</v>
      </c>
    </row>
    <row r="145" spans="1:18" x14ac:dyDescent="0.2">
      <c r="A145" s="4">
        <f t="shared" si="2"/>
        <v>137</v>
      </c>
      <c r="B145" s="4"/>
      <c r="C145" s="4"/>
      <c r="D145" s="3" t="s">
        <v>164</v>
      </c>
      <c r="E145" t="s">
        <v>6</v>
      </c>
      <c r="F145" s="2">
        <v>3000</v>
      </c>
      <c r="G145" s="2">
        <v>101.6</v>
      </c>
      <c r="H145" s="15">
        <v>3.1469999999999998</v>
      </c>
      <c r="I145" s="16">
        <v>2.859</v>
      </c>
      <c r="J145" s="2">
        <v>66.12</v>
      </c>
      <c r="N145" s="1">
        <v>86.18</v>
      </c>
      <c r="Q145" s="20" t="s">
        <v>748</v>
      </c>
      <c r="R145" s="8">
        <f>(1+(27/60))*N145</f>
        <v>124.96100000000001</v>
      </c>
    </row>
    <row r="146" spans="1:18" x14ac:dyDescent="0.2">
      <c r="A146" s="4">
        <f t="shared" si="2"/>
        <v>138</v>
      </c>
      <c r="B146" s="4"/>
      <c r="C146" s="4"/>
      <c r="D146" t="s">
        <v>166</v>
      </c>
      <c r="E146" t="s">
        <v>9</v>
      </c>
      <c r="F146" s="2">
        <v>168050</v>
      </c>
      <c r="N146" s="1">
        <v>267.5</v>
      </c>
      <c r="Q146" s="19">
        <v>0.24444444444444446</v>
      </c>
      <c r="R146" s="8">
        <f>(5+(52/60))*N146</f>
        <v>1569.3333333333335</v>
      </c>
    </row>
    <row r="147" spans="1:18" x14ac:dyDescent="0.2">
      <c r="A147" s="2">
        <f t="shared" si="2"/>
        <v>139</v>
      </c>
      <c r="D147" t="s">
        <v>167</v>
      </c>
      <c r="N147" s="1">
        <v>78.89</v>
      </c>
      <c r="Q147" s="19">
        <v>8.4722222222222213E-2</v>
      </c>
      <c r="R147" s="8">
        <f>(2+(2/60))*N147</f>
        <v>160.40966666666665</v>
      </c>
    </row>
    <row r="148" spans="1:18" x14ac:dyDescent="0.2">
      <c r="A148" s="2">
        <f t="shared" si="2"/>
        <v>140</v>
      </c>
      <c r="D148" t="s">
        <v>168</v>
      </c>
      <c r="E148" t="s">
        <v>6</v>
      </c>
      <c r="N148" s="1">
        <v>160.80000000000001</v>
      </c>
      <c r="Q148" s="19">
        <v>0.17291666666666669</v>
      </c>
      <c r="R148" s="8">
        <f>(4+(9/60))*N148</f>
        <v>667.32</v>
      </c>
    </row>
    <row r="149" spans="1:18" x14ac:dyDescent="0.2">
      <c r="A149" s="2">
        <f t="shared" si="2"/>
        <v>141</v>
      </c>
      <c r="D149" t="s">
        <v>169</v>
      </c>
      <c r="E149" t="s">
        <v>698</v>
      </c>
      <c r="F149" s="2">
        <v>1000</v>
      </c>
      <c r="N149" s="1">
        <v>124</v>
      </c>
      <c r="Q149" s="19">
        <v>0.13958333333333334</v>
      </c>
      <c r="R149" s="8">
        <f>(3+(21/60))*N149</f>
        <v>415.40000000000003</v>
      </c>
    </row>
    <row r="150" spans="1:18" x14ac:dyDescent="0.2">
      <c r="A150" s="2">
        <f t="shared" si="2"/>
        <v>142</v>
      </c>
      <c r="D150" t="s">
        <v>170</v>
      </c>
      <c r="G150" s="2">
        <v>96.86</v>
      </c>
      <c r="H150" s="15">
        <v>3.0830000000000002</v>
      </c>
      <c r="I150" s="16">
        <v>2.3540000000000001</v>
      </c>
      <c r="J150" s="2">
        <v>38.869999999999997</v>
      </c>
      <c r="N150" s="1">
        <v>90.13</v>
      </c>
      <c r="Q150" s="19">
        <v>0.12569444444444444</v>
      </c>
      <c r="R150" s="8">
        <f>(3+(1/60))*N150</f>
        <v>271.89216666666664</v>
      </c>
    </row>
    <row r="151" spans="1:18" x14ac:dyDescent="0.2">
      <c r="A151" s="2">
        <f t="shared" si="2"/>
        <v>143</v>
      </c>
      <c r="D151" t="s">
        <v>171</v>
      </c>
      <c r="N151" s="1">
        <v>70.790000000000006</v>
      </c>
      <c r="Q151" s="19">
        <v>5.2083333333333336E-2</v>
      </c>
      <c r="R151" s="8">
        <f>(1+(15/60))*N151</f>
        <v>88.487500000000011</v>
      </c>
    </row>
    <row r="152" spans="1:18" x14ac:dyDescent="0.2">
      <c r="A152" s="2">
        <f t="shared" si="2"/>
        <v>144</v>
      </c>
      <c r="D152" t="s">
        <v>172</v>
      </c>
      <c r="E152" t="s">
        <v>6</v>
      </c>
      <c r="F152" s="2">
        <v>0</v>
      </c>
      <c r="G152" s="2">
        <v>85.97</v>
      </c>
      <c r="H152" s="15">
        <v>2.1579999999999999</v>
      </c>
      <c r="I152" s="16">
        <v>1.6830000000000001</v>
      </c>
      <c r="J152" s="2">
        <v>26.54</v>
      </c>
      <c r="N152" s="1">
        <v>35.39</v>
      </c>
      <c r="Q152" s="22">
        <v>9.9999999999999992E-2</v>
      </c>
      <c r="R152" s="8">
        <f>(2+(24/60))*N152</f>
        <v>84.935999999999993</v>
      </c>
    </row>
    <row r="153" spans="1:18" x14ac:dyDescent="0.2">
      <c r="A153" s="2">
        <f t="shared" si="2"/>
        <v>145</v>
      </c>
      <c r="D153" t="s">
        <v>173</v>
      </c>
      <c r="N153" s="1">
        <v>61.65</v>
      </c>
      <c r="Q153" s="19">
        <v>0.1986111111111111</v>
      </c>
      <c r="R153" s="8">
        <f>(4+(46/60))*N153</f>
        <v>293.86500000000001</v>
      </c>
    </row>
    <row r="154" spans="1:18" x14ac:dyDescent="0.2">
      <c r="A154" s="2">
        <f t="shared" si="2"/>
        <v>146</v>
      </c>
      <c r="D154" t="s">
        <v>174</v>
      </c>
      <c r="E154" t="s">
        <v>6</v>
      </c>
      <c r="F154" s="2">
        <v>1000</v>
      </c>
      <c r="N154" s="1">
        <v>9.5009999999999994</v>
      </c>
      <c r="Q154" s="19">
        <v>0.11597222222222221</v>
      </c>
      <c r="R154" s="8">
        <f>(2+(47/60))*N154</f>
        <v>26.444449999999996</v>
      </c>
    </row>
    <row r="155" spans="1:18" x14ac:dyDescent="0.2">
      <c r="A155" s="2">
        <f t="shared" si="2"/>
        <v>147</v>
      </c>
      <c r="D155" t="s">
        <v>175</v>
      </c>
      <c r="N155" s="1">
        <v>128.9</v>
      </c>
      <c r="Q155" s="19">
        <v>0.54722222222222217</v>
      </c>
      <c r="R155" s="8">
        <f>(13+(8/60))*N155</f>
        <v>1692.8866666666668</v>
      </c>
    </row>
    <row r="156" spans="1:18" x14ac:dyDescent="0.2">
      <c r="A156" s="2">
        <f t="shared" si="2"/>
        <v>148</v>
      </c>
      <c r="D156" t="s">
        <v>176</v>
      </c>
      <c r="G156" s="2">
        <v>63.58</v>
      </c>
      <c r="H156" s="15">
        <v>1.6850000000000001</v>
      </c>
      <c r="I156" s="16">
        <v>1.552</v>
      </c>
      <c r="J156" s="2">
        <v>39.81</v>
      </c>
      <c r="N156" s="1">
        <v>65.3</v>
      </c>
      <c r="Q156" s="19">
        <v>5.0694444444444452E-2</v>
      </c>
      <c r="R156" s="8">
        <f>(1+(13/60))*N156</f>
        <v>79.448333333333338</v>
      </c>
    </row>
    <row r="157" spans="1:18" x14ac:dyDescent="0.2">
      <c r="A157" s="2">
        <f t="shared" si="2"/>
        <v>149</v>
      </c>
      <c r="D157" t="s">
        <v>177</v>
      </c>
      <c r="N157" s="1">
        <f>56.84</f>
        <v>56.84</v>
      </c>
      <c r="Q157" s="19">
        <v>0.21666666666666667</v>
      </c>
      <c r="R157" s="8">
        <f>(5+(12/60))*N157</f>
        <v>295.56800000000004</v>
      </c>
    </row>
    <row r="158" spans="1:18" x14ac:dyDescent="0.2">
      <c r="A158" s="2">
        <f t="shared" si="2"/>
        <v>150</v>
      </c>
      <c r="D158" t="s">
        <v>179</v>
      </c>
      <c r="E158" t="s">
        <v>697</v>
      </c>
      <c r="F158" s="2">
        <v>0</v>
      </c>
      <c r="N158" s="1">
        <v>112</v>
      </c>
      <c r="Q158" s="19">
        <v>0.55208333333333337</v>
      </c>
      <c r="R158" s="8">
        <f>(13+(15/60))*N158</f>
        <v>1484</v>
      </c>
    </row>
    <row r="159" spans="1:18" x14ac:dyDescent="0.2">
      <c r="A159" s="2">
        <f t="shared" si="2"/>
        <v>151</v>
      </c>
      <c r="D159" t="s">
        <v>180</v>
      </c>
      <c r="E159" t="s">
        <v>1</v>
      </c>
      <c r="F159" s="2">
        <v>600000</v>
      </c>
      <c r="N159" s="1">
        <v>299.10000000000002</v>
      </c>
      <c r="Q159" s="19">
        <v>0.5854166666666667</v>
      </c>
      <c r="R159" s="8">
        <f>(14+(3/60))*N159</f>
        <v>4202.3550000000005</v>
      </c>
    </row>
    <row r="160" spans="1:18" x14ac:dyDescent="0.2">
      <c r="A160" s="2">
        <f t="shared" si="2"/>
        <v>152</v>
      </c>
      <c r="D160" t="s">
        <v>181</v>
      </c>
      <c r="E160" t="s">
        <v>697</v>
      </c>
      <c r="F160" s="2">
        <v>0</v>
      </c>
      <c r="N160" s="1">
        <v>176.7</v>
      </c>
      <c r="Q160" s="19">
        <v>0.76527777777777783</v>
      </c>
      <c r="R160" s="8">
        <f>(18+(22/60))*N160</f>
        <v>3245.39</v>
      </c>
    </row>
    <row r="161" spans="1:18" x14ac:dyDescent="0.2">
      <c r="A161" s="2">
        <f t="shared" si="2"/>
        <v>153</v>
      </c>
      <c r="D161" t="s">
        <v>182</v>
      </c>
      <c r="N161" s="1">
        <v>117.6</v>
      </c>
      <c r="Q161" s="19">
        <v>4.5833333333333337E-2</v>
      </c>
      <c r="R161" s="8">
        <f>(1+(6/60))*N161</f>
        <v>129.36000000000001</v>
      </c>
    </row>
    <row r="162" spans="1:18" x14ac:dyDescent="0.2">
      <c r="A162" s="2">
        <f t="shared" si="2"/>
        <v>154</v>
      </c>
      <c r="D162" t="s">
        <v>183</v>
      </c>
      <c r="N162" s="1">
        <v>237.5</v>
      </c>
      <c r="Q162" s="19">
        <v>0.15416666666666667</v>
      </c>
      <c r="R162" s="8">
        <f>(3+(42/60))*N162</f>
        <v>878.75</v>
      </c>
    </row>
    <row r="163" spans="1:18" x14ac:dyDescent="0.2">
      <c r="A163" s="2">
        <f t="shared" si="2"/>
        <v>155</v>
      </c>
      <c r="D163" t="s">
        <v>184</v>
      </c>
      <c r="E163" t="s">
        <v>695</v>
      </c>
      <c r="F163" s="2">
        <v>9880</v>
      </c>
      <c r="G163" s="2">
        <v>63.23</v>
      </c>
      <c r="H163" s="15">
        <v>2.4420000000000002</v>
      </c>
      <c r="I163" s="16">
        <v>2.2120000000000002</v>
      </c>
      <c r="J163" s="2">
        <v>39.119999999999997</v>
      </c>
      <c r="K163" s="1" t="s">
        <v>11</v>
      </c>
      <c r="L163" s="1" t="s">
        <v>16</v>
      </c>
      <c r="N163" s="1">
        <v>82.44</v>
      </c>
      <c r="Q163" s="22">
        <v>4.5833333333333337E-2</v>
      </c>
      <c r="R163" s="8">
        <f>(1+(6/60))*N163</f>
        <v>90.684000000000012</v>
      </c>
    </row>
    <row r="164" spans="1:18" x14ac:dyDescent="0.2">
      <c r="A164" s="2">
        <f t="shared" si="2"/>
        <v>156</v>
      </c>
      <c r="D164" t="s">
        <v>185</v>
      </c>
      <c r="N164" s="1">
        <v>63.08</v>
      </c>
      <c r="Q164" s="19">
        <v>0.12708333333333333</v>
      </c>
      <c r="R164" s="8">
        <f>(3+(3/60))*N164</f>
        <v>192.39399999999998</v>
      </c>
    </row>
    <row r="165" spans="1:18" x14ac:dyDescent="0.2">
      <c r="A165" s="2">
        <f t="shared" si="2"/>
        <v>157</v>
      </c>
      <c r="D165" t="s">
        <v>186</v>
      </c>
      <c r="N165" s="1">
        <v>85.18</v>
      </c>
      <c r="Q165" s="19">
        <v>7.5694444444444439E-2</v>
      </c>
      <c r="R165" s="8">
        <f>(1+(49/60))*N165</f>
        <v>154.74366666666668</v>
      </c>
    </row>
    <row r="166" spans="1:18" x14ac:dyDescent="0.2">
      <c r="A166" s="2">
        <f t="shared" si="2"/>
        <v>158</v>
      </c>
      <c r="D166" t="s">
        <v>187</v>
      </c>
      <c r="E166" t="s">
        <v>722</v>
      </c>
      <c r="F166" s="2">
        <v>10590</v>
      </c>
      <c r="N166" s="1">
        <v>51.28</v>
      </c>
      <c r="Q166" s="19">
        <v>0.18541666666666667</v>
      </c>
      <c r="R166" s="8">
        <f>(4+(27/60))*N166</f>
        <v>228.19600000000003</v>
      </c>
    </row>
    <row r="167" spans="1:18" x14ac:dyDescent="0.2">
      <c r="A167" s="2">
        <f t="shared" si="2"/>
        <v>159</v>
      </c>
      <c r="D167" t="s">
        <v>188</v>
      </c>
      <c r="N167" s="1">
        <v>83.61</v>
      </c>
      <c r="Q167" s="19">
        <v>0.18472222222222223</v>
      </c>
      <c r="R167" s="8">
        <f>(4+(26/60))*N167</f>
        <v>370.67099999999999</v>
      </c>
    </row>
    <row r="168" spans="1:18" x14ac:dyDescent="0.2">
      <c r="A168" s="2">
        <f t="shared" si="2"/>
        <v>160</v>
      </c>
      <c r="D168" t="s">
        <v>189</v>
      </c>
      <c r="E168" t="s">
        <v>550</v>
      </c>
      <c r="F168" s="2">
        <v>88480</v>
      </c>
      <c r="N168" s="1">
        <v>88.87</v>
      </c>
      <c r="Q168" s="19">
        <v>0.20972222222222223</v>
      </c>
      <c r="R168" s="8">
        <f>(5+(2/60))*N168</f>
        <v>447.31233333333336</v>
      </c>
    </row>
    <row r="169" spans="1:18" x14ac:dyDescent="0.2">
      <c r="A169" s="2">
        <f t="shared" si="2"/>
        <v>161</v>
      </c>
      <c r="D169" t="s">
        <v>190</v>
      </c>
      <c r="E169" s="13" t="s">
        <v>699</v>
      </c>
      <c r="F169" s="2">
        <v>31000</v>
      </c>
      <c r="N169" s="1">
        <v>49.86</v>
      </c>
      <c r="Q169" s="19">
        <v>0.22916666666666666</v>
      </c>
      <c r="R169" s="8">
        <f>5.5*N169</f>
        <v>274.23</v>
      </c>
    </row>
    <row r="170" spans="1:18" x14ac:dyDescent="0.2">
      <c r="A170" s="2">
        <f t="shared" si="2"/>
        <v>162</v>
      </c>
      <c r="D170" t="s">
        <v>191</v>
      </c>
      <c r="E170" t="s">
        <v>700</v>
      </c>
      <c r="F170" s="2">
        <v>7790</v>
      </c>
      <c r="N170" s="1">
        <v>132.69999999999999</v>
      </c>
      <c r="Q170" s="19">
        <v>0.21805555555555556</v>
      </c>
      <c r="R170" s="8">
        <f>(5+(14/60))*N170</f>
        <v>694.46333333333325</v>
      </c>
    </row>
    <row r="171" spans="1:18" x14ac:dyDescent="0.2">
      <c r="A171" s="2">
        <f t="shared" si="2"/>
        <v>163</v>
      </c>
      <c r="D171" t="s">
        <v>193</v>
      </c>
      <c r="N171" s="1">
        <v>179.9</v>
      </c>
      <c r="Q171" s="19">
        <v>7.7777777777777779E-2</v>
      </c>
      <c r="R171" s="8">
        <f>(1+(52/60))*N171</f>
        <v>335.81333333333333</v>
      </c>
    </row>
    <row r="172" spans="1:18" x14ac:dyDescent="0.2">
      <c r="A172" s="2">
        <f t="shared" si="2"/>
        <v>164</v>
      </c>
      <c r="D172" t="s">
        <v>194</v>
      </c>
      <c r="E172" t="s">
        <v>701</v>
      </c>
      <c r="F172" s="2">
        <v>9150</v>
      </c>
      <c r="N172" s="1">
        <v>56.71</v>
      </c>
      <c r="Q172" s="19">
        <v>0.28611111111111115</v>
      </c>
      <c r="R172" s="8">
        <f>(6+(52/60))*N172</f>
        <v>389.4086666666667</v>
      </c>
    </row>
    <row r="173" spans="1:18" x14ac:dyDescent="0.2">
      <c r="A173" s="2">
        <f t="shared" si="2"/>
        <v>165</v>
      </c>
      <c r="D173" t="s">
        <v>195</v>
      </c>
      <c r="E173" t="s">
        <v>702</v>
      </c>
      <c r="F173" s="2">
        <v>3000</v>
      </c>
      <c r="N173" s="1">
        <v>52.43</v>
      </c>
      <c r="Q173" s="19">
        <v>0.36388888888888887</v>
      </c>
      <c r="R173" s="8">
        <f>(8+(44/60))*N173</f>
        <v>457.88866666666661</v>
      </c>
    </row>
    <row r="174" spans="1:18" x14ac:dyDescent="0.2">
      <c r="A174" s="2">
        <f t="shared" si="2"/>
        <v>166</v>
      </c>
      <c r="D174" t="s">
        <v>197</v>
      </c>
      <c r="E174" t="s">
        <v>6</v>
      </c>
      <c r="F174" s="2">
        <v>0</v>
      </c>
      <c r="G174" s="2">
        <v>44.14</v>
      </c>
      <c r="H174" s="15">
        <v>0.82471099999999997</v>
      </c>
      <c r="I174" s="16">
        <v>0.57424699999999995</v>
      </c>
      <c r="J174" s="2">
        <v>12.55</v>
      </c>
      <c r="N174" s="1">
        <v>19.78</v>
      </c>
      <c r="P174" s="19"/>
      <c r="Q174" s="19">
        <v>0.12013888888888889</v>
      </c>
      <c r="R174" s="8">
        <f>(2+(53/60))*N174</f>
        <v>57.032333333333334</v>
      </c>
    </row>
    <row r="175" spans="1:18" x14ac:dyDescent="0.2">
      <c r="A175" s="2">
        <f t="shared" si="2"/>
        <v>167</v>
      </c>
      <c r="D175" t="s">
        <v>198</v>
      </c>
      <c r="E175" t="s">
        <v>695</v>
      </c>
      <c r="F175" s="2">
        <v>9880</v>
      </c>
      <c r="N175" s="1">
        <v>44.32</v>
      </c>
      <c r="Q175" s="19">
        <v>0.25416666666666665</v>
      </c>
      <c r="R175" s="8">
        <f>(6+(6/60))*N175</f>
        <v>270.35199999999998</v>
      </c>
    </row>
    <row r="176" spans="1:18" x14ac:dyDescent="0.2">
      <c r="A176" s="2">
        <f t="shared" si="2"/>
        <v>168</v>
      </c>
      <c r="D176" t="s">
        <v>199</v>
      </c>
      <c r="E176" t="s">
        <v>551</v>
      </c>
      <c r="F176" s="2">
        <v>158030</v>
      </c>
      <c r="N176" s="2">
        <v>55.28</v>
      </c>
      <c r="Q176" s="19">
        <v>0.20555555555555557</v>
      </c>
      <c r="R176" s="8">
        <f>(4+(56/60))*N176</f>
        <v>272.71466666666669</v>
      </c>
    </row>
    <row r="177" spans="1:18" x14ac:dyDescent="0.2">
      <c r="A177" s="2">
        <f t="shared" si="2"/>
        <v>169</v>
      </c>
      <c r="D177" t="s">
        <v>200</v>
      </c>
      <c r="N177" s="2">
        <v>40.83</v>
      </c>
      <c r="Q177" s="19">
        <v>4.0972222222222222E-2</v>
      </c>
      <c r="R177" s="8">
        <f>(59/60)*N177</f>
        <v>40.149499999999996</v>
      </c>
    </row>
    <row r="178" spans="1:18" x14ac:dyDescent="0.2">
      <c r="A178" s="2">
        <f t="shared" si="2"/>
        <v>170</v>
      </c>
      <c r="D178" t="s">
        <v>201</v>
      </c>
      <c r="E178" t="s">
        <v>703</v>
      </c>
      <c r="F178" s="2">
        <v>26810</v>
      </c>
      <c r="N178" s="2">
        <v>48.5</v>
      </c>
      <c r="Q178" s="19">
        <v>0.16527777777777777</v>
      </c>
      <c r="R178" s="8">
        <f>(3+(58/60))*N178</f>
        <v>192.38333333333333</v>
      </c>
    </row>
    <row r="179" spans="1:18" x14ac:dyDescent="0.2">
      <c r="A179" s="2">
        <f t="shared" si="2"/>
        <v>171</v>
      </c>
      <c r="D179" t="s">
        <v>202</v>
      </c>
      <c r="E179" t="s">
        <v>6</v>
      </c>
      <c r="F179" s="2">
        <v>500</v>
      </c>
      <c r="N179" s="2">
        <v>47.54</v>
      </c>
      <c r="Q179" s="19">
        <v>0.17291666666666669</v>
      </c>
      <c r="R179" s="8">
        <f>(4+(9/60))*N179</f>
        <v>197.29100000000003</v>
      </c>
    </row>
    <row r="180" spans="1:18" x14ac:dyDescent="0.2">
      <c r="A180" s="2">
        <f t="shared" si="2"/>
        <v>172</v>
      </c>
      <c r="D180" t="s">
        <v>203</v>
      </c>
      <c r="E180" t="s">
        <v>676</v>
      </c>
      <c r="F180" s="2">
        <v>10830</v>
      </c>
      <c r="N180" s="2">
        <v>51.65</v>
      </c>
      <c r="Q180" s="19">
        <v>9.0277777777777776E-2</v>
      </c>
      <c r="R180" s="8">
        <f>(2+(10/60))*N180</f>
        <v>111.90833333333332</v>
      </c>
    </row>
    <row r="181" spans="1:18" x14ac:dyDescent="0.2">
      <c r="A181" s="2">
        <f t="shared" si="2"/>
        <v>173</v>
      </c>
      <c r="D181" t="s">
        <v>204</v>
      </c>
      <c r="E181" t="s">
        <v>6</v>
      </c>
      <c r="F181" s="2">
        <v>100</v>
      </c>
      <c r="G181" s="2">
        <v>88</v>
      </c>
      <c r="H181" s="15">
        <v>2.8919999999999999</v>
      </c>
      <c r="I181" s="16">
        <v>0.99697899999999995</v>
      </c>
      <c r="J181" s="2">
        <v>5.68</v>
      </c>
      <c r="N181" s="2">
        <v>86.48</v>
      </c>
      <c r="Q181" s="19">
        <v>0.62569444444444444</v>
      </c>
      <c r="R181" s="8">
        <f>(15+(1/60))*N181</f>
        <v>1298.6413333333335</v>
      </c>
    </row>
    <row r="182" spans="1:18" x14ac:dyDescent="0.2">
      <c r="A182" s="4">
        <f t="shared" si="2"/>
        <v>174</v>
      </c>
      <c r="B182" s="4"/>
      <c r="C182" s="4"/>
      <c r="D182" s="3" t="s">
        <v>205</v>
      </c>
      <c r="E182" t="s">
        <v>698</v>
      </c>
      <c r="F182" s="2">
        <v>1000</v>
      </c>
      <c r="G182" s="2">
        <v>114.5</v>
      </c>
      <c r="H182" s="15">
        <v>3.8490000000000002</v>
      </c>
      <c r="I182" s="16">
        <v>3.1360000000000001</v>
      </c>
      <c r="J182" s="2">
        <v>54.83</v>
      </c>
      <c r="N182" s="2">
        <v>109.6</v>
      </c>
      <c r="Q182" s="19">
        <v>0.1173611111111111</v>
      </c>
      <c r="R182" s="8">
        <f>(2+(49/60))*N182</f>
        <v>308.70666666666665</v>
      </c>
    </row>
    <row r="183" spans="1:18" x14ac:dyDescent="0.2">
      <c r="A183" s="2">
        <f t="shared" si="2"/>
        <v>175</v>
      </c>
      <c r="D183" t="s">
        <v>206</v>
      </c>
      <c r="E183" t="s">
        <v>704</v>
      </c>
      <c r="F183" s="2">
        <v>3430</v>
      </c>
      <c r="N183" s="2">
        <v>10.82</v>
      </c>
      <c r="Q183" s="19">
        <v>0.35625000000000001</v>
      </c>
      <c r="R183" s="8">
        <f>(8+(33/60))*N183</f>
        <v>92.51100000000001</v>
      </c>
    </row>
    <row r="184" spans="1:18" x14ac:dyDescent="0.2">
      <c r="A184" s="2">
        <f t="shared" si="2"/>
        <v>176</v>
      </c>
      <c r="D184" t="s">
        <v>207</v>
      </c>
      <c r="E184" t="s">
        <v>767</v>
      </c>
      <c r="F184" s="2">
        <v>33830</v>
      </c>
      <c r="N184" s="2">
        <v>47.94</v>
      </c>
      <c r="Q184" s="19">
        <v>0.22013888888888888</v>
      </c>
      <c r="R184" s="8">
        <f>(5+(17/60))*N184</f>
        <v>253.28299999999999</v>
      </c>
    </row>
    <row r="185" spans="1:18" x14ac:dyDescent="0.2">
      <c r="A185" s="2">
        <f t="shared" si="2"/>
        <v>177</v>
      </c>
      <c r="D185" t="s">
        <v>208</v>
      </c>
      <c r="E185" t="s">
        <v>766</v>
      </c>
      <c r="F185" s="2">
        <v>3130</v>
      </c>
      <c r="N185" s="2">
        <v>49.3</v>
      </c>
      <c r="Q185" s="19">
        <v>0.15972222222222224</v>
      </c>
      <c r="R185" s="8">
        <f>(3+(50/60))*N185</f>
        <v>188.98333333333332</v>
      </c>
    </row>
    <row r="186" spans="1:18" x14ac:dyDescent="0.2">
      <c r="A186" s="2">
        <f t="shared" si="2"/>
        <v>178</v>
      </c>
      <c r="D186" t="s">
        <v>209</v>
      </c>
      <c r="E186" t="s">
        <v>2</v>
      </c>
      <c r="F186" s="2">
        <v>1000000</v>
      </c>
      <c r="N186" s="2">
        <v>100.3</v>
      </c>
      <c r="Q186" s="19">
        <v>0.18472222222222223</v>
      </c>
      <c r="R186" s="8">
        <f>(4+(26/60))*N186</f>
        <v>444.66333333333336</v>
      </c>
    </row>
    <row r="187" spans="1:18" x14ac:dyDescent="0.2">
      <c r="A187" s="2">
        <f t="shared" si="2"/>
        <v>179</v>
      </c>
      <c r="D187" t="s">
        <v>210</v>
      </c>
      <c r="E187" t="s">
        <v>765</v>
      </c>
      <c r="F187" s="2">
        <v>50480</v>
      </c>
      <c r="N187" s="2">
        <v>43.24</v>
      </c>
      <c r="Q187" s="19">
        <v>0.20694444444444446</v>
      </c>
      <c r="R187" s="8">
        <f>(4+(58/60))*N187</f>
        <v>214.75866666666667</v>
      </c>
    </row>
    <row r="188" spans="1:18" x14ac:dyDescent="0.2">
      <c r="A188" s="2">
        <f t="shared" si="2"/>
        <v>180</v>
      </c>
      <c r="D188" t="s">
        <v>211</v>
      </c>
      <c r="E188" t="s">
        <v>705</v>
      </c>
      <c r="F188" s="2">
        <v>100</v>
      </c>
      <c r="N188" s="2">
        <v>165</v>
      </c>
      <c r="Q188" s="19">
        <v>0.24166666666666667</v>
      </c>
      <c r="R188" s="8">
        <f>(5+(48/60))*N188</f>
        <v>957</v>
      </c>
    </row>
    <row r="189" spans="1:18" x14ac:dyDescent="0.2">
      <c r="A189" s="2">
        <f t="shared" si="2"/>
        <v>181</v>
      </c>
      <c r="D189" t="s">
        <v>212</v>
      </c>
      <c r="E189" t="s">
        <v>706</v>
      </c>
      <c r="F189" s="2">
        <v>10870</v>
      </c>
      <c r="N189" s="2">
        <v>60.62</v>
      </c>
      <c r="Q189" s="19">
        <v>9.5833333333333326E-2</v>
      </c>
      <c r="R189" s="8">
        <f>(2+(18/60))*N189</f>
        <v>139.42599999999999</v>
      </c>
    </row>
    <row r="190" spans="1:18" x14ac:dyDescent="0.2">
      <c r="A190" s="2">
        <f t="shared" si="2"/>
        <v>182</v>
      </c>
      <c r="D190" t="s">
        <v>213</v>
      </c>
      <c r="E190" t="s">
        <v>562</v>
      </c>
      <c r="F190" s="2">
        <v>13940</v>
      </c>
      <c r="N190" s="2">
        <v>170.8</v>
      </c>
      <c r="Q190" s="19">
        <v>0.23541666666666669</v>
      </c>
      <c r="R190" s="8">
        <f>(5+(39/60))*N190</f>
        <v>965.0200000000001</v>
      </c>
    </row>
    <row r="191" spans="1:18" x14ac:dyDescent="0.2">
      <c r="A191" s="2">
        <f t="shared" si="2"/>
        <v>183</v>
      </c>
      <c r="D191" t="s">
        <v>214</v>
      </c>
      <c r="E191" t="s">
        <v>708</v>
      </c>
      <c r="F191" s="2">
        <v>135900</v>
      </c>
      <c r="N191" s="2">
        <v>180.8</v>
      </c>
      <c r="Q191" s="19">
        <v>0.26041666666666669</v>
      </c>
      <c r="R191" s="8">
        <f>(6+(15/60))*N191</f>
        <v>1130</v>
      </c>
    </row>
    <row r="192" spans="1:18" x14ac:dyDescent="0.2">
      <c r="A192" s="2">
        <f t="shared" si="2"/>
        <v>184</v>
      </c>
      <c r="D192" t="s">
        <v>215</v>
      </c>
      <c r="E192" t="s">
        <v>707</v>
      </c>
      <c r="F192" s="2">
        <v>708</v>
      </c>
      <c r="N192" s="2">
        <v>48.61</v>
      </c>
      <c r="Q192" s="19">
        <v>9.5138888888888884E-2</v>
      </c>
      <c r="R192" s="8">
        <f>(2+(17/60))*N192</f>
        <v>110.99283333333332</v>
      </c>
    </row>
    <row r="193" spans="1:18" x14ac:dyDescent="0.2">
      <c r="A193" s="2">
        <f t="shared" si="2"/>
        <v>185</v>
      </c>
      <c r="D193" t="s">
        <v>216</v>
      </c>
      <c r="N193" s="2">
        <v>47.57</v>
      </c>
      <c r="Q193" s="19">
        <v>8.4722222222222213E-2</v>
      </c>
      <c r="R193" s="8">
        <f>(2+(2/60))*N193</f>
        <v>96.725666666666655</v>
      </c>
    </row>
    <row r="194" spans="1:18" x14ac:dyDescent="0.2">
      <c r="A194" s="2">
        <v>178</v>
      </c>
      <c r="B194" s="2">
        <v>186</v>
      </c>
      <c r="C194" s="2">
        <v>146</v>
      </c>
      <c r="D194" s="3" t="s">
        <v>217</v>
      </c>
      <c r="E194" t="s">
        <v>6</v>
      </c>
      <c r="F194" s="2">
        <v>1000</v>
      </c>
      <c r="G194" s="2">
        <v>187.2</v>
      </c>
      <c r="H194" s="16">
        <v>8.1509999999999998</v>
      </c>
      <c r="I194" s="14">
        <v>2.8319999999999999</v>
      </c>
      <c r="J194" s="2">
        <v>13.27</v>
      </c>
      <c r="K194" s="1" t="s">
        <v>11</v>
      </c>
      <c r="L194" s="1" t="s">
        <v>11</v>
      </c>
      <c r="M194" s="1">
        <v>180.9</v>
      </c>
      <c r="N194" s="2">
        <v>174.8</v>
      </c>
      <c r="O194" s="25">
        <v>223.9</v>
      </c>
      <c r="P194">
        <v>228.2</v>
      </c>
      <c r="Q194" s="22" t="s">
        <v>769</v>
      </c>
      <c r="R194" s="8">
        <f>(29+(20/60))*N194</f>
        <v>5127.4666666666672</v>
      </c>
    </row>
    <row r="195" spans="1:18" x14ac:dyDescent="0.2">
      <c r="A195" s="2">
        <f t="shared" si="2"/>
        <v>179</v>
      </c>
      <c r="D195" t="s">
        <v>218</v>
      </c>
      <c r="N195" s="2">
        <v>66.97</v>
      </c>
      <c r="Q195" s="19">
        <v>0.11180555555555556</v>
      </c>
      <c r="R195" s="8">
        <f>(2+(41/60))*N195</f>
        <v>179.70283333333336</v>
      </c>
    </row>
    <row r="196" spans="1:18" x14ac:dyDescent="0.2">
      <c r="A196" s="2">
        <f t="shared" ref="A196:A200" si="3">A195+1</f>
        <v>180</v>
      </c>
      <c r="D196" t="s">
        <v>219</v>
      </c>
      <c r="N196" s="2">
        <v>111.1</v>
      </c>
      <c r="Q196" s="19">
        <v>9.930555555555555E-2</v>
      </c>
      <c r="R196" s="8">
        <f>(2+(23/60))*N196</f>
        <v>264.7883333333333</v>
      </c>
    </row>
    <row r="197" spans="1:18" x14ac:dyDescent="0.2">
      <c r="A197" s="2">
        <f t="shared" si="3"/>
        <v>181</v>
      </c>
      <c r="D197" t="s">
        <v>220</v>
      </c>
      <c r="N197" s="2">
        <v>46.4</v>
      </c>
      <c r="Q197" s="19">
        <v>0.13263888888888889</v>
      </c>
      <c r="R197" s="8">
        <f>(3+(11/60))*N197</f>
        <v>147.70666666666665</v>
      </c>
    </row>
    <row r="198" spans="1:18" x14ac:dyDescent="0.2">
      <c r="A198" s="2">
        <f t="shared" si="3"/>
        <v>182</v>
      </c>
      <c r="D198" t="s">
        <v>221</v>
      </c>
      <c r="N198" s="2">
        <v>52.93</v>
      </c>
      <c r="Q198" s="19">
        <v>0.19305555555555554</v>
      </c>
      <c r="R198" s="8">
        <f>(4+(38/60))*N198</f>
        <v>245.24233333333331</v>
      </c>
    </row>
    <row r="199" spans="1:18" x14ac:dyDescent="0.2">
      <c r="A199" s="2">
        <f t="shared" si="3"/>
        <v>183</v>
      </c>
      <c r="D199" t="s">
        <v>222</v>
      </c>
      <c r="G199" s="2">
        <v>47.06</v>
      </c>
      <c r="H199" s="15">
        <v>1.6120000000000001</v>
      </c>
      <c r="I199" s="16">
        <v>1.23</v>
      </c>
      <c r="J199" s="2">
        <v>17.84</v>
      </c>
      <c r="N199" s="2">
        <v>43.96</v>
      </c>
      <c r="Q199" s="19">
        <v>0.21944444444444444</v>
      </c>
      <c r="R199" s="8">
        <f>(5+(16/60))*N199</f>
        <v>231.52266666666668</v>
      </c>
    </row>
    <row r="200" spans="1:18" x14ac:dyDescent="0.2">
      <c r="A200" s="2">
        <f t="shared" si="3"/>
        <v>184</v>
      </c>
      <c r="D200" t="s">
        <v>223</v>
      </c>
      <c r="N200" s="2">
        <v>81.89</v>
      </c>
      <c r="Q200" s="19">
        <v>8.4722222222222213E-2</v>
      </c>
      <c r="R200" s="8">
        <f>(2+(2/60))*N200</f>
        <v>166.50966666666665</v>
      </c>
    </row>
    <row r="201" spans="1:18" x14ac:dyDescent="0.2">
      <c r="A201" s="2">
        <f t="shared" ref="A201:A256" si="4">A200+1</f>
        <v>185</v>
      </c>
      <c r="D201" t="s">
        <v>224</v>
      </c>
      <c r="N201" s="2">
        <v>124.3</v>
      </c>
      <c r="Q201" s="19">
        <v>8.3333333333333329E-2</v>
      </c>
      <c r="R201" s="8">
        <f>2*N201</f>
        <v>248.6</v>
      </c>
    </row>
    <row r="202" spans="1:18" x14ac:dyDescent="0.2">
      <c r="A202" s="2">
        <f t="shared" si="4"/>
        <v>186</v>
      </c>
      <c r="D202" t="s">
        <v>225</v>
      </c>
      <c r="N202" s="2">
        <v>38.79</v>
      </c>
      <c r="Q202" s="19">
        <v>8.4027777777777771E-2</v>
      </c>
      <c r="R202" s="8">
        <f>(2+(1/60))*N202</f>
        <v>78.226500000000001</v>
      </c>
    </row>
    <row r="203" spans="1:18" x14ac:dyDescent="0.2">
      <c r="A203" s="2">
        <f t="shared" si="4"/>
        <v>187</v>
      </c>
      <c r="D203" t="s">
        <v>226</v>
      </c>
      <c r="N203" s="2">
        <v>44.62</v>
      </c>
      <c r="Q203" s="19">
        <v>8.4722222222222213E-2</v>
      </c>
      <c r="R203" s="8">
        <f>(2+(2/60))*N203</f>
        <v>90.72733333333332</v>
      </c>
    </row>
    <row r="204" spans="1:18" x14ac:dyDescent="0.2">
      <c r="A204" s="2">
        <f t="shared" si="4"/>
        <v>188</v>
      </c>
      <c r="D204" t="s">
        <v>227</v>
      </c>
      <c r="N204" s="2">
        <v>49.43</v>
      </c>
      <c r="Q204" s="19">
        <v>0.28402777777777777</v>
      </c>
      <c r="R204" s="8">
        <f>(6+(49/60))*N204</f>
        <v>336.94783333333334</v>
      </c>
    </row>
    <row r="205" spans="1:18" x14ac:dyDescent="0.2">
      <c r="A205" s="2">
        <f t="shared" si="4"/>
        <v>189</v>
      </c>
      <c r="D205" t="s">
        <v>228</v>
      </c>
      <c r="E205" t="s">
        <v>676</v>
      </c>
      <c r="N205" s="2">
        <v>47.95</v>
      </c>
      <c r="Q205" s="19">
        <v>0.10833333333333334</v>
      </c>
      <c r="R205" s="8">
        <f>(2+(36/60))*N205</f>
        <v>124.67000000000002</v>
      </c>
    </row>
    <row r="206" spans="1:18" x14ac:dyDescent="0.2">
      <c r="A206" s="2">
        <f t="shared" si="4"/>
        <v>190</v>
      </c>
      <c r="D206" t="s">
        <v>229</v>
      </c>
      <c r="N206" s="2">
        <v>37.76</v>
      </c>
      <c r="Q206" s="19">
        <v>0.17152777777777775</v>
      </c>
      <c r="R206" s="8">
        <f>(4+(7/60))*N206</f>
        <v>155.44533333333331</v>
      </c>
    </row>
    <row r="207" spans="1:18" x14ac:dyDescent="0.2">
      <c r="A207" s="2">
        <f t="shared" si="4"/>
        <v>191</v>
      </c>
      <c r="D207" t="s">
        <v>230</v>
      </c>
      <c r="N207" s="2">
        <v>78.13</v>
      </c>
      <c r="Q207" s="19">
        <v>9.7916666666666666E-2</v>
      </c>
      <c r="R207" s="8">
        <f>(2+(21/60))*N207</f>
        <v>183.60550000000001</v>
      </c>
    </row>
    <row r="208" spans="1:18" x14ac:dyDescent="0.2">
      <c r="A208" s="2">
        <f t="shared" si="4"/>
        <v>192</v>
      </c>
      <c r="D208" t="s">
        <v>231</v>
      </c>
      <c r="N208" s="2">
        <v>93.99</v>
      </c>
      <c r="Q208" s="19">
        <v>0.37083333333333335</v>
      </c>
      <c r="R208" s="8">
        <f>(8+(54/60))*N208</f>
        <v>836.51099999999997</v>
      </c>
    </row>
    <row r="209" spans="1:18" x14ac:dyDescent="0.2">
      <c r="A209" s="2">
        <f t="shared" si="4"/>
        <v>193</v>
      </c>
      <c r="D209" t="s">
        <v>232</v>
      </c>
      <c r="N209" s="2">
        <v>42.33</v>
      </c>
      <c r="Q209" s="19">
        <v>0.17083333333333331</v>
      </c>
      <c r="R209" s="8">
        <f>(4+(6/60))*N209</f>
        <v>173.55299999999997</v>
      </c>
    </row>
    <row r="210" spans="1:18" x14ac:dyDescent="0.2">
      <c r="A210" s="2">
        <f t="shared" si="4"/>
        <v>194</v>
      </c>
      <c r="D210" t="s">
        <v>233</v>
      </c>
      <c r="N210" s="2">
        <v>68.88</v>
      </c>
      <c r="Q210" s="19">
        <v>5.6944444444444443E-2</v>
      </c>
      <c r="R210" s="8">
        <f>(1+(22/60))*N210</f>
        <v>94.135999999999996</v>
      </c>
    </row>
    <row r="211" spans="1:18" x14ac:dyDescent="0.2">
      <c r="A211" s="2">
        <f t="shared" si="4"/>
        <v>195</v>
      </c>
      <c r="D211" t="s">
        <v>234</v>
      </c>
      <c r="E211" t="s">
        <v>539</v>
      </c>
      <c r="N211" s="2">
        <v>23.54</v>
      </c>
      <c r="Q211" s="19">
        <v>9.0972222222222218E-2</v>
      </c>
      <c r="R211" s="8">
        <f>(2+(11/60))*N211</f>
        <v>51.395666666666656</v>
      </c>
    </row>
    <row r="212" spans="1:18" x14ac:dyDescent="0.2">
      <c r="A212" s="2">
        <v>518</v>
      </c>
      <c r="B212" s="2">
        <v>204</v>
      </c>
      <c r="D212" t="s">
        <v>235</v>
      </c>
      <c r="N212" s="2">
        <v>34.020000000000003</v>
      </c>
      <c r="Q212" s="19">
        <v>9.0972222222222218E-2</v>
      </c>
      <c r="R212" s="8">
        <f>(2+(11/60))*N212</f>
        <v>74.277000000000001</v>
      </c>
    </row>
    <row r="213" spans="1:18" x14ac:dyDescent="0.2">
      <c r="A213" s="2">
        <v>477</v>
      </c>
      <c r="B213" s="2">
        <v>205</v>
      </c>
      <c r="D213" t="s">
        <v>236</v>
      </c>
      <c r="N213" s="2">
        <v>103.8</v>
      </c>
      <c r="Q213" s="19">
        <v>1.7361111111111112E-2</v>
      </c>
      <c r="R213" s="8">
        <f>(25/60)*N213</f>
        <v>43.25</v>
      </c>
    </row>
    <row r="214" spans="1:18" x14ac:dyDescent="0.2">
      <c r="A214" s="2">
        <v>206</v>
      </c>
      <c r="C214" s="2">
        <v>85</v>
      </c>
      <c r="D214" t="s">
        <v>237</v>
      </c>
      <c r="N214" s="2">
        <v>123.1</v>
      </c>
      <c r="Q214" s="19">
        <v>0.47152777777777777</v>
      </c>
      <c r="R214" s="8">
        <f>(11+(19/60))*N214</f>
        <v>1393.0816666666665</v>
      </c>
    </row>
    <row r="215" spans="1:18" x14ac:dyDescent="0.2">
      <c r="A215" s="2">
        <v>240</v>
      </c>
      <c r="B215" s="2">
        <v>207</v>
      </c>
      <c r="C215" s="2">
        <v>387</v>
      </c>
      <c r="D215" t="s">
        <v>238</v>
      </c>
      <c r="E215" t="s">
        <v>563</v>
      </c>
      <c r="N215" s="2">
        <v>78.05</v>
      </c>
      <c r="Q215" s="19">
        <v>0.32569444444444445</v>
      </c>
      <c r="R215" s="8">
        <f>(7+(49/60))*N215</f>
        <v>610.09083333333331</v>
      </c>
    </row>
    <row r="216" spans="1:18" x14ac:dyDescent="0.2">
      <c r="A216" s="2">
        <f t="shared" si="4"/>
        <v>241</v>
      </c>
      <c r="B216" s="2">
        <v>208</v>
      </c>
      <c r="C216" s="2">
        <v>132</v>
      </c>
      <c r="D216" t="s">
        <v>239</v>
      </c>
      <c r="N216" s="2">
        <v>302.5</v>
      </c>
      <c r="Q216" s="19">
        <v>0.22777777777777777</v>
      </c>
      <c r="R216" s="8">
        <f>(5+(28/60))*N216</f>
        <v>1653.6666666666667</v>
      </c>
    </row>
    <row r="217" spans="1:18" x14ac:dyDescent="0.2">
      <c r="A217" s="2">
        <v>100</v>
      </c>
      <c r="B217" s="2">
        <v>209</v>
      </c>
      <c r="C217" s="2">
        <v>378</v>
      </c>
      <c r="D217" t="s">
        <v>240</v>
      </c>
      <c r="N217" s="2">
        <v>39.659999999999997</v>
      </c>
      <c r="Q217" s="19">
        <v>0.59027777777777779</v>
      </c>
      <c r="R217" s="8">
        <f>(14+(10/60))*N217</f>
        <v>561.84999999999991</v>
      </c>
    </row>
    <row r="218" spans="1:18" x14ac:dyDescent="0.2">
      <c r="A218" s="2">
        <v>243</v>
      </c>
      <c r="D218" t="s">
        <v>241</v>
      </c>
      <c r="N218" s="2">
        <v>259.5</v>
      </c>
      <c r="Q218" s="19">
        <v>1.5277777777777777E-2</v>
      </c>
      <c r="R218" s="8">
        <f>(22/60)*N218</f>
        <v>95.149999999999991</v>
      </c>
    </row>
    <row r="219" spans="1:18" x14ac:dyDescent="0.2">
      <c r="A219" s="2">
        <v>160</v>
      </c>
      <c r="B219" s="2">
        <v>211</v>
      </c>
      <c r="C219" s="2">
        <v>799</v>
      </c>
      <c r="D219" t="s">
        <v>242</v>
      </c>
      <c r="N219" s="2">
        <v>41.92</v>
      </c>
      <c r="Q219" s="19">
        <v>0.62083333333333335</v>
      </c>
      <c r="R219" s="8">
        <f>(14+(54/60))*N219</f>
        <v>624.60800000000006</v>
      </c>
    </row>
    <row r="220" spans="1:18" x14ac:dyDescent="0.2">
      <c r="A220" s="2">
        <v>142</v>
      </c>
      <c r="B220" s="2">
        <v>212</v>
      </c>
      <c r="C220" s="2">
        <v>648</v>
      </c>
      <c r="D220" t="s">
        <v>243</v>
      </c>
      <c r="N220" s="2">
        <v>51.73</v>
      </c>
      <c r="Q220" s="19">
        <v>0.26527777777777778</v>
      </c>
      <c r="R220" s="8">
        <f>(6+(22/60))*N220</f>
        <v>329.34766666666661</v>
      </c>
    </row>
    <row r="221" spans="1:18" x14ac:dyDescent="0.2">
      <c r="A221" s="2">
        <v>176</v>
      </c>
      <c r="B221" s="2">
        <v>213</v>
      </c>
      <c r="C221" s="2">
        <v>685</v>
      </c>
      <c r="D221" t="s">
        <v>244</v>
      </c>
      <c r="N221" s="2">
        <v>52.39</v>
      </c>
      <c r="Q221" s="19">
        <v>0.21111111111111111</v>
      </c>
      <c r="R221" s="8">
        <f>(5+(4/60))*N221</f>
        <v>265.44266666666664</v>
      </c>
    </row>
    <row r="222" spans="1:18" x14ac:dyDescent="0.2">
      <c r="A222" s="2">
        <v>188</v>
      </c>
      <c r="B222" s="2">
        <v>214</v>
      </c>
      <c r="C222" s="2">
        <v>511</v>
      </c>
      <c r="D222" t="s">
        <v>245</v>
      </c>
      <c r="N222" s="2">
        <v>74.27</v>
      </c>
      <c r="Q222" s="19">
        <v>0.22777777777777777</v>
      </c>
      <c r="R222" s="8">
        <f>(5+(28/60))*N222</f>
        <v>406.0093333333333</v>
      </c>
    </row>
    <row r="223" spans="1:18" x14ac:dyDescent="0.2">
      <c r="A223" s="2">
        <v>154</v>
      </c>
      <c r="B223" s="2">
        <v>215</v>
      </c>
      <c r="C223" s="2">
        <v>815</v>
      </c>
      <c r="D223" t="s">
        <v>246</v>
      </c>
      <c r="N223" s="2">
        <v>46.52</v>
      </c>
      <c r="Q223" s="19">
        <v>0.15972222222222224</v>
      </c>
      <c r="R223" s="8">
        <f>(3+(50/60))*N223</f>
        <v>178.32666666666668</v>
      </c>
    </row>
    <row r="224" spans="1:18" x14ac:dyDescent="0.2">
      <c r="A224" s="2">
        <v>244</v>
      </c>
      <c r="B224" s="2">
        <v>216</v>
      </c>
      <c r="C224" s="2">
        <v>512</v>
      </c>
      <c r="D224" s="3" t="s">
        <v>247</v>
      </c>
      <c r="N224" s="2">
        <v>79.16</v>
      </c>
      <c r="Q224" s="19">
        <v>6.3888888888888884E-2</v>
      </c>
      <c r="R224" s="8">
        <f>(1+(32/60))*N224</f>
        <v>121.37866666666665</v>
      </c>
    </row>
    <row r="225" spans="1:18" x14ac:dyDescent="0.2">
      <c r="A225" s="2">
        <v>346</v>
      </c>
      <c r="B225" s="2">
        <v>217</v>
      </c>
      <c r="C225" s="2">
        <v>1504</v>
      </c>
      <c r="D225" t="s">
        <v>248</v>
      </c>
      <c r="E225" t="s">
        <v>9</v>
      </c>
      <c r="N225" s="2">
        <v>44.68</v>
      </c>
      <c r="Q225" s="19">
        <v>0.125</v>
      </c>
      <c r="R225" s="8">
        <f>3*N225</f>
        <v>134.04</v>
      </c>
    </row>
    <row r="226" spans="1:18" x14ac:dyDescent="0.2">
      <c r="A226" s="2">
        <v>325</v>
      </c>
      <c r="B226" s="2">
        <v>218</v>
      </c>
      <c r="C226" s="2">
        <v>1728</v>
      </c>
      <c r="D226" t="s">
        <v>249</v>
      </c>
      <c r="N226" s="2">
        <v>38.130000000000003</v>
      </c>
      <c r="Q226" s="19">
        <v>0.12847222222222224</v>
      </c>
      <c r="R226" s="8">
        <f>(3+(5/60))*N226</f>
        <v>117.56750000000001</v>
      </c>
    </row>
    <row r="227" spans="1:18" x14ac:dyDescent="0.2">
      <c r="A227" s="2">
        <v>168</v>
      </c>
      <c r="B227" s="2">
        <v>219</v>
      </c>
      <c r="C227" s="2">
        <v>897</v>
      </c>
      <c r="D227" t="s">
        <v>250</v>
      </c>
      <c r="N227" s="2">
        <v>39.01</v>
      </c>
      <c r="Q227" s="19">
        <v>0.17152777777777775</v>
      </c>
      <c r="R227" s="8">
        <f>(4+(7/60))*N227</f>
        <v>160.59116666666665</v>
      </c>
    </row>
    <row r="228" spans="1:18" x14ac:dyDescent="0.2">
      <c r="A228" s="2">
        <v>417</v>
      </c>
      <c r="B228" s="2">
        <v>220</v>
      </c>
      <c r="C228" s="2">
        <v>1437</v>
      </c>
      <c r="D228" t="s">
        <v>251</v>
      </c>
      <c r="N228" s="2">
        <v>45.56</v>
      </c>
      <c r="Q228" s="19">
        <v>0.22708333333333333</v>
      </c>
      <c r="R228" s="8">
        <f>(5+(27/60))*N228</f>
        <v>248.30200000000002</v>
      </c>
    </row>
    <row r="229" spans="1:18" x14ac:dyDescent="0.2">
      <c r="A229" s="2">
        <v>509</v>
      </c>
      <c r="B229" s="2">
        <v>221</v>
      </c>
      <c r="C229" s="2">
        <v>1509</v>
      </c>
      <c r="D229" t="s">
        <v>252</v>
      </c>
      <c r="E229" t="s">
        <v>709</v>
      </c>
      <c r="F229" s="2">
        <v>1160</v>
      </c>
      <c r="N229" s="2">
        <v>24.63</v>
      </c>
      <c r="Q229" s="19">
        <v>0.45763888888888887</v>
      </c>
      <c r="R229" s="8">
        <f>(10+(59/60))*N229</f>
        <v>270.51949999999999</v>
      </c>
    </row>
    <row r="230" spans="1:18" x14ac:dyDescent="0.2">
      <c r="A230" s="2">
        <v>256</v>
      </c>
      <c r="B230" s="2">
        <v>222</v>
      </c>
      <c r="C230" s="2">
        <v>835</v>
      </c>
      <c r="D230" t="s">
        <v>253</v>
      </c>
      <c r="N230" s="2">
        <v>60.97</v>
      </c>
      <c r="Q230" s="19">
        <v>9.8611111111111108E-2</v>
      </c>
      <c r="R230" s="8">
        <f>(2+(22/60))*N230</f>
        <v>144.29566666666668</v>
      </c>
    </row>
    <row r="231" spans="1:18" x14ac:dyDescent="0.2">
      <c r="A231" s="2">
        <v>290</v>
      </c>
      <c r="B231" s="2">
        <v>223</v>
      </c>
      <c r="C231" s="2">
        <v>943</v>
      </c>
      <c r="D231" t="s">
        <v>254</v>
      </c>
      <c r="E231" t="s">
        <v>710</v>
      </c>
      <c r="F231" s="2">
        <v>10340</v>
      </c>
      <c r="N231" s="2">
        <v>52.91</v>
      </c>
      <c r="Q231" s="19">
        <v>0.17222222222222225</v>
      </c>
      <c r="R231" s="8">
        <f>(4+(8/60))*N231</f>
        <v>218.69466666666668</v>
      </c>
    </row>
    <row r="232" spans="1:18" x14ac:dyDescent="0.2">
      <c r="A232" s="2">
        <v>1077</v>
      </c>
      <c r="B232" s="2">
        <v>224</v>
      </c>
      <c r="C232" s="2">
        <v>5784</v>
      </c>
      <c r="D232" t="s">
        <v>255</v>
      </c>
      <c r="N232" s="2">
        <v>10</v>
      </c>
      <c r="Q232" s="19">
        <v>0.11388888888888889</v>
      </c>
      <c r="R232" s="8">
        <f>(2+(44/60))*N232</f>
        <v>27.333333333333336</v>
      </c>
    </row>
    <row r="233" spans="1:18" x14ac:dyDescent="0.2">
      <c r="A233" s="2">
        <v>225</v>
      </c>
      <c r="D233" t="s">
        <v>256</v>
      </c>
      <c r="N233" s="2"/>
      <c r="R233" s="8"/>
    </row>
    <row r="234" spans="1:18" x14ac:dyDescent="0.2">
      <c r="A234" s="2">
        <v>226</v>
      </c>
      <c r="D234" t="s">
        <v>257</v>
      </c>
      <c r="N234" s="2"/>
      <c r="R234" s="8"/>
    </row>
    <row r="235" spans="1:18" x14ac:dyDescent="0.2">
      <c r="A235" s="2">
        <v>227</v>
      </c>
      <c r="D235" t="s">
        <v>259</v>
      </c>
      <c r="N235" s="2"/>
      <c r="R235" s="8"/>
    </row>
    <row r="236" spans="1:18" x14ac:dyDescent="0.2">
      <c r="A236" s="2">
        <v>228</v>
      </c>
      <c r="D236" t="s">
        <v>260</v>
      </c>
      <c r="N236" s="2"/>
      <c r="R236" s="8"/>
    </row>
    <row r="237" spans="1:18" x14ac:dyDescent="0.2">
      <c r="A237" s="2">
        <v>229</v>
      </c>
      <c r="D237" t="s">
        <v>262</v>
      </c>
      <c r="R237" s="8"/>
    </row>
    <row r="238" spans="1:18" x14ac:dyDescent="0.2">
      <c r="A238" s="2">
        <v>230</v>
      </c>
      <c r="D238" t="s">
        <v>263</v>
      </c>
      <c r="R238" s="8"/>
    </row>
    <row r="239" spans="1:18" x14ac:dyDescent="0.2">
      <c r="A239" s="2">
        <v>231</v>
      </c>
      <c r="D239" t="s">
        <v>264</v>
      </c>
      <c r="R239" s="8"/>
    </row>
    <row r="240" spans="1:18" x14ac:dyDescent="0.2">
      <c r="A240" s="2">
        <v>232</v>
      </c>
      <c r="D240" t="s">
        <v>265</v>
      </c>
    </row>
    <row r="241" spans="1:5" x14ac:dyDescent="0.2">
      <c r="A241" s="2">
        <v>233</v>
      </c>
      <c r="D241" t="s">
        <v>267</v>
      </c>
    </row>
    <row r="242" spans="1:5" x14ac:dyDescent="0.2">
      <c r="A242" s="2">
        <f t="shared" si="4"/>
        <v>234</v>
      </c>
      <c r="D242" t="s">
        <v>268</v>
      </c>
    </row>
    <row r="243" spans="1:5" x14ac:dyDescent="0.2">
      <c r="A243" s="2">
        <f t="shared" si="4"/>
        <v>235</v>
      </c>
      <c r="D243" t="s">
        <v>269</v>
      </c>
    </row>
    <row r="244" spans="1:5" x14ac:dyDescent="0.2">
      <c r="A244" s="2">
        <f t="shared" si="4"/>
        <v>236</v>
      </c>
      <c r="D244" t="s">
        <v>270</v>
      </c>
    </row>
    <row r="245" spans="1:5" x14ac:dyDescent="0.2">
      <c r="A245" s="2">
        <f t="shared" si="4"/>
        <v>237</v>
      </c>
      <c r="D245" t="s">
        <v>271</v>
      </c>
    </row>
    <row r="246" spans="1:5" x14ac:dyDescent="0.2">
      <c r="A246" s="2">
        <f t="shared" si="4"/>
        <v>238</v>
      </c>
      <c r="D246" t="s">
        <v>272</v>
      </c>
      <c r="E246" t="s">
        <v>519</v>
      </c>
    </row>
    <row r="247" spans="1:5" x14ac:dyDescent="0.2">
      <c r="A247" s="2">
        <f t="shared" si="4"/>
        <v>239</v>
      </c>
      <c r="D247" t="s">
        <v>273</v>
      </c>
    </row>
    <row r="248" spans="1:5" x14ac:dyDescent="0.2">
      <c r="A248" s="2">
        <f t="shared" si="4"/>
        <v>240</v>
      </c>
      <c r="D248" t="s">
        <v>274</v>
      </c>
    </row>
    <row r="249" spans="1:5" x14ac:dyDescent="0.2">
      <c r="A249" s="2">
        <f t="shared" si="4"/>
        <v>241</v>
      </c>
      <c r="D249" t="s">
        <v>275</v>
      </c>
    </row>
    <row r="250" spans="1:5" x14ac:dyDescent="0.2">
      <c r="A250" s="2">
        <f t="shared" si="4"/>
        <v>242</v>
      </c>
      <c r="D250" t="s">
        <v>276</v>
      </c>
      <c r="E250" t="s">
        <v>564</v>
      </c>
    </row>
    <row r="251" spans="1:5" x14ac:dyDescent="0.2">
      <c r="A251" s="2">
        <f t="shared" si="4"/>
        <v>243</v>
      </c>
      <c r="D251" t="s">
        <v>277</v>
      </c>
    </row>
    <row r="252" spans="1:5" x14ac:dyDescent="0.2">
      <c r="A252" s="2">
        <f t="shared" si="4"/>
        <v>244</v>
      </c>
      <c r="D252" t="s">
        <v>278</v>
      </c>
    </row>
    <row r="253" spans="1:5" x14ac:dyDescent="0.2">
      <c r="A253" s="2">
        <f t="shared" si="4"/>
        <v>245</v>
      </c>
      <c r="D253" t="s">
        <v>279</v>
      </c>
    </row>
    <row r="254" spans="1:5" x14ac:dyDescent="0.2">
      <c r="A254" s="2">
        <f t="shared" si="4"/>
        <v>246</v>
      </c>
      <c r="D254" t="s">
        <v>280</v>
      </c>
    </row>
    <row r="255" spans="1:5" x14ac:dyDescent="0.2">
      <c r="A255" s="2">
        <f t="shared" si="4"/>
        <v>247</v>
      </c>
      <c r="D255" t="s">
        <v>281</v>
      </c>
    </row>
    <row r="256" spans="1:5" x14ac:dyDescent="0.2">
      <c r="A256" s="2">
        <f t="shared" si="4"/>
        <v>248</v>
      </c>
      <c r="D256" t="s">
        <v>284</v>
      </c>
    </row>
    <row r="257" spans="1:17" x14ac:dyDescent="0.2">
      <c r="A257" s="2">
        <f t="shared" ref="A257:A316" si="5">A256+1</f>
        <v>249</v>
      </c>
      <c r="D257" t="s">
        <v>285</v>
      </c>
    </row>
    <row r="258" spans="1:17" x14ac:dyDescent="0.2">
      <c r="A258" s="2">
        <f t="shared" si="5"/>
        <v>250</v>
      </c>
      <c r="D258" t="s">
        <v>286</v>
      </c>
    </row>
    <row r="259" spans="1:17" x14ac:dyDescent="0.2">
      <c r="A259" s="2">
        <f t="shared" si="5"/>
        <v>251</v>
      </c>
      <c r="D259" t="s">
        <v>287</v>
      </c>
    </row>
    <row r="260" spans="1:17" x14ac:dyDescent="0.2">
      <c r="A260" s="2">
        <f t="shared" si="5"/>
        <v>252</v>
      </c>
      <c r="D260" t="s">
        <v>288</v>
      </c>
      <c r="E260" t="s">
        <v>564</v>
      </c>
    </row>
    <row r="261" spans="1:17" x14ac:dyDescent="0.2">
      <c r="A261" s="2">
        <f t="shared" si="5"/>
        <v>253</v>
      </c>
      <c r="D261" t="s">
        <v>289</v>
      </c>
    </row>
    <row r="262" spans="1:17" x14ac:dyDescent="0.2">
      <c r="A262" s="2">
        <f t="shared" si="5"/>
        <v>254</v>
      </c>
      <c r="D262" t="s">
        <v>290</v>
      </c>
      <c r="E262" t="s">
        <v>711</v>
      </c>
      <c r="F262" s="2">
        <v>0</v>
      </c>
    </row>
    <row r="263" spans="1:17" x14ac:dyDescent="0.2">
      <c r="A263" s="4">
        <f t="shared" si="5"/>
        <v>255</v>
      </c>
      <c r="B263" s="4"/>
      <c r="C263" s="4"/>
      <c r="D263" s="3" t="s">
        <v>291</v>
      </c>
    </row>
    <row r="264" spans="1:17" x14ac:dyDescent="0.2">
      <c r="A264" s="2">
        <f t="shared" si="5"/>
        <v>256</v>
      </c>
      <c r="D264" t="s">
        <v>292</v>
      </c>
    </row>
    <row r="265" spans="1:17" x14ac:dyDescent="0.2">
      <c r="A265" s="2">
        <f t="shared" si="5"/>
        <v>257</v>
      </c>
      <c r="D265" t="s">
        <v>293</v>
      </c>
    </row>
    <row r="266" spans="1:17" x14ac:dyDescent="0.2">
      <c r="A266" s="4">
        <f t="shared" si="5"/>
        <v>258</v>
      </c>
      <c r="B266" s="4"/>
      <c r="C266" s="4"/>
      <c r="D266" s="3" t="s">
        <v>294</v>
      </c>
    </row>
    <row r="267" spans="1:17" x14ac:dyDescent="0.2">
      <c r="A267" s="2">
        <f t="shared" si="5"/>
        <v>259</v>
      </c>
      <c r="D267" t="s">
        <v>295</v>
      </c>
    </row>
    <row r="268" spans="1:17" x14ac:dyDescent="0.2">
      <c r="A268" s="2">
        <f t="shared" si="5"/>
        <v>260</v>
      </c>
      <c r="D268" t="s">
        <v>296</v>
      </c>
    </row>
    <row r="269" spans="1:17" x14ac:dyDescent="0.2">
      <c r="A269" s="2">
        <f t="shared" si="5"/>
        <v>261</v>
      </c>
      <c r="D269" t="s">
        <v>297</v>
      </c>
    </row>
    <row r="270" spans="1:17" x14ac:dyDescent="0.2">
      <c r="A270" s="2">
        <f t="shared" si="5"/>
        <v>262</v>
      </c>
      <c r="D270" t="s">
        <v>298</v>
      </c>
      <c r="E270" t="s">
        <v>6</v>
      </c>
      <c r="F270" s="2">
        <v>800</v>
      </c>
    </row>
    <row r="271" spans="1:17" x14ac:dyDescent="0.2">
      <c r="A271" s="2">
        <f t="shared" si="5"/>
        <v>263</v>
      </c>
      <c r="D271" t="s">
        <v>299</v>
      </c>
    </row>
    <row r="272" spans="1:17" x14ac:dyDescent="0.2">
      <c r="A272" s="2">
        <v>244</v>
      </c>
      <c r="D272" t="s">
        <v>300</v>
      </c>
      <c r="G272" s="2">
        <v>35.950000000000003</v>
      </c>
      <c r="H272" s="15">
        <v>1.2050000000000001</v>
      </c>
      <c r="I272" s="16">
        <v>0.98501499999999997</v>
      </c>
      <c r="J272" s="2">
        <v>17.52</v>
      </c>
      <c r="Q272" s="19">
        <v>0.18055555555555555</v>
      </c>
    </row>
    <row r="273" spans="1:5" x14ac:dyDescent="0.2">
      <c r="A273" s="2">
        <f t="shared" si="5"/>
        <v>245</v>
      </c>
      <c r="D273" t="s">
        <v>301</v>
      </c>
    </row>
    <row r="274" spans="1:5" x14ac:dyDescent="0.2">
      <c r="A274" s="2">
        <f t="shared" si="5"/>
        <v>246</v>
      </c>
      <c r="D274" t="s">
        <v>302</v>
      </c>
    </row>
    <row r="275" spans="1:5" x14ac:dyDescent="0.2">
      <c r="A275" s="2">
        <f t="shared" si="5"/>
        <v>247</v>
      </c>
      <c r="D275" t="s">
        <v>303</v>
      </c>
      <c r="E275" t="s">
        <v>541</v>
      </c>
    </row>
    <row r="276" spans="1:5" x14ac:dyDescent="0.2">
      <c r="A276" s="2">
        <f t="shared" si="5"/>
        <v>248</v>
      </c>
      <c r="D276" t="s">
        <v>304</v>
      </c>
    </row>
    <row r="277" spans="1:5" x14ac:dyDescent="0.2">
      <c r="A277" s="2">
        <f t="shared" si="5"/>
        <v>249</v>
      </c>
      <c r="D277" t="s">
        <v>305</v>
      </c>
    </row>
    <row r="278" spans="1:5" x14ac:dyDescent="0.2">
      <c r="A278" s="2">
        <f t="shared" si="5"/>
        <v>250</v>
      </c>
      <c r="D278" t="s">
        <v>306</v>
      </c>
    </row>
    <row r="279" spans="1:5" x14ac:dyDescent="0.2">
      <c r="A279" s="2">
        <f t="shared" si="5"/>
        <v>251</v>
      </c>
      <c r="D279" t="s">
        <v>307</v>
      </c>
    </row>
    <row r="280" spans="1:5" x14ac:dyDescent="0.2">
      <c r="A280" s="2">
        <f t="shared" si="5"/>
        <v>252</v>
      </c>
      <c r="D280" t="s">
        <v>308</v>
      </c>
    </row>
    <row r="281" spans="1:5" x14ac:dyDescent="0.2">
      <c r="A281" s="2">
        <f t="shared" si="5"/>
        <v>253</v>
      </c>
      <c r="D281" t="s">
        <v>309</v>
      </c>
    </row>
    <row r="282" spans="1:5" x14ac:dyDescent="0.2">
      <c r="A282" s="2">
        <f t="shared" si="5"/>
        <v>254</v>
      </c>
      <c r="D282" t="s">
        <v>310</v>
      </c>
    </row>
    <row r="283" spans="1:5" x14ac:dyDescent="0.2">
      <c r="A283" s="2">
        <f t="shared" si="5"/>
        <v>255</v>
      </c>
      <c r="D283" t="s">
        <v>311</v>
      </c>
    </row>
    <row r="284" spans="1:5" x14ac:dyDescent="0.2">
      <c r="A284" s="2">
        <f t="shared" si="5"/>
        <v>256</v>
      </c>
      <c r="D284" t="s">
        <v>312</v>
      </c>
    </row>
    <row r="285" spans="1:5" x14ac:dyDescent="0.2">
      <c r="A285" s="2">
        <f t="shared" si="5"/>
        <v>257</v>
      </c>
      <c r="D285" t="s">
        <v>314</v>
      </c>
    </row>
    <row r="286" spans="1:5" x14ac:dyDescent="0.2">
      <c r="A286" s="2">
        <f t="shared" si="5"/>
        <v>258</v>
      </c>
      <c r="D286" t="s">
        <v>315</v>
      </c>
    </row>
    <row r="287" spans="1:5" x14ac:dyDescent="0.2">
      <c r="A287" s="2">
        <f t="shared" si="5"/>
        <v>259</v>
      </c>
      <c r="D287" t="s">
        <v>316</v>
      </c>
      <c r="E287" t="s">
        <v>0</v>
      </c>
    </row>
    <row r="288" spans="1:5" x14ac:dyDescent="0.2">
      <c r="A288" s="2">
        <f t="shared" si="5"/>
        <v>260</v>
      </c>
      <c r="D288" t="s">
        <v>317</v>
      </c>
    </row>
    <row r="289" spans="1:6" x14ac:dyDescent="0.2">
      <c r="A289" s="2">
        <f t="shared" si="5"/>
        <v>261</v>
      </c>
      <c r="D289" t="s">
        <v>318</v>
      </c>
    </row>
    <row r="290" spans="1:6" x14ac:dyDescent="0.2">
      <c r="A290" s="2">
        <f t="shared" si="5"/>
        <v>262</v>
      </c>
      <c r="D290" t="s">
        <v>319</v>
      </c>
    </row>
    <row r="291" spans="1:6" x14ac:dyDescent="0.2">
      <c r="A291" s="2">
        <f t="shared" si="5"/>
        <v>263</v>
      </c>
      <c r="D291" t="s">
        <v>320</v>
      </c>
    </row>
    <row r="292" spans="1:6" x14ac:dyDescent="0.2">
      <c r="A292" s="2">
        <f t="shared" si="5"/>
        <v>264</v>
      </c>
      <c r="D292" t="s">
        <v>321</v>
      </c>
    </row>
    <row r="293" spans="1:6" x14ac:dyDescent="0.2">
      <c r="A293" s="2">
        <f t="shared" si="5"/>
        <v>265</v>
      </c>
      <c r="D293" t="s">
        <v>323</v>
      </c>
      <c r="E293" t="s">
        <v>6</v>
      </c>
      <c r="F293" s="2">
        <v>100000</v>
      </c>
    </row>
    <row r="294" spans="1:6" x14ac:dyDescent="0.2">
      <c r="A294" s="2">
        <f t="shared" si="5"/>
        <v>266</v>
      </c>
      <c r="D294" t="s">
        <v>324</v>
      </c>
      <c r="E294" t="s">
        <v>546</v>
      </c>
    </row>
    <row r="295" spans="1:6" x14ac:dyDescent="0.2">
      <c r="A295" s="2">
        <f t="shared" si="5"/>
        <v>267</v>
      </c>
      <c r="D295" t="s">
        <v>325</v>
      </c>
    </row>
    <row r="296" spans="1:6" x14ac:dyDescent="0.2">
      <c r="A296" s="2">
        <f t="shared" si="5"/>
        <v>268</v>
      </c>
      <c r="D296" t="s">
        <v>326</v>
      </c>
    </row>
    <row r="297" spans="1:6" x14ac:dyDescent="0.2">
      <c r="A297" s="2">
        <f t="shared" si="5"/>
        <v>269</v>
      </c>
      <c r="D297" t="s">
        <v>327</v>
      </c>
    </row>
    <row r="298" spans="1:6" x14ac:dyDescent="0.2">
      <c r="A298" s="2">
        <f t="shared" si="5"/>
        <v>270</v>
      </c>
      <c r="D298" t="s">
        <v>328</v>
      </c>
    </row>
    <row r="299" spans="1:6" x14ac:dyDescent="0.2">
      <c r="A299" s="2">
        <f t="shared" si="5"/>
        <v>271</v>
      </c>
      <c r="D299" t="s">
        <v>329</v>
      </c>
    </row>
    <row r="300" spans="1:6" x14ac:dyDescent="0.2">
      <c r="A300" s="2">
        <f t="shared" si="5"/>
        <v>272</v>
      </c>
      <c r="D300" t="s">
        <v>330</v>
      </c>
      <c r="E300" t="s">
        <v>6</v>
      </c>
    </row>
    <row r="301" spans="1:6" x14ac:dyDescent="0.2">
      <c r="A301" s="2">
        <f t="shared" si="5"/>
        <v>273</v>
      </c>
      <c r="D301" t="s">
        <v>331</v>
      </c>
    </row>
    <row r="302" spans="1:6" x14ac:dyDescent="0.2">
      <c r="A302" s="2">
        <f t="shared" si="5"/>
        <v>274</v>
      </c>
      <c r="D302" t="s">
        <v>332</v>
      </c>
    </row>
    <row r="303" spans="1:6" x14ac:dyDescent="0.2">
      <c r="A303" s="2">
        <f t="shared" si="5"/>
        <v>275</v>
      </c>
      <c r="D303" t="s">
        <v>333</v>
      </c>
    </row>
    <row r="304" spans="1:6" x14ac:dyDescent="0.2">
      <c r="A304" s="2">
        <f t="shared" si="5"/>
        <v>276</v>
      </c>
      <c r="D304" t="s">
        <v>334</v>
      </c>
      <c r="E304" t="s">
        <v>683</v>
      </c>
      <c r="F304" s="2">
        <v>5500</v>
      </c>
    </row>
    <row r="305" spans="1:7" x14ac:dyDescent="0.2">
      <c r="A305" s="2">
        <f t="shared" si="5"/>
        <v>277</v>
      </c>
      <c r="D305" t="s">
        <v>335</v>
      </c>
      <c r="E305" t="s">
        <v>712</v>
      </c>
      <c r="F305" s="2">
        <v>49790</v>
      </c>
    </row>
    <row r="306" spans="1:7" x14ac:dyDescent="0.2">
      <c r="A306" s="2">
        <f t="shared" si="5"/>
        <v>278</v>
      </c>
      <c r="D306" s="3" t="s">
        <v>336</v>
      </c>
      <c r="E306" t="s">
        <v>6</v>
      </c>
      <c r="F306" s="2">
        <v>17000</v>
      </c>
    </row>
    <row r="307" spans="1:7" x14ac:dyDescent="0.2">
      <c r="A307" s="2">
        <f t="shared" si="5"/>
        <v>279</v>
      </c>
      <c r="D307" t="s">
        <v>337</v>
      </c>
      <c r="E307" t="s">
        <v>541</v>
      </c>
    </row>
    <row r="308" spans="1:7" x14ac:dyDescent="0.2">
      <c r="A308" s="2">
        <f t="shared" si="5"/>
        <v>280</v>
      </c>
      <c r="D308" t="s">
        <v>338</v>
      </c>
    </row>
    <row r="309" spans="1:7" x14ac:dyDescent="0.2">
      <c r="A309" s="2">
        <f t="shared" si="5"/>
        <v>281</v>
      </c>
      <c r="D309" t="s">
        <v>339</v>
      </c>
      <c r="E309" t="s">
        <v>6</v>
      </c>
    </row>
    <row r="310" spans="1:7" x14ac:dyDescent="0.2">
      <c r="A310" s="2">
        <f t="shared" si="5"/>
        <v>282</v>
      </c>
      <c r="D310" t="s">
        <v>340</v>
      </c>
    </row>
    <row r="311" spans="1:7" x14ac:dyDescent="0.2">
      <c r="A311" s="2">
        <f t="shared" si="5"/>
        <v>283</v>
      </c>
      <c r="D311" t="s">
        <v>341</v>
      </c>
    </row>
    <row r="312" spans="1:7" x14ac:dyDescent="0.2">
      <c r="A312" s="2">
        <f t="shared" si="5"/>
        <v>284</v>
      </c>
      <c r="D312" t="s">
        <v>342</v>
      </c>
    </row>
    <row r="313" spans="1:7" x14ac:dyDescent="0.2">
      <c r="A313" s="2">
        <f t="shared" si="5"/>
        <v>285</v>
      </c>
      <c r="D313" t="s">
        <v>343</v>
      </c>
    </row>
    <row r="314" spans="1:7" x14ac:dyDescent="0.2">
      <c r="A314" s="2">
        <f t="shared" si="5"/>
        <v>286</v>
      </c>
      <c r="D314" t="s">
        <v>344</v>
      </c>
      <c r="E314" t="s">
        <v>6</v>
      </c>
    </row>
    <row r="315" spans="1:7" x14ac:dyDescent="0.2">
      <c r="A315" s="2">
        <f t="shared" si="5"/>
        <v>287</v>
      </c>
      <c r="D315" t="s">
        <v>345</v>
      </c>
      <c r="E315" t="s">
        <v>713</v>
      </c>
      <c r="F315" s="2">
        <v>687</v>
      </c>
    </row>
    <row r="316" spans="1:7" x14ac:dyDescent="0.2">
      <c r="A316" s="2">
        <f t="shared" si="5"/>
        <v>288</v>
      </c>
      <c r="D316" t="s">
        <v>347</v>
      </c>
    </row>
    <row r="317" spans="1:7" x14ac:dyDescent="0.2">
      <c r="A317" s="2">
        <f t="shared" ref="A317:A378" si="6">A316+1</f>
        <v>289</v>
      </c>
      <c r="D317" t="s">
        <v>348</v>
      </c>
      <c r="G317" s="2">
        <v>84.53</v>
      </c>
    </row>
    <row r="318" spans="1:7" x14ac:dyDescent="0.2">
      <c r="A318" s="2">
        <f t="shared" si="6"/>
        <v>290</v>
      </c>
      <c r="D318" t="s">
        <v>349</v>
      </c>
      <c r="E318" t="s">
        <v>6</v>
      </c>
    </row>
    <row r="319" spans="1:7" x14ac:dyDescent="0.2">
      <c r="A319" s="2">
        <f t="shared" si="6"/>
        <v>291</v>
      </c>
      <c r="D319" t="s">
        <v>350</v>
      </c>
    </row>
    <row r="320" spans="1:7" x14ac:dyDescent="0.2">
      <c r="A320" s="2">
        <f t="shared" si="6"/>
        <v>292</v>
      </c>
      <c r="D320" t="s">
        <v>351</v>
      </c>
    </row>
    <row r="321" spans="1:7" x14ac:dyDescent="0.2">
      <c r="A321" s="2">
        <v>317</v>
      </c>
      <c r="D321" t="s">
        <v>603</v>
      </c>
      <c r="G321" s="2">
        <v>19.32</v>
      </c>
    </row>
    <row r="322" spans="1:7" x14ac:dyDescent="0.2">
      <c r="A322" s="2">
        <f>A320+1</f>
        <v>293</v>
      </c>
      <c r="D322" t="s">
        <v>352</v>
      </c>
    </row>
    <row r="323" spans="1:7" x14ac:dyDescent="0.2">
      <c r="A323" s="2">
        <f t="shared" si="6"/>
        <v>294</v>
      </c>
      <c r="D323" t="s">
        <v>353</v>
      </c>
      <c r="E323" t="s">
        <v>563</v>
      </c>
    </row>
    <row r="324" spans="1:7" x14ac:dyDescent="0.2">
      <c r="A324" s="2">
        <f t="shared" si="6"/>
        <v>295</v>
      </c>
      <c r="D324" t="s">
        <v>354</v>
      </c>
    </row>
    <row r="325" spans="1:7" x14ac:dyDescent="0.2">
      <c r="A325" s="2">
        <f t="shared" si="6"/>
        <v>296</v>
      </c>
      <c r="D325" t="s">
        <v>355</v>
      </c>
    </row>
    <row r="326" spans="1:7" x14ac:dyDescent="0.2">
      <c r="A326" s="2">
        <f t="shared" si="6"/>
        <v>297</v>
      </c>
      <c r="D326" t="s">
        <v>356</v>
      </c>
    </row>
    <row r="327" spans="1:7" x14ac:dyDescent="0.2">
      <c r="A327" s="2">
        <f t="shared" si="6"/>
        <v>298</v>
      </c>
      <c r="D327" t="s">
        <v>357</v>
      </c>
    </row>
    <row r="328" spans="1:7" x14ac:dyDescent="0.2">
      <c r="A328" s="2">
        <f t="shared" si="6"/>
        <v>299</v>
      </c>
      <c r="D328" t="s">
        <v>358</v>
      </c>
    </row>
    <row r="329" spans="1:7" x14ac:dyDescent="0.2">
      <c r="A329" s="2">
        <f t="shared" si="6"/>
        <v>300</v>
      </c>
      <c r="D329" t="s">
        <v>359</v>
      </c>
    </row>
    <row r="330" spans="1:7" x14ac:dyDescent="0.2">
      <c r="A330" s="2">
        <f t="shared" si="6"/>
        <v>301</v>
      </c>
      <c r="D330" t="s">
        <v>360</v>
      </c>
    </row>
    <row r="331" spans="1:7" x14ac:dyDescent="0.2">
      <c r="A331" s="2">
        <f t="shared" si="6"/>
        <v>302</v>
      </c>
      <c r="D331" t="s">
        <v>361</v>
      </c>
    </row>
    <row r="332" spans="1:7" x14ac:dyDescent="0.2">
      <c r="A332" s="2">
        <f t="shared" si="6"/>
        <v>303</v>
      </c>
      <c r="D332" t="s">
        <v>362</v>
      </c>
    </row>
    <row r="333" spans="1:7" x14ac:dyDescent="0.2">
      <c r="A333" s="2">
        <f t="shared" si="6"/>
        <v>304</v>
      </c>
      <c r="D333" t="s">
        <v>363</v>
      </c>
    </row>
    <row r="334" spans="1:7" x14ac:dyDescent="0.2">
      <c r="A334" s="2">
        <f t="shared" si="6"/>
        <v>305</v>
      </c>
      <c r="D334" s="3" t="s">
        <v>364</v>
      </c>
    </row>
    <row r="335" spans="1:7" x14ac:dyDescent="0.2">
      <c r="A335" s="2">
        <f t="shared" si="6"/>
        <v>306</v>
      </c>
      <c r="D335" t="s">
        <v>365</v>
      </c>
    </row>
    <row r="336" spans="1:7" x14ac:dyDescent="0.2">
      <c r="A336" s="2">
        <f t="shared" si="6"/>
        <v>307</v>
      </c>
      <c r="D336" t="s">
        <v>366</v>
      </c>
      <c r="E336" t="s">
        <v>714</v>
      </c>
      <c r="F336" s="2">
        <v>45450</v>
      </c>
    </row>
    <row r="337" spans="1:17" x14ac:dyDescent="0.2">
      <c r="A337" s="2">
        <f t="shared" si="6"/>
        <v>308</v>
      </c>
      <c r="D337" t="s">
        <v>367</v>
      </c>
      <c r="E337" t="s">
        <v>582</v>
      </c>
    </row>
    <row r="338" spans="1:17" x14ac:dyDescent="0.2">
      <c r="A338" s="2">
        <f t="shared" si="6"/>
        <v>309</v>
      </c>
      <c r="D338" t="s">
        <v>368</v>
      </c>
    </row>
    <row r="339" spans="1:17" x14ac:dyDescent="0.2">
      <c r="A339" s="2">
        <v>372</v>
      </c>
      <c r="D339" s="3" t="s">
        <v>369</v>
      </c>
      <c r="G339" s="2">
        <v>28.96</v>
      </c>
      <c r="H339" s="15">
        <v>0.93873399999999996</v>
      </c>
      <c r="I339" s="16">
        <v>0.86621899999999996</v>
      </c>
      <c r="J339" s="2">
        <v>22.42</v>
      </c>
      <c r="Q339" s="19">
        <v>0.10555555555555556</v>
      </c>
    </row>
    <row r="340" spans="1:17" x14ac:dyDescent="0.2">
      <c r="A340" s="2">
        <f t="shared" si="6"/>
        <v>373</v>
      </c>
      <c r="D340" t="s">
        <v>370</v>
      </c>
      <c r="E340" t="s">
        <v>541</v>
      </c>
      <c r="F340" s="2">
        <v>0</v>
      </c>
    </row>
    <row r="341" spans="1:17" x14ac:dyDescent="0.2">
      <c r="A341" s="2">
        <f t="shared" si="6"/>
        <v>374</v>
      </c>
      <c r="D341" t="s">
        <v>372</v>
      </c>
    </row>
    <row r="342" spans="1:17" x14ac:dyDescent="0.2">
      <c r="A342" s="2">
        <f t="shared" si="6"/>
        <v>375</v>
      </c>
      <c r="D342" t="s">
        <v>374</v>
      </c>
    </row>
    <row r="343" spans="1:17" x14ac:dyDescent="0.2">
      <c r="A343" s="2">
        <f t="shared" si="6"/>
        <v>376</v>
      </c>
      <c r="D343" t="s">
        <v>375</v>
      </c>
    </row>
    <row r="344" spans="1:17" x14ac:dyDescent="0.2">
      <c r="A344" s="2">
        <f t="shared" si="6"/>
        <v>377</v>
      </c>
      <c r="D344" t="s">
        <v>376</v>
      </c>
    </row>
    <row r="345" spans="1:17" x14ac:dyDescent="0.2">
      <c r="A345" s="2">
        <f t="shared" si="6"/>
        <v>378</v>
      </c>
      <c r="D345" t="s">
        <v>377</v>
      </c>
    </row>
    <row r="346" spans="1:17" x14ac:dyDescent="0.2">
      <c r="A346" s="2">
        <f t="shared" si="6"/>
        <v>379</v>
      </c>
      <c r="D346" t="s">
        <v>378</v>
      </c>
    </row>
    <row r="347" spans="1:17" x14ac:dyDescent="0.2">
      <c r="A347" s="2">
        <f t="shared" si="6"/>
        <v>380</v>
      </c>
      <c r="D347" t="s">
        <v>379</v>
      </c>
    </row>
    <row r="348" spans="1:17" x14ac:dyDescent="0.2">
      <c r="A348" s="2">
        <f t="shared" si="6"/>
        <v>381</v>
      </c>
      <c r="D348" t="s">
        <v>380</v>
      </c>
    </row>
    <row r="349" spans="1:17" x14ac:dyDescent="0.2">
      <c r="A349" s="2">
        <f t="shared" si="6"/>
        <v>382</v>
      </c>
      <c r="D349" t="s">
        <v>381</v>
      </c>
    </row>
    <row r="350" spans="1:17" x14ac:dyDescent="0.2">
      <c r="A350" s="2">
        <f t="shared" si="6"/>
        <v>383</v>
      </c>
      <c r="D350" t="s">
        <v>382</v>
      </c>
    </row>
    <row r="351" spans="1:17" x14ac:dyDescent="0.2">
      <c r="A351" s="2">
        <f t="shared" si="6"/>
        <v>384</v>
      </c>
      <c r="D351" t="s">
        <v>383</v>
      </c>
      <c r="E351" t="s">
        <v>715</v>
      </c>
      <c r="F351" s="2">
        <v>2670</v>
      </c>
    </row>
    <row r="352" spans="1:17" x14ac:dyDescent="0.2">
      <c r="A352" s="2">
        <f t="shared" si="6"/>
        <v>385</v>
      </c>
      <c r="D352" t="s">
        <v>384</v>
      </c>
    </row>
    <row r="353" spans="1:5" x14ac:dyDescent="0.2">
      <c r="A353" s="2">
        <f t="shared" si="6"/>
        <v>386</v>
      </c>
      <c r="D353" t="s">
        <v>385</v>
      </c>
    </row>
    <row r="354" spans="1:5" x14ac:dyDescent="0.2">
      <c r="A354" s="2">
        <f t="shared" si="6"/>
        <v>387</v>
      </c>
      <c r="D354" t="s">
        <v>386</v>
      </c>
    </row>
    <row r="355" spans="1:5" x14ac:dyDescent="0.2">
      <c r="A355" s="2">
        <f t="shared" si="6"/>
        <v>388</v>
      </c>
      <c r="D355" t="s">
        <v>387</v>
      </c>
    </row>
    <row r="356" spans="1:5" x14ac:dyDescent="0.2">
      <c r="A356" s="2">
        <f t="shared" si="6"/>
        <v>389</v>
      </c>
      <c r="D356" t="s">
        <v>389</v>
      </c>
    </row>
    <row r="357" spans="1:5" x14ac:dyDescent="0.2">
      <c r="A357" s="2">
        <f t="shared" si="6"/>
        <v>390</v>
      </c>
      <c r="D357" t="s">
        <v>390</v>
      </c>
    </row>
    <row r="358" spans="1:5" x14ac:dyDescent="0.2">
      <c r="A358" s="2">
        <f t="shared" si="6"/>
        <v>391</v>
      </c>
      <c r="D358" t="s">
        <v>391</v>
      </c>
      <c r="E358" t="s">
        <v>6</v>
      </c>
    </row>
    <row r="359" spans="1:5" x14ac:dyDescent="0.2">
      <c r="A359" s="2">
        <f t="shared" si="6"/>
        <v>392</v>
      </c>
      <c r="D359" t="s">
        <v>392</v>
      </c>
    </row>
    <row r="360" spans="1:5" x14ac:dyDescent="0.2">
      <c r="A360" s="2">
        <f t="shared" si="6"/>
        <v>393</v>
      </c>
      <c r="D360" t="s">
        <v>393</v>
      </c>
    </row>
    <row r="361" spans="1:5" x14ac:dyDescent="0.2">
      <c r="A361" s="2">
        <f t="shared" si="6"/>
        <v>394</v>
      </c>
      <c r="D361" t="s">
        <v>394</v>
      </c>
    </row>
    <row r="362" spans="1:5" x14ac:dyDescent="0.2">
      <c r="A362" s="2">
        <f t="shared" si="6"/>
        <v>395</v>
      </c>
      <c r="D362" t="s">
        <v>395</v>
      </c>
    </row>
    <row r="363" spans="1:5" x14ac:dyDescent="0.2">
      <c r="A363" s="2">
        <f t="shared" si="6"/>
        <v>396</v>
      </c>
      <c r="D363" t="s">
        <v>396</v>
      </c>
    </row>
    <row r="364" spans="1:5" x14ac:dyDescent="0.2">
      <c r="A364" s="2">
        <f t="shared" si="6"/>
        <v>397</v>
      </c>
      <c r="D364" t="s">
        <v>397</v>
      </c>
    </row>
    <row r="365" spans="1:5" x14ac:dyDescent="0.2">
      <c r="A365" s="2">
        <f t="shared" si="6"/>
        <v>398</v>
      </c>
      <c r="D365" t="s">
        <v>398</v>
      </c>
    </row>
    <row r="366" spans="1:5" x14ac:dyDescent="0.2">
      <c r="A366" s="2">
        <f t="shared" si="6"/>
        <v>399</v>
      </c>
      <c r="D366" t="s">
        <v>399</v>
      </c>
    </row>
    <row r="367" spans="1:5" x14ac:dyDescent="0.2">
      <c r="A367" s="2">
        <f t="shared" si="6"/>
        <v>400</v>
      </c>
      <c r="D367" t="s">
        <v>400</v>
      </c>
    </row>
    <row r="368" spans="1:5" x14ac:dyDescent="0.2">
      <c r="A368" s="2">
        <f t="shared" si="6"/>
        <v>401</v>
      </c>
      <c r="D368" t="s">
        <v>401</v>
      </c>
    </row>
    <row r="369" spans="1:6" x14ac:dyDescent="0.2">
      <c r="A369" s="2">
        <f t="shared" si="6"/>
        <v>402</v>
      </c>
      <c r="D369" t="s">
        <v>402</v>
      </c>
      <c r="E369" t="s">
        <v>716</v>
      </c>
      <c r="F369" s="2">
        <v>77190</v>
      </c>
    </row>
    <row r="370" spans="1:6" x14ac:dyDescent="0.2">
      <c r="A370" s="2">
        <f t="shared" si="6"/>
        <v>403</v>
      </c>
      <c r="D370" t="s">
        <v>403</v>
      </c>
    </row>
    <row r="371" spans="1:6" x14ac:dyDescent="0.2">
      <c r="A371" s="2">
        <f t="shared" si="6"/>
        <v>404</v>
      </c>
      <c r="D371" t="s">
        <v>405</v>
      </c>
    </row>
    <row r="372" spans="1:6" x14ac:dyDescent="0.2">
      <c r="A372" s="2">
        <f t="shared" si="6"/>
        <v>405</v>
      </c>
      <c r="D372" t="s">
        <v>406</v>
      </c>
    </row>
    <row r="373" spans="1:6" x14ac:dyDescent="0.2">
      <c r="A373" s="2">
        <f t="shared" si="6"/>
        <v>406</v>
      </c>
      <c r="D373" t="s">
        <v>407</v>
      </c>
      <c r="E373" t="s">
        <v>567</v>
      </c>
    </row>
    <row r="374" spans="1:6" x14ac:dyDescent="0.2">
      <c r="A374" s="2">
        <f t="shared" si="6"/>
        <v>407</v>
      </c>
      <c r="D374" t="s">
        <v>408</v>
      </c>
    </row>
    <row r="375" spans="1:6" x14ac:dyDescent="0.2">
      <c r="A375" s="2">
        <f t="shared" si="6"/>
        <v>408</v>
      </c>
      <c r="D375" t="s">
        <v>409</v>
      </c>
    </row>
    <row r="376" spans="1:6" x14ac:dyDescent="0.2">
      <c r="A376" s="2">
        <f t="shared" si="6"/>
        <v>409</v>
      </c>
      <c r="D376" t="s">
        <v>410</v>
      </c>
    </row>
    <row r="377" spans="1:6" x14ac:dyDescent="0.2">
      <c r="A377" s="2">
        <f t="shared" si="6"/>
        <v>410</v>
      </c>
      <c r="D377" t="s">
        <v>411</v>
      </c>
    </row>
    <row r="378" spans="1:6" x14ac:dyDescent="0.2">
      <c r="A378" s="2">
        <f t="shared" si="6"/>
        <v>411</v>
      </c>
      <c r="D378" t="s">
        <v>412</v>
      </c>
    </row>
    <row r="379" spans="1:6" x14ac:dyDescent="0.2">
      <c r="A379" s="2">
        <f t="shared" ref="A379:A436" si="7">A378+1</f>
        <v>412</v>
      </c>
      <c r="D379" t="s">
        <v>413</v>
      </c>
    </row>
    <row r="380" spans="1:6" x14ac:dyDescent="0.2">
      <c r="A380" s="2">
        <f t="shared" si="7"/>
        <v>413</v>
      </c>
      <c r="D380" t="s">
        <v>414</v>
      </c>
    </row>
    <row r="381" spans="1:6" x14ac:dyDescent="0.2">
      <c r="A381" s="2">
        <f t="shared" si="7"/>
        <v>414</v>
      </c>
      <c r="D381" t="s">
        <v>415</v>
      </c>
      <c r="E381" t="s">
        <v>717</v>
      </c>
      <c r="F381" s="2">
        <v>8040</v>
      </c>
    </row>
    <row r="382" spans="1:6" x14ac:dyDescent="0.2">
      <c r="A382" s="2">
        <f t="shared" si="7"/>
        <v>415</v>
      </c>
      <c r="D382" t="s">
        <v>416</v>
      </c>
    </row>
    <row r="383" spans="1:6" x14ac:dyDescent="0.2">
      <c r="A383" s="2">
        <f t="shared" si="7"/>
        <v>416</v>
      </c>
      <c r="D383" t="s">
        <v>417</v>
      </c>
    </row>
    <row r="384" spans="1:6" x14ac:dyDescent="0.2">
      <c r="A384" s="2">
        <f t="shared" si="7"/>
        <v>417</v>
      </c>
      <c r="D384" t="s">
        <v>418</v>
      </c>
    </row>
    <row r="385" spans="1:4" x14ac:dyDescent="0.2">
      <c r="A385" s="2">
        <f t="shared" si="7"/>
        <v>418</v>
      </c>
      <c r="D385" t="s">
        <v>419</v>
      </c>
    </row>
    <row r="386" spans="1:4" x14ac:dyDescent="0.2">
      <c r="A386" s="2">
        <f t="shared" si="7"/>
        <v>419</v>
      </c>
      <c r="D386" t="s">
        <v>420</v>
      </c>
    </row>
    <row r="387" spans="1:4" x14ac:dyDescent="0.2">
      <c r="A387" s="2">
        <f t="shared" si="7"/>
        <v>420</v>
      </c>
      <c r="D387" t="s">
        <v>421</v>
      </c>
    </row>
    <row r="388" spans="1:4" x14ac:dyDescent="0.2">
      <c r="A388" s="2">
        <f t="shared" si="7"/>
        <v>421</v>
      </c>
      <c r="D388" t="s">
        <v>422</v>
      </c>
    </row>
    <row r="389" spans="1:4" x14ac:dyDescent="0.2">
      <c r="A389" s="2">
        <f t="shared" si="7"/>
        <v>422</v>
      </c>
      <c r="D389" t="s">
        <v>423</v>
      </c>
    </row>
    <row r="390" spans="1:4" x14ac:dyDescent="0.2">
      <c r="A390" s="2">
        <f t="shared" si="7"/>
        <v>423</v>
      </c>
      <c r="D390" t="s">
        <v>424</v>
      </c>
    </row>
    <row r="391" spans="1:4" x14ac:dyDescent="0.2">
      <c r="A391" s="2">
        <f t="shared" si="7"/>
        <v>424</v>
      </c>
      <c r="D391" t="s">
        <v>425</v>
      </c>
    </row>
    <row r="392" spans="1:4" x14ac:dyDescent="0.2">
      <c r="A392" s="2">
        <f t="shared" si="7"/>
        <v>425</v>
      </c>
      <c r="D392" t="s">
        <v>426</v>
      </c>
    </row>
    <row r="393" spans="1:4" x14ac:dyDescent="0.2">
      <c r="A393" s="2">
        <f t="shared" si="7"/>
        <v>426</v>
      </c>
      <c r="D393" t="s">
        <v>427</v>
      </c>
    </row>
    <row r="394" spans="1:4" x14ac:dyDescent="0.2">
      <c r="A394" s="2">
        <f t="shared" si="7"/>
        <v>427</v>
      </c>
      <c r="D394" t="s">
        <v>428</v>
      </c>
    </row>
    <row r="395" spans="1:4" x14ac:dyDescent="0.2">
      <c r="A395" s="2">
        <f t="shared" si="7"/>
        <v>428</v>
      </c>
      <c r="D395" t="s">
        <v>429</v>
      </c>
    </row>
    <row r="396" spans="1:4" x14ac:dyDescent="0.2">
      <c r="A396" s="2">
        <f t="shared" si="7"/>
        <v>429</v>
      </c>
      <c r="D396" t="s">
        <v>430</v>
      </c>
    </row>
    <row r="397" spans="1:4" x14ac:dyDescent="0.2">
      <c r="A397" s="2">
        <f t="shared" si="7"/>
        <v>430</v>
      </c>
      <c r="D397" t="s">
        <v>431</v>
      </c>
    </row>
    <row r="398" spans="1:4" x14ac:dyDescent="0.2">
      <c r="A398" s="2">
        <f t="shared" si="7"/>
        <v>431</v>
      </c>
      <c r="D398" t="s">
        <v>432</v>
      </c>
    </row>
    <row r="399" spans="1:4" x14ac:dyDescent="0.2">
      <c r="A399" s="2">
        <f t="shared" si="7"/>
        <v>432</v>
      </c>
      <c r="D399" t="s">
        <v>433</v>
      </c>
    </row>
    <row r="400" spans="1:4" x14ac:dyDescent="0.2">
      <c r="A400" s="2">
        <f t="shared" si="7"/>
        <v>433</v>
      </c>
      <c r="D400" t="s">
        <v>434</v>
      </c>
    </row>
    <row r="401" spans="1:5" x14ac:dyDescent="0.2">
      <c r="A401" s="2">
        <f t="shared" si="7"/>
        <v>434</v>
      </c>
      <c r="D401" t="s">
        <v>435</v>
      </c>
    </row>
    <row r="402" spans="1:5" x14ac:dyDescent="0.2">
      <c r="A402" s="2">
        <f t="shared" si="7"/>
        <v>435</v>
      </c>
      <c r="D402" s="3" t="s">
        <v>436</v>
      </c>
    </row>
    <row r="403" spans="1:5" x14ac:dyDescent="0.2">
      <c r="A403" s="2">
        <f t="shared" si="7"/>
        <v>436</v>
      </c>
      <c r="D403" t="s">
        <v>437</v>
      </c>
      <c r="E403" t="s">
        <v>6</v>
      </c>
    </row>
    <row r="404" spans="1:5" x14ac:dyDescent="0.2">
      <c r="A404" s="2">
        <f t="shared" si="7"/>
        <v>437</v>
      </c>
      <c r="D404" t="s">
        <v>438</v>
      </c>
    </row>
    <row r="405" spans="1:5" x14ac:dyDescent="0.2">
      <c r="A405" s="2">
        <f t="shared" si="7"/>
        <v>438</v>
      </c>
      <c r="D405" t="s">
        <v>439</v>
      </c>
      <c r="E405" t="s">
        <v>718</v>
      </c>
    </row>
    <row r="406" spans="1:5" x14ac:dyDescent="0.2">
      <c r="A406" s="2">
        <f t="shared" si="7"/>
        <v>439</v>
      </c>
      <c r="D406" t="s">
        <v>440</v>
      </c>
    </row>
    <row r="407" spans="1:5" x14ac:dyDescent="0.2">
      <c r="A407" s="2">
        <f t="shared" si="7"/>
        <v>440</v>
      </c>
      <c r="D407" t="s">
        <v>441</v>
      </c>
    </row>
    <row r="408" spans="1:5" x14ac:dyDescent="0.2">
      <c r="A408" s="2">
        <f t="shared" si="7"/>
        <v>441</v>
      </c>
      <c r="D408" t="s">
        <v>442</v>
      </c>
    </row>
    <row r="409" spans="1:5" x14ac:dyDescent="0.2">
      <c r="A409" s="2">
        <f t="shared" si="7"/>
        <v>442</v>
      </c>
      <c r="D409" t="s">
        <v>443</v>
      </c>
    </row>
    <row r="410" spans="1:5" x14ac:dyDescent="0.2">
      <c r="A410" s="2">
        <f t="shared" si="7"/>
        <v>443</v>
      </c>
      <c r="D410" t="s">
        <v>444</v>
      </c>
      <c r="E410" t="s">
        <v>6</v>
      </c>
    </row>
    <row r="411" spans="1:5" x14ac:dyDescent="0.2">
      <c r="A411" s="2">
        <f t="shared" si="7"/>
        <v>444</v>
      </c>
      <c r="D411" t="s">
        <v>445</v>
      </c>
    </row>
    <row r="412" spans="1:5" x14ac:dyDescent="0.2">
      <c r="A412" s="2">
        <f t="shared" si="7"/>
        <v>445</v>
      </c>
      <c r="D412" t="s">
        <v>446</v>
      </c>
    </row>
    <row r="413" spans="1:5" x14ac:dyDescent="0.2">
      <c r="A413" s="2">
        <f t="shared" si="7"/>
        <v>446</v>
      </c>
      <c r="D413" t="s">
        <v>447</v>
      </c>
    </row>
    <row r="414" spans="1:5" x14ac:dyDescent="0.2">
      <c r="A414" s="2">
        <f t="shared" si="7"/>
        <v>447</v>
      </c>
      <c r="D414" t="s">
        <v>448</v>
      </c>
      <c r="E414" t="s">
        <v>541</v>
      </c>
    </row>
    <row r="415" spans="1:5" x14ac:dyDescent="0.2">
      <c r="A415" s="2">
        <f t="shared" si="7"/>
        <v>448</v>
      </c>
      <c r="D415" t="s">
        <v>449</v>
      </c>
      <c r="E415" t="s">
        <v>6</v>
      </c>
    </row>
    <row r="416" spans="1:5" x14ac:dyDescent="0.2">
      <c r="A416" s="2">
        <f t="shared" si="7"/>
        <v>449</v>
      </c>
      <c r="D416" t="s">
        <v>450</v>
      </c>
    </row>
    <row r="417" spans="1:5" x14ac:dyDescent="0.2">
      <c r="A417" s="2">
        <f t="shared" si="7"/>
        <v>450</v>
      </c>
      <c r="D417" t="s">
        <v>451</v>
      </c>
    </row>
    <row r="418" spans="1:5" x14ac:dyDescent="0.2">
      <c r="A418" s="2">
        <f t="shared" si="7"/>
        <v>451</v>
      </c>
      <c r="D418" t="s">
        <v>452</v>
      </c>
      <c r="E418" t="s">
        <v>580</v>
      </c>
    </row>
    <row r="419" spans="1:5" x14ac:dyDescent="0.2">
      <c r="A419" s="2">
        <f t="shared" si="7"/>
        <v>452</v>
      </c>
      <c r="D419" t="s">
        <v>453</v>
      </c>
    </row>
    <row r="420" spans="1:5" x14ac:dyDescent="0.2">
      <c r="A420" s="2">
        <f t="shared" si="7"/>
        <v>453</v>
      </c>
      <c r="D420" t="s">
        <v>454</v>
      </c>
    </row>
    <row r="421" spans="1:5" x14ac:dyDescent="0.2">
      <c r="A421" s="2">
        <f t="shared" si="7"/>
        <v>454</v>
      </c>
      <c r="D421" t="s">
        <v>455</v>
      </c>
    </row>
    <row r="422" spans="1:5" x14ac:dyDescent="0.2">
      <c r="A422" s="2">
        <f t="shared" si="7"/>
        <v>455</v>
      </c>
      <c r="D422" t="s">
        <v>456</v>
      </c>
    </row>
    <row r="423" spans="1:5" x14ac:dyDescent="0.2">
      <c r="A423" s="2">
        <f t="shared" si="7"/>
        <v>456</v>
      </c>
      <c r="D423" t="s">
        <v>457</v>
      </c>
    </row>
    <row r="424" spans="1:5" x14ac:dyDescent="0.2">
      <c r="A424" s="2">
        <f t="shared" si="7"/>
        <v>457</v>
      </c>
      <c r="D424" t="s">
        <v>459</v>
      </c>
    </row>
    <row r="425" spans="1:5" x14ac:dyDescent="0.2">
      <c r="A425" s="2">
        <f t="shared" si="7"/>
        <v>458</v>
      </c>
      <c r="D425" t="s">
        <v>460</v>
      </c>
    </row>
    <row r="426" spans="1:5" x14ac:dyDescent="0.2">
      <c r="A426" s="2">
        <f t="shared" si="7"/>
        <v>459</v>
      </c>
      <c r="D426" t="s">
        <v>461</v>
      </c>
      <c r="E426" t="s">
        <v>550</v>
      </c>
    </row>
    <row r="427" spans="1:5" x14ac:dyDescent="0.2">
      <c r="A427" s="2">
        <f t="shared" si="7"/>
        <v>460</v>
      </c>
      <c r="D427" t="s">
        <v>462</v>
      </c>
    </row>
    <row r="428" spans="1:5" x14ac:dyDescent="0.2">
      <c r="A428" s="2">
        <f t="shared" si="7"/>
        <v>461</v>
      </c>
      <c r="D428" t="s">
        <v>463</v>
      </c>
    </row>
    <row r="429" spans="1:5" x14ac:dyDescent="0.2">
      <c r="A429" s="2">
        <f t="shared" si="7"/>
        <v>462</v>
      </c>
      <c r="D429" t="s">
        <v>464</v>
      </c>
    </row>
    <row r="430" spans="1:5" x14ac:dyDescent="0.2">
      <c r="A430" s="2">
        <f t="shared" si="7"/>
        <v>463</v>
      </c>
      <c r="D430" t="s">
        <v>465</v>
      </c>
    </row>
    <row r="431" spans="1:5" x14ac:dyDescent="0.2">
      <c r="A431" s="2">
        <f t="shared" si="7"/>
        <v>464</v>
      </c>
      <c r="D431" t="s">
        <v>467</v>
      </c>
    </row>
    <row r="432" spans="1:5" x14ac:dyDescent="0.2">
      <c r="A432" s="2">
        <f t="shared" si="7"/>
        <v>465</v>
      </c>
      <c r="D432" t="s">
        <v>468</v>
      </c>
    </row>
    <row r="433" spans="1:17" x14ac:dyDescent="0.2">
      <c r="A433" s="2">
        <f t="shared" si="7"/>
        <v>466</v>
      </c>
      <c r="D433" t="s">
        <v>600</v>
      </c>
      <c r="E433" t="s">
        <v>601</v>
      </c>
      <c r="G433" s="2">
        <v>19.38</v>
      </c>
    </row>
    <row r="434" spans="1:17" x14ac:dyDescent="0.2">
      <c r="A434" s="2">
        <f t="shared" si="7"/>
        <v>467</v>
      </c>
      <c r="D434" s="3" t="s">
        <v>469</v>
      </c>
    </row>
    <row r="435" spans="1:17" x14ac:dyDescent="0.2">
      <c r="A435" s="2">
        <f t="shared" si="7"/>
        <v>468</v>
      </c>
      <c r="D435" t="s">
        <v>470</v>
      </c>
    </row>
    <row r="436" spans="1:17" x14ac:dyDescent="0.2">
      <c r="A436" s="2">
        <f t="shared" si="7"/>
        <v>469</v>
      </c>
      <c r="D436" t="s">
        <v>471</v>
      </c>
    </row>
    <row r="437" spans="1:17" x14ac:dyDescent="0.2">
      <c r="A437" s="2">
        <v>470</v>
      </c>
      <c r="D437" t="s">
        <v>474</v>
      </c>
      <c r="E437" t="s">
        <v>710</v>
      </c>
    </row>
    <row r="438" spans="1:17" x14ac:dyDescent="0.2">
      <c r="A438" s="2">
        <v>272</v>
      </c>
      <c r="B438" s="2">
        <v>471</v>
      </c>
      <c r="C438" s="2">
        <v>376</v>
      </c>
      <c r="D438" t="s">
        <v>475</v>
      </c>
      <c r="E438" t="s">
        <v>2</v>
      </c>
      <c r="F438" s="2">
        <v>1000000</v>
      </c>
      <c r="G438" s="2">
        <v>61.21</v>
      </c>
      <c r="M438" s="1">
        <v>61.21</v>
      </c>
      <c r="Q438" s="19">
        <v>0.4777777777777778</v>
      </c>
    </row>
    <row r="439" spans="1:17" x14ac:dyDescent="0.2">
      <c r="A439" s="2">
        <v>472</v>
      </c>
      <c r="D439" t="s">
        <v>476</v>
      </c>
    </row>
    <row r="440" spans="1:17" x14ac:dyDescent="0.2">
      <c r="A440" s="2">
        <f t="shared" ref="A440:A478" si="8">A439+1</f>
        <v>473</v>
      </c>
      <c r="D440" t="s">
        <v>477</v>
      </c>
      <c r="E440" t="s">
        <v>7</v>
      </c>
    </row>
    <row r="441" spans="1:17" x14ac:dyDescent="0.2">
      <c r="A441" s="2">
        <f t="shared" si="8"/>
        <v>474</v>
      </c>
      <c r="D441" t="s">
        <v>478</v>
      </c>
    </row>
    <row r="442" spans="1:17" x14ac:dyDescent="0.2">
      <c r="A442" s="2">
        <f t="shared" si="8"/>
        <v>475</v>
      </c>
      <c r="D442" t="s">
        <v>479</v>
      </c>
    </row>
    <row r="443" spans="1:17" x14ac:dyDescent="0.2">
      <c r="A443" s="2">
        <f t="shared" si="8"/>
        <v>476</v>
      </c>
      <c r="D443" t="s">
        <v>481</v>
      </c>
    </row>
    <row r="444" spans="1:17" x14ac:dyDescent="0.2">
      <c r="A444" s="2">
        <f t="shared" si="8"/>
        <v>477</v>
      </c>
      <c r="D444" t="s">
        <v>482</v>
      </c>
    </row>
    <row r="445" spans="1:17" x14ac:dyDescent="0.2">
      <c r="A445" s="2">
        <f t="shared" si="8"/>
        <v>478</v>
      </c>
      <c r="D445" t="s">
        <v>483</v>
      </c>
    </row>
    <row r="446" spans="1:17" x14ac:dyDescent="0.2">
      <c r="A446" s="2">
        <f t="shared" si="8"/>
        <v>479</v>
      </c>
      <c r="D446" t="s">
        <v>484</v>
      </c>
    </row>
    <row r="447" spans="1:17" x14ac:dyDescent="0.2">
      <c r="A447" s="2">
        <f t="shared" si="8"/>
        <v>480</v>
      </c>
      <c r="D447" t="s">
        <v>485</v>
      </c>
    </row>
    <row r="448" spans="1:17" x14ac:dyDescent="0.2">
      <c r="A448" s="2">
        <f t="shared" si="8"/>
        <v>481</v>
      </c>
      <c r="D448" t="s">
        <v>487</v>
      </c>
    </row>
    <row r="449" spans="1:19" x14ac:dyDescent="0.2">
      <c r="A449" s="2">
        <f t="shared" si="8"/>
        <v>482</v>
      </c>
      <c r="D449" t="s">
        <v>488</v>
      </c>
    </row>
    <row r="450" spans="1:19" x14ac:dyDescent="0.2">
      <c r="A450" s="2">
        <f t="shared" si="8"/>
        <v>483</v>
      </c>
      <c r="D450" s="3" t="s">
        <v>489</v>
      </c>
    </row>
    <row r="451" spans="1:19" x14ac:dyDescent="0.2">
      <c r="A451" s="2">
        <f t="shared" si="8"/>
        <v>484</v>
      </c>
      <c r="D451" t="s">
        <v>490</v>
      </c>
    </row>
    <row r="452" spans="1:19" x14ac:dyDescent="0.2">
      <c r="A452" s="2">
        <f t="shared" si="8"/>
        <v>485</v>
      </c>
      <c r="D452" t="s">
        <v>491</v>
      </c>
      <c r="E452" t="s">
        <v>6</v>
      </c>
      <c r="F452" s="2">
        <v>8000</v>
      </c>
    </row>
    <row r="453" spans="1:19" x14ac:dyDescent="0.2">
      <c r="A453" s="2">
        <f t="shared" si="8"/>
        <v>486</v>
      </c>
      <c r="D453" t="s">
        <v>492</v>
      </c>
    </row>
    <row r="454" spans="1:19" x14ac:dyDescent="0.2">
      <c r="A454" s="2">
        <f t="shared" si="8"/>
        <v>487</v>
      </c>
      <c r="D454" t="s">
        <v>493</v>
      </c>
    </row>
    <row r="455" spans="1:19" x14ac:dyDescent="0.2">
      <c r="A455" s="4">
        <f t="shared" si="8"/>
        <v>488</v>
      </c>
      <c r="B455" s="4"/>
      <c r="C455" s="4"/>
      <c r="D455" s="3" t="s">
        <v>494</v>
      </c>
    </row>
    <row r="456" spans="1:19" x14ac:dyDescent="0.2">
      <c r="A456" s="2">
        <v>500</v>
      </c>
      <c r="B456" s="2">
        <v>489</v>
      </c>
      <c r="C456" s="2">
        <v>6</v>
      </c>
      <c r="D456" t="s">
        <v>495</v>
      </c>
      <c r="E456" t="s">
        <v>565</v>
      </c>
      <c r="F456" s="2">
        <v>50000</v>
      </c>
      <c r="G456" s="2">
        <v>4827</v>
      </c>
      <c r="M456" s="1">
        <v>4827</v>
      </c>
      <c r="N456" s="1">
        <v>4797</v>
      </c>
      <c r="Q456" s="19">
        <v>0.21180555555555555</v>
      </c>
      <c r="R456" s="8">
        <f>(5+(5/60))*N456</f>
        <v>24384.75</v>
      </c>
      <c r="S456">
        <v>2000</v>
      </c>
    </row>
    <row r="457" spans="1:19" x14ac:dyDescent="0.2">
      <c r="A457" s="2">
        <v>490</v>
      </c>
      <c r="D457" t="s">
        <v>496</v>
      </c>
    </row>
    <row r="458" spans="1:19" x14ac:dyDescent="0.2">
      <c r="A458" s="4">
        <f t="shared" si="8"/>
        <v>491</v>
      </c>
      <c r="B458" s="4"/>
      <c r="C458" s="4"/>
      <c r="D458" s="3" t="s">
        <v>497</v>
      </c>
    </row>
    <row r="459" spans="1:19" x14ac:dyDescent="0.2">
      <c r="A459" s="2">
        <f t="shared" si="8"/>
        <v>492</v>
      </c>
      <c r="D459" t="s">
        <v>499</v>
      </c>
    </row>
    <row r="460" spans="1:19" x14ac:dyDescent="0.2">
      <c r="A460" s="4">
        <f t="shared" si="8"/>
        <v>493</v>
      </c>
      <c r="B460" s="4"/>
      <c r="C460" s="4"/>
      <c r="D460" t="s">
        <v>500</v>
      </c>
    </row>
    <row r="461" spans="1:19" x14ac:dyDescent="0.2">
      <c r="A461" s="2">
        <f t="shared" si="8"/>
        <v>494</v>
      </c>
      <c r="D461" t="s">
        <v>501</v>
      </c>
    </row>
    <row r="462" spans="1:19" x14ac:dyDescent="0.2">
      <c r="A462" s="2">
        <f t="shared" si="8"/>
        <v>495</v>
      </c>
      <c r="D462" t="s">
        <v>503</v>
      </c>
    </row>
    <row r="463" spans="1:19" x14ac:dyDescent="0.2">
      <c r="A463" s="2">
        <f t="shared" si="8"/>
        <v>496</v>
      </c>
      <c r="D463" t="s">
        <v>504</v>
      </c>
    </row>
    <row r="464" spans="1:19" x14ac:dyDescent="0.2">
      <c r="A464" s="2">
        <f t="shared" si="8"/>
        <v>497</v>
      </c>
      <c r="D464" t="s">
        <v>505</v>
      </c>
    </row>
    <row r="465" spans="1:7" x14ac:dyDescent="0.2">
      <c r="A465" s="2">
        <f t="shared" si="8"/>
        <v>498</v>
      </c>
      <c r="D465" t="s">
        <v>506</v>
      </c>
    </row>
    <row r="466" spans="1:7" x14ac:dyDescent="0.2">
      <c r="A466" s="2">
        <f t="shared" si="8"/>
        <v>499</v>
      </c>
      <c r="D466" t="s">
        <v>507</v>
      </c>
      <c r="E466" t="s">
        <v>6</v>
      </c>
      <c r="F466" s="2">
        <v>265</v>
      </c>
    </row>
    <row r="467" spans="1:7" x14ac:dyDescent="0.2">
      <c r="A467" s="2">
        <f t="shared" si="8"/>
        <v>500</v>
      </c>
      <c r="D467" t="s">
        <v>508</v>
      </c>
    </row>
    <row r="468" spans="1:7" x14ac:dyDescent="0.2">
      <c r="A468" s="2">
        <f t="shared" si="8"/>
        <v>501</v>
      </c>
      <c r="D468" t="s">
        <v>509</v>
      </c>
    </row>
    <row r="469" spans="1:7" x14ac:dyDescent="0.2">
      <c r="A469" s="2">
        <f t="shared" si="8"/>
        <v>502</v>
      </c>
      <c r="D469" t="s">
        <v>510</v>
      </c>
    </row>
    <row r="470" spans="1:7" x14ac:dyDescent="0.2">
      <c r="A470" s="2">
        <f t="shared" si="8"/>
        <v>503</v>
      </c>
      <c r="D470" t="s">
        <v>511</v>
      </c>
    </row>
    <row r="471" spans="1:7" x14ac:dyDescent="0.2">
      <c r="A471" s="2">
        <f t="shared" si="8"/>
        <v>504</v>
      </c>
      <c r="D471" t="s">
        <v>512</v>
      </c>
    </row>
    <row r="472" spans="1:7" x14ac:dyDescent="0.2">
      <c r="A472" s="2">
        <f t="shared" si="8"/>
        <v>505</v>
      </c>
      <c r="D472" t="s">
        <v>513</v>
      </c>
      <c r="E472" t="s">
        <v>9</v>
      </c>
    </row>
    <row r="473" spans="1:7" x14ac:dyDescent="0.2">
      <c r="A473" s="2">
        <v>469</v>
      </c>
      <c r="D473" t="s">
        <v>647</v>
      </c>
      <c r="G473" s="2">
        <v>22.95</v>
      </c>
    </row>
    <row r="474" spans="1:7" x14ac:dyDescent="0.2">
      <c r="A474" s="2">
        <f>A472+1</f>
        <v>506</v>
      </c>
      <c r="D474" t="s">
        <v>514</v>
      </c>
    </row>
    <row r="475" spans="1:7" x14ac:dyDescent="0.2">
      <c r="A475" s="2">
        <f t="shared" si="8"/>
        <v>507</v>
      </c>
      <c r="D475" t="s">
        <v>515</v>
      </c>
    </row>
    <row r="476" spans="1:7" x14ac:dyDescent="0.2">
      <c r="A476" s="2">
        <f t="shared" si="8"/>
        <v>508</v>
      </c>
      <c r="D476" t="s">
        <v>516</v>
      </c>
      <c r="E476" t="s">
        <v>566</v>
      </c>
    </row>
    <row r="477" spans="1:7" x14ac:dyDescent="0.2">
      <c r="A477" s="2">
        <f t="shared" si="8"/>
        <v>509</v>
      </c>
      <c r="D477" s="3" t="s">
        <v>517</v>
      </c>
    </row>
    <row r="478" spans="1:7" x14ac:dyDescent="0.2">
      <c r="A478" s="2">
        <f t="shared" si="8"/>
        <v>510</v>
      </c>
      <c r="D478" t="s">
        <v>518</v>
      </c>
    </row>
    <row r="479" spans="1:7" x14ac:dyDescent="0.2">
      <c r="A479" s="2">
        <v>489</v>
      </c>
      <c r="D479" t="s">
        <v>623</v>
      </c>
      <c r="E479" t="s">
        <v>622</v>
      </c>
      <c r="G479" s="2">
        <v>23.18</v>
      </c>
    </row>
    <row r="480" spans="1:7" x14ac:dyDescent="0.2">
      <c r="A480" s="2">
        <v>517</v>
      </c>
      <c r="D480" t="s">
        <v>588</v>
      </c>
      <c r="E480" t="s">
        <v>625</v>
      </c>
      <c r="G480" s="2">
        <v>32.01</v>
      </c>
    </row>
    <row r="481" spans="1:17" x14ac:dyDescent="0.2">
      <c r="A481" s="2">
        <v>537</v>
      </c>
      <c r="D481" t="s">
        <v>602</v>
      </c>
      <c r="E481" t="s">
        <v>624</v>
      </c>
      <c r="G481" s="2">
        <v>19.38</v>
      </c>
    </row>
    <row r="482" spans="1:17" x14ac:dyDescent="0.2">
      <c r="A482" s="2">
        <v>557</v>
      </c>
      <c r="D482" t="s">
        <v>648</v>
      </c>
      <c r="G482" s="2">
        <v>23.29</v>
      </c>
    </row>
    <row r="483" spans="1:17" x14ac:dyDescent="0.2">
      <c r="A483" s="2">
        <v>587</v>
      </c>
      <c r="D483" t="s">
        <v>618</v>
      </c>
      <c r="G483" s="2">
        <v>48.41</v>
      </c>
    </row>
    <row r="484" spans="1:17" x14ac:dyDescent="0.2">
      <c r="A484" s="2">
        <v>601</v>
      </c>
      <c r="D484" t="s">
        <v>719</v>
      </c>
      <c r="E484" t="s">
        <v>720</v>
      </c>
      <c r="F484" s="2">
        <v>10000</v>
      </c>
      <c r="G484" s="2">
        <v>16.29</v>
      </c>
    </row>
    <row r="485" spans="1:17" x14ac:dyDescent="0.2">
      <c r="A485" s="2">
        <v>625</v>
      </c>
      <c r="D485" t="s">
        <v>632</v>
      </c>
      <c r="G485" s="2">
        <v>19.7</v>
      </c>
    </row>
    <row r="486" spans="1:17" x14ac:dyDescent="0.2">
      <c r="A486" s="2">
        <v>668</v>
      </c>
      <c r="D486" t="s">
        <v>663</v>
      </c>
      <c r="G486" s="2">
        <v>18.46</v>
      </c>
    </row>
    <row r="487" spans="1:17" x14ac:dyDescent="0.2">
      <c r="A487" s="2">
        <v>691</v>
      </c>
      <c r="D487" t="s">
        <v>593</v>
      </c>
      <c r="G487" s="2">
        <v>24.11</v>
      </c>
    </row>
    <row r="488" spans="1:17" x14ac:dyDescent="0.2">
      <c r="A488" s="2">
        <v>707</v>
      </c>
      <c r="D488" t="s">
        <v>599</v>
      </c>
      <c r="G488" s="2">
        <v>149</v>
      </c>
    </row>
    <row r="489" spans="1:17" x14ac:dyDescent="0.2">
      <c r="A489" s="2">
        <v>720</v>
      </c>
      <c r="D489" t="s">
        <v>628</v>
      </c>
      <c r="G489" s="2">
        <v>126.9</v>
      </c>
    </row>
    <row r="490" spans="1:17" x14ac:dyDescent="0.2">
      <c r="A490" s="2">
        <v>729</v>
      </c>
      <c r="D490" t="s">
        <v>626</v>
      </c>
      <c r="G490" s="2">
        <v>18.29</v>
      </c>
    </row>
    <row r="491" spans="1:17" x14ac:dyDescent="0.2">
      <c r="A491" s="2">
        <v>737</v>
      </c>
      <c r="D491" t="s">
        <v>661</v>
      </c>
      <c r="G491" s="2">
        <v>28.83</v>
      </c>
    </row>
    <row r="492" spans="1:17" x14ac:dyDescent="0.2">
      <c r="A492" s="2">
        <v>745</v>
      </c>
      <c r="D492" t="s">
        <v>585</v>
      </c>
      <c r="E492" t="s">
        <v>6</v>
      </c>
      <c r="G492" s="2">
        <v>21.86</v>
      </c>
    </row>
    <row r="493" spans="1:17" x14ac:dyDescent="0.2">
      <c r="A493" s="2">
        <v>739</v>
      </c>
      <c r="B493" s="2">
        <v>784</v>
      </c>
      <c r="C493" s="2">
        <v>1883</v>
      </c>
      <c r="D493" t="s">
        <v>662</v>
      </c>
      <c r="E493" t="s">
        <v>780</v>
      </c>
      <c r="F493" s="2">
        <v>750000</v>
      </c>
      <c r="G493" s="2">
        <v>22.08</v>
      </c>
      <c r="M493" s="1">
        <v>20.48</v>
      </c>
      <c r="Q493" s="19">
        <v>0.15694444444444444</v>
      </c>
    </row>
    <row r="494" spans="1:17" x14ac:dyDescent="0.2">
      <c r="A494" s="2">
        <v>804</v>
      </c>
      <c r="D494" t="s">
        <v>621</v>
      </c>
      <c r="E494" t="s">
        <v>622</v>
      </c>
      <c r="G494" s="2">
        <v>87.23</v>
      </c>
    </row>
    <row r="495" spans="1:17" x14ac:dyDescent="0.2">
      <c r="A495" s="2">
        <v>852</v>
      </c>
      <c r="D495" t="s">
        <v>572</v>
      </c>
      <c r="E495" t="s">
        <v>6</v>
      </c>
      <c r="F495" s="2">
        <v>3000</v>
      </c>
    </row>
    <row r="496" spans="1:17" x14ac:dyDescent="0.2">
      <c r="A496" s="2">
        <v>855</v>
      </c>
      <c r="D496" t="s">
        <v>660</v>
      </c>
      <c r="G496" s="2">
        <v>18.73</v>
      </c>
    </row>
    <row r="497" spans="1:17" x14ac:dyDescent="0.2">
      <c r="A497" s="2">
        <v>903</v>
      </c>
      <c r="D497" t="s">
        <v>645</v>
      </c>
      <c r="G497" s="2">
        <v>22.7</v>
      </c>
    </row>
    <row r="498" spans="1:17" x14ac:dyDescent="0.2">
      <c r="A498" s="2">
        <v>946</v>
      </c>
      <c r="D498" t="s">
        <v>644</v>
      </c>
      <c r="G498" s="2">
        <v>14.63</v>
      </c>
    </row>
    <row r="499" spans="1:17" x14ac:dyDescent="0.2">
      <c r="A499" s="2">
        <v>1004</v>
      </c>
      <c r="D499" t="s">
        <v>581</v>
      </c>
      <c r="G499" s="2">
        <v>32</v>
      </c>
    </row>
    <row r="500" spans="1:17" x14ac:dyDescent="0.2">
      <c r="A500" s="2">
        <v>1017</v>
      </c>
      <c r="D500" t="s">
        <v>666</v>
      </c>
      <c r="G500" s="2">
        <v>18.64</v>
      </c>
    </row>
    <row r="501" spans="1:17" x14ac:dyDescent="0.2">
      <c r="A501" s="2">
        <v>1020</v>
      </c>
      <c r="D501" t="s">
        <v>576</v>
      </c>
      <c r="G501" s="2">
        <v>18.77</v>
      </c>
      <c r="H501" s="15">
        <v>0.52566199999999996</v>
      </c>
      <c r="I501" s="16">
        <v>0.42083700000000002</v>
      </c>
      <c r="J501" s="2">
        <v>9.3979999999999997</v>
      </c>
      <c r="Q501" s="20" t="s">
        <v>755</v>
      </c>
    </row>
    <row r="502" spans="1:17" x14ac:dyDescent="0.2">
      <c r="A502" s="2">
        <v>1057</v>
      </c>
      <c r="D502" t="s">
        <v>619</v>
      </c>
      <c r="G502" s="2">
        <v>37.200000000000003</v>
      </c>
    </row>
    <row r="503" spans="1:17" x14ac:dyDescent="0.2">
      <c r="A503" s="2">
        <v>1058</v>
      </c>
      <c r="D503" t="s">
        <v>728</v>
      </c>
      <c r="G503" s="2">
        <v>18.8</v>
      </c>
    </row>
    <row r="504" spans="1:17" x14ac:dyDescent="0.2">
      <c r="A504" s="2">
        <v>1063</v>
      </c>
      <c r="D504" t="s">
        <v>654</v>
      </c>
      <c r="G504" s="2">
        <v>19.68</v>
      </c>
    </row>
    <row r="505" spans="1:17" x14ac:dyDescent="0.2">
      <c r="A505" s="2">
        <v>1069</v>
      </c>
      <c r="D505" t="s">
        <v>726</v>
      </c>
      <c r="G505" s="2">
        <v>22.74</v>
      </c>
      <c r="H505" s="15">
        <v>0.74942299999999995</v>
      </c>
      <c r="I505" s="16">
        <v>0.68430000000000002</v>
      </c>
      <c r="J505" s="2">
        <v>16.010000000000002</v>
      </c>
      <c r="Q505" s="19">
        <v>4.5833333333333337E-2</v>
      </c>
    </row>
    <row r="506" spans="1:17" x14ac:dyDescent="0.2">
      <c r="A506" s="2">
        <v>1125</v>
      </c>
      <c r="D506" t="s">
        <v>721</v>
      </c>
      <c r="G506" s="2">
        <v>38.51</v>
      </c>
    </row>
    <row r="507" spans="1:17" x14ac:dyDescent="0.2">
      <c r="A507" s="2">
        <v>1172</v>
      </c>
      <c r="D507" t="s">
        <v>814</v>
      </c>
      <c r="G507" s="2">
        <v>19.43</v>
      </c>
      <c r="M507" s="1">
        <v>19.43</v>
      </c>
      <c r="Q507" s="47" t="s">
        <v>815</v>
      </c>
    </row>
    <row r="508" spans="1:17" x14ac:dyDescent="0.2">
      <c r="A508" s="2">
        <v>1180</v>
      </c>
      <c r="D508" t="s">
        <v>668</v>
      </c>
      <c r="G508" s="2">
        <v>19.940000000000001</v>
      </c>
    </row>
    <row r="509" spans="1:17" x14ac:dyDescent="0.2">
      <c r="A509" s="2">
        <v>1256</v>
      </c>
      <c r="D509" t="s">
        <v>577</v>
      </c>
      <c r="G509" s="2">
        <v>97.66</v>
      </c>
    </row>
    <row r="510" spans="1:17" x14ac:dyDescent="0.2">
      <c r="A510" s="2">
        <v>1315</v>
      </c>
      <c r="D510" t="s">
        <v>729</v>
      </c>
      <c r="G510" s="2">
        <v>23.57</v>
      </c>
    </row>
    <row r="511" spans="1:17" x14ac:dyDescent="0.2">
      <c r="A511" s="2">
        <v>1334</v>
      </c>
      <c r="D511" t="s">
        <v>651</v>
      </c>
      <c r="G511" s="2">
        <v>15.56</v>
      </c>
    </row>
    <row r="512" spans="1:17" x14ac:dyDescent="0.2">
      <c r="A512" s="2">
        <v>1353</v>
      </c>
      <c r="D512" t="s">
        <v>667</v>
      </c>
      <c r="G512" s="2">
        <v>24.04</v>
      </c>
    </row>
    <row r="513" spans="1:17" x14ac:dyDescent="0.2">
      <c r="A513" s="2">
        <v>1369</v>
      </c>
      <c r="D513" t="s">
        <v>659</v>
      </c>
      <c r="G513" s="2">
        <v>19.04</v>
      </c>
    </row>
    <row r="514" spans="1:17" x14ac:dyDescent="0.2">
      <c r="A514" s="2">
        <v>1385</v>
      </c>
      <c r="D514" t="s">
        <v>733</v>
      </c>
      <c r="G514" s="2">
        <v>28.49</v>
      </c>
    </row>
    <row r="515" spans="1:17" x14ac:dyDescent="0.2">
      <c r="A515" s="2">
        <v>1413</v>
      </c>
      <c r="D515" t="s">
        <v>673</v>
      </c>
      <c r="E515" t="s">
        <v>5</v>
      </c>
      <c r="G515" s="2">
        <v>11.14</v>
      </c>
    </row>
    <row r="516" spans="1:17" x14ac:dyDescent="0.2">
      <c r="A516" s="2">
        <v>1442</v>
      </c>
      <c r="D516" t="s">
        <v>650</v>
      </c>
      <c r="G516" s="2">
        <v>15.9</v>
      </c>
    </row>
    <row r="517" spans="1:17" x14ac:dyDescent="0.2">
      <c r="A517" s="2">
        <v>1448</v>
      </c>
      <c r="D517" t="s">
        <v>731</v>
      </c>
      <c r="G517" s="2">
        <v>7.6420000000000003</v>
      </c>
    </row>
    <row r="518" spans="1:17" x14ac:dyDescent="0.2">
      <c r="A518" s="2">
        <v>1452</v>
      </c>
      <c r="D518" t="s">
        <v>656</v>
      </c>
      <c r="G518" s="2">
        <v>9.1170000000000009</v>
      </c>
    </row>
    <row r="519" spans="1:17" x14ac:dyDescent="0.2">
      <c r="A519" s="2">
        <v>1472</v>
      </c>
      <c r="D519" t="s">
        <v>571</v>
      </c>
    </row>
    <row r="520" spans="1:17" x14ac:dyDescent="0.2">
      <c r="A520" s="2">
        <v>1370</v>
      </c>
      <c r="D520" t="s">
        <v>590</v>
      </c>
      <c r="E520" t="s">
        <v>6</v>
      </c>
      <c r="G520" s="2">
        <v>20.04</v>
      </c>
      <c r="H520" s="15">
        <v>0.67822000000000005</v>
      </c>
      <c r="I520" s="16">
        <v>0.599553</v>
      </c>
      <c r="J520" s="2">
        <v>8.0830000000000002</v>
      </c>
      <c r="Q520" s="20" t="s">
        <v>754</v>
      </c>
    </row>
    <row r="521" spans="1:17" x14ac:dyDescent="0.2">
      <c r="A521" s="2">
        <v>1551</v>
      </c>
      <c r="D521" t="s">
        <v>631</v>
      </c>
      <c r="G521" s="2">
        <v>11.8</v>
      </c>
    </row>
    <row r="522" spans="1:17" x14ac:dyDescent="0.2">
      <c r="A522" s="2">
        <v>1609</v>
      </c>
      <c r="D522" t="s">
        <v>646</v>
      </c>
      <c r="G522" s="2">
        <v>14.72</v>
      </c>
    </row>
    <row r="523" spans="1:17" x14ac:dyDescent="0.2">
      <c r="A523" s="2">
        <v>1611</v>
      </c>
      <c r="D523" t="s">
        <v>669</v>
      </c>
      <c r="G523" s="2">
        <v>14.64</v>
      </c>
    </row>
    <row r="524" spans="1:17" x14ac:dyDescent="0.2">
      <c r="A524" s="2">
        <v>1633</v>
      </c>
      <c r="D524" t="s">
        <v>756</v>
      </c>
      <c r="G524" s="2">
        <v>10.41</v>
      </c>
      <c r="H524" s="15">
        <v>0.38325799999999999</v>
      </c>
      <c r="I524" s="16">
        <v>0.36001499999999997</v>
      </c>
      <c r="J524" s="2">
        <v>8.4350000000000005</v>
      </c>
      <c r="Q524" s="19">
        <v>9.1666666666666674E-2</v>
      </c>
    </row>
    <row r="525" spans="1:17" s="3" customFormat="1" x14ac:dyDescent="0.2">
      <c r="A525" s="4">
        <v>1880</v>
      </c>
      <c r="B525" s="4"/>
      <c r="C525" s="4"/>
      <c r="D525" s="3" t="s">
        <v>672</v>
      </c>
      <c r="F525" s="4"/>
      <c r="G525" s="4">
        <v>13.54</v>
      </c>
      <c r="H525" s="16">
        <v>0.39598</v>
      </c>
      <c r="I525" s="16">
        <v>0.29293400000000003</v>
      </c>
      <c r="J525" s="4">
        <v>5.3620000000000001</v>
      </c>
      <c r="K525" s="9"/>
      <c r="L525" s="9"/>
      <c r="M525" s="9"/>
      <c r="N525" s="9"/>
      <c r="O525" s="9"/>
      <c r="Q525" s="21" t="s">
        <v>753</v>
      </c>
    </row>
    <row r="526" spans="1:17" x14ac:dyDescent="0.2">
      <c r="A526" s="2">
        <v>1652</v>
      </c>
      <c r="D526" t="s">
        <v>629</v>
      </c>
      <c r="G526" s="2">
        <v>17.239999999999998</v>
      </c>
    </row>
    <row r="527" spans="1:17" x14ac:dyDescent="0.2">
      <c r="A527" s="2">
        <v>1655</v>
      </c>
      <c r="D527" t="s">
        <v>649</v>
      </c>
      <c r="G527" s="2">
        <v>28.27</v>
      </c>
    </row>
    <row r="528" spans="1:17" x14ac:dyDescent="0.2">
      <c r="A528" s="2">
        <v>1669</v>
      </c>
      <c r="D528" t="s">
        <v>643</v>
      </c>
      <c r="G528" s="2">
        <v>52</v>
      </c>
    </row>
    <row r="529" spans="1:17" x14ac:dyDescent="0.2">
      <c r="A529" s="2">
        <v>1727</v>
      </c>
      <c r="D529" t="s">
        <v>734</v>
      </c>
      <c r="G529" s="2">
        <v>21.92</v>
      </c>
    </row>
    <row r="530" spans="1:17" x14ac:dyDescent="0.2">
      <c r="A530" s="2">
        <v>1804</v>
      </c>
      <c r="D530" t="s">
        <v>594</v>
      </c>
      <c r="G530" s="2">
        <v>6.01</v>
      </c>
    </row>
    <row r="531" spans="1:17" x14ac:dyDescent="0.2">
      <c r="A531" s="2">
        <v>1829</v>
      </c>
      <c r="D531" t="s">
        <v>620</v>
      </c>
      <c r="E531" t="s">
        <v>622</v>
      </c>
      <c r="G531" s="2">
        <v>14.19</v>
      </c>
    </row>
    <row r="532" spans="1:17" x14ac:dyDescent="0.2">
      <c r="A532" s="2">
        <v>1890</v>
      </c>
      <c r="D532" t="s">
        <v>597</v>
      </c>
      <c r="G532" s="2">
        <v>13.39</v>
      </c>
    </row>
    <row r="533" spans="1:17" x14ac:dyDescent="0.2">
      <c r="A533" s="2">
        <v>2015</v>
      </c>
      <c r="D533" t="s">
        <v>586</v>
      </c>
      <c r="G533" s="2">
        <v>10.199999999999999</v>
      </c>
    </row>
    <row r="534" spans="1:17" x14ac:dyDescent="0.2">
      <c r="A534" s="2">
        <v>2042</v>
      </c>
      <c r="D534" t="s">
        <v>652</v>
      </c>
      <c r="G534" s="2">
        <v>12.13</v>
      </c>
    </row>
    <row r="535" spans="1:17" x14ac:dyDescent="0.2">
      <c r="A535" s="2">
        <v>2079</v>
      </c>
      <c r="D535" t="s">
        <v>610</v>
      </c>
      <c r="G535" s="2">
        <v>12.233000000000001</v>
      </c>
    </row>
    <row r="536" spans="1:17" x14ac:dyDescent="0.2">
      <c r="D536" t="s">
        <v>750</v>
      </c>
      <c r="G536" s="2">
        <v>95.92</v>
      </c>
      <c r="H536" s="15">
        <v>2.9209999999999998</v>
      </c>
      <c r="I536" s="16">
        <v>2.2290000000000001</v>
      </c>
      <c r="J536" s="2">
        <v>35.29</v>
      </c>
    </row>
    <row r="537" spans="1:17" x14ac:dyDescent="0.2">
      <c r="A537" s="2">
        <v>2097</v>
      </c>
      <c r="B537" s="2">
        <v>2097</v>
      </c>
      <c r="C537" s="2">
        <v>1790</v>
      </c>
      <c r="D537" t="s">
        <v>781</v>
      </c>
      <c r="G537" s="2">
        <v>26.76</v>
      </c>
      <c r="M537" s="1">
        <v>26.76</v>
      </c>
      <c r="Q537" s="19">
        <v>0.15833333333333333</v>
      </c>
    </row>
    <row r="538" spans="1:17" x14ac:dyDescent="0.2">
      <c r="A538" s="2">
        <v>2104</v>
      </c>
      <c r="D538" t="s">
        <v>732</v>
      </c>
      <c r="G538" s="2">
        <v>12.04</v>
      </c>
      <c r="H538" s="15">
        <v>0.42155100000000001</v>
      </c>
      <c r="I538" s="16">
        <v>0.38603999999999999</v>
      </c>
      <c r="J538" s="2">
        <v>8.5220000000000002</v>
      </c>
      <c r="Q538" s="20" t="s">
        <v>752</v>
      </c>
    </row>
    <row r="539" spans="1:17" x14ac:dyDescent="0.2">
      <c r="A539" s="2">
        <v>2160</v>
      </c>
      <c r="D539" t="s">
        <v>762</v>
      </c>
      <c r="G539" s="2">
        <v>48.78</v>
      </c>
      <c r="H539" s="15">
        <v>1.589</v>
      </c>
      <c r="I539" s="16">
        <v>1.27</v>
      </c>
      <c r="J539" s="2">
        <v>24.1</v>
      </c>
      <c r="Q539" s="22">
        <v>0.16041666666666668</v>
      </c>
    </row>
    <row r="540" spans="1:17" x14ac:dyDescent="0.2">
      <c r="A540" s="2">
        <v>2226</v>
      </c>
      <c r="D540" t="s">
        <v>605</v>
      </c>
      <c r="G540" s="2">
        <v>4.218</v>
      </c>
    </row>
    <row r="541" spans="1:17" x14ac:dyDescent="0.2">
      <c r="A541" s="2">
        <v>2236</v>
      </c>
      <c r="D541" t="s">
        <v>665</v>
      </c>
    </row>
    <row r="542" spans="1:17" x14ac:dyDescent="0.2">
      <c r="A542" s="2">
        <v>2300</v>
      </c>
      <c r="D542" t="s">
        <v>758</v>
      </c>
      <c r="G542" s="2">
        <v>10.84</v>
      </c>
      <c r="H542" s="15">
        <v>0.378438</v>
      </c>
      <c r="I542" s="16">
        <v>0.34661900000000001</v>
      </c>
      <c r="J542" s="2">
        <v>7.774</v>
      </c>
      <c r="Q542" s="19">
        <v>4.6527777777777779E-2</v>
      </c>
    </row>
    <row r="543" spans="1:17" x14ac:dyDescent="0.2">
      <c r="A543" s="2">
        <v>2349</v>
      </c>
      <c r="D543" t="s">
        <v>725</v>
      </c>
      <c r="G543" s="2">
        <v>13.03</v>
      </c>
    </row>
    <row r="544" spans="1:17" x14ac:dyDescent="0.2">
      <c r="A544" s="2">
        <v>2463</v>
      </c>
      <c r="D544" t="s">
        <v>675</v>
      </c>
      <c r="G544" s="2">
        <v>10.17</v>
      </c>
    </row>
    <row r="545" spans="1:17" x14ac:dyDescent="0.2">
      <c r="A545" s="2">
        <v>2466</v>
      </c>
      <c r="D545" t="s">
        <v>760</v>
      </c>
      <c r="G545" s="2">
        <v>20.74</v>
      </c>
      <c r="H545" s="15">
        <v>0.66327000000000003</v>
      </c>
      <c r="I545" s="16">
        <v>0.315384</v>
      </c>
      <c r="J545" s="2">
        <v>4.5330000000000004</v>
      </c>
      <c r="Q545" s="19">
        <v>0.125</v>
      </c>
    </row>
    <row r="546" spans="1:17" x14ac:dyDescent="0.2">
      <c r="A546" s="2">
        <v>2543</v>
      </c>
      <c r="B546" s="2">
        <v>2543</v>
      </c>
      <c r="C546" s="2">
        <v>7900</v>
      </c>
      <c r="D546" t="s">
        <v>823</v>
      </c>
      <c r="G546" s="2">
        <v>6.0490000000000004</v>
      </c>
      <c r="M546" s="1">
        <v>6.0490000000000004</v>
      </c>
      <c r="Q546" s="19">
        <v>0.11319444444444444</v>
      </c>
    </row>
    <row r="547" spans="1:17" x14ac:dyDescent="0.2">
      <c r="A547" s="2">
        <v>2628</v>
      </c>
      <c r="D547" t="s">
        <v>573</v>
      </c>
      <c r="E547" t="s">
        <v>6</v>
      </c>
    </row>
    <row r="548" spans="1:17" x14ac:dyDescent="0.2">
      <c r="A548" s="2">
        <v>2738</v>
      </c>
      <c r="D548" t="s">
        <v>664</v>
      </c>
      <c r="G548" s="2">
        <v>4.9560000000000004</v>
      </c>
    </row>
    <row r="549" spans="1:17" x14ac:dyDescent="0.2">
      <c r="A549" s="2">
        <v>2843</v>
      </c>
      <c r="D549" t="s">
        <v>638</v>
      </c>
      <c r="G549" s="2">
        <v>16.63</v>
      </c>
    </row>
    <row r="550" spans="1:17" x14ac:dyDescent="0.2">
      <c r="A550" s="2">
        <v>2870</v>
      </c>
      <c r="D550" t="s">
        <v>657</v>
      </c>
      <c r="G550" s="2">
        <v>4.1989999999999998</v>
      </c>
    </row>
    <row r="551" spans="1:17" x14ac:dyDescent="0.2">
      <c r="A551" s="2">
        <v>3042</v>
      </c>
      <c r="D551" t="s">
        <v>598</v>
      </c>
      <c r="G551" s="2">
        <v>9.9039999999999999</v>
      </c>
      <c r="H551" s="15">
        <v>0.295076</v>
      </c>
      <c r="I551" s="16">
        <v>0.23366999999999999</v>
      </c>
      <c r="J551" s="2">
        <v>4.6609999999999996</v>
      </c>
      <c r="Q551" s="20" t="s">
        <v>751</v>
      </c>
    </row>
    <row r="552" spans="1:17" x14ac:dyDescent="0.2">
      <c r="A552" s="2">
        <v>2912</v>
      </c>
      <c r="D552" t="s">
        <v>614</v>
      </c>
      <c r="G552" s="2">
        <v>6.2709999999999999</v>
      </c>
    </row>
    <row r="553" spans="1:17" x14ac:dyDescent="0.2">
      <c r="A553" s="2">
        <v>2917</v>
      </c>
      <c r="D553" t="s">
        <v>670</v>
      </c>
    </row>
    <row r="554" spans="1:17" x14ac:dyDescent="0.2">
      <c r="A554" s="2">
        <v>2935</v>
      </c>
      <c r="D554" t="s">
        <v>827</v>
      </c>
      <c r="G554" s="2">
        <v>4.1040000000000001</v>
      </c>
      <c r="M554" s="1">
        <v>4.1040000000000001</v>
      </c>
      <c r="Q554" s="19">
        <v>0.13541666666666666</v>
      </c>
    </row>
    <row r="555" spans="1:17" x14ac:dyDescent="0.2">
      <c r="A555" s="2">
        <v>3107</v>
      </c>
      <c r="D555" t="s">
        <v>727</v>
      </c>
      <c r="G555" s="2">
        <v>10.51</v>
      </c>
    </row>
    <row r="556" spans="1:17" x14ac:dyDescent="0.2">
      <c r="A556" s="2">
        <v>3330</v>
      </c>
      <c r="D556" t="s">
        <v>634</v>
      </c>
      <c r="G556" s="2">
        <v>15.97</v>
      </c>
    </row>
    <row r="557" spans="1:17" x14ac:dyDescent="0.2">
      <c r="A557" s="2">
        <v>3616</v>
      </c>
      <c r="D557" t="s">
        <v>653</v>
      </c>
      <c r="G557" s="2">
        <v>22.9</v>
      </c>
    </row>
    <row r="558" spans="1:17" x14ac:dyDescent="0.2">
      <c r="A558" s="2">
        <v>3637</v>
      </c>
      <c r="D558" t="s">
        <v>589</v>
      </c>
    </row>
    <row r="559" spans="1:17" x14ac:dyDescent="0.2">
      <c r="A559" s="2">
        <v>3747</v>
      </c>
      <c r="D559" t="s">
        <v>655</v>
      </c>
      <c r="G559" s="2">
        <v>5.5439999999999996</v>
      </c>
    </row>
    <row r="560" spans="1:17" x14ac:dyDescent="0.2">
      <c r="A560" s="2">
        <v>3791</v>
      </c>
      <c r="D560" t="s">
        <v>759</v>
      </c>
      <c r="G560" s="2">
        <v>4.62</v>
      </c>
      <c r="H560" s="15">
        <v>0.17097499999999999</v>
      </c>
      <c r="I560" s="16">
        <v>0.159524</v>
      </c>
      <c r="J560" s="2">
        <v>3.391</v>
      </c>
      <c r="Q560" s="19">
        <v>5.5555555555555552E-2</v>
      </c>
    </row>
    <row r="561" spans="1:17" x14ac:dyDescent="0.2">
      <c r="A561" s="2">
        <v>3813</v>
      </c>
      <c r="B561" s="2">
        <v>3955</v>
      </c>
      <c r="C561" s="2">
        <v>2358</v>
      </c>
      <c r="D561" t="s">
        <v>613</v>
      </c>
      <c r="G561" s="2">
        <v>20.74</v>
      </c>
      <c r="M561" s="1">
        <v>20.74</v>
      </c>
      <c r="Q561" s="19">
        <v>0.17500000000000002</v>
      </c>
    </row>
    <row r="562" spans="1:17" x14ac:dyDescent="0.2">
      <c r="A562" s="2">
        <v>4009</v>
      </c>
      <c r="D562" t="s">
        <v>604</v>
      </c>
      <c r="G562" s="2">
        <v>15.7</v>
      </c>
    </row>
    <row r="563" spans="1:17" x14ac:dyDescent="0.2">
      <c r="A563" s="2">
        <v>4091</v>
      </c>
      <c r="D563" t="s">
        <v>592</v>
      </c>
      <c r="G563" s="2">
        <v>6.3090000000000002</v>
      </c>
    </row>
    <row r="564" spans="1:17" x14ac:dyDescent="0.2">
      <c r="A564" s="2">
        <v>5084</v>
      </c>
      <c r="D564" t="s">
        <v>639</v>
      </c>
      <c r="G564" s="2">
        <v>5.625</v>
      </c>
      <c r="H564" s="15">
        <v>0.152084</v>
      </c>
      <c r="I564" s="16">
        <v>0.14216699999999999</v>
      </c>
      <c r="J564" s="2">
        <v>4.2009999999999996</v>
      </c>
      <c r="Q564" s="19">
        <v>3.888888888888889E-2</v>
      </c>
    </row>
    <row r="565" spans="1:17" x14ac:dyDescent="0.2">
      <c r="A565" s="2">
        <v>4509</v>
      </c>
      <c r="D565" t="s">
        <v>587</v>
      </c>
      <c r="G565" s="2">
        <v>8.8710000000000004</v>
      </c>
    </row>
    <row r="566" spans="1:17" x14ac:dyDescent="0.2">
      <c r="A566" s="2">
        <v>4999</v>
      </c>
      <c r="D566" t="s">
        <v>630</v>
      </c>
      <c r="G566" s="2">
        <v>6.782</v>
      </c>
    </row>
    <row r="567" spans="1:17" x14ac:dyDescent="0.2">
      <c r="A567" s="2">
        <v>5033</v>
      </c>
      <c r="D567" t="s">
        <v>637</v>
      </c>
      <c r="G567" s="2">
        <v>6.0430000000000001</v>
      </c>
    </row>
    <row r="568" spans="1:17" x14ac:dyDescent="0.2">
      <c r="A568" s="2">
        <v>5070</v>
      </c>
      <c r="B568" s="2">
        <v>5070</v>
      </c>
      <c r="C568" s="2">
        <v>8828</v>
      </c>
      <c r="D568" t="s">
        <v>828</v>
      </c>
      <c r="G568" s="2">
        <v>4.9059999999999997</v>
      </c>
      <c r="M568" s="1">
        <v>4.9059999999999997</v>
      </c>
      <c r="Q568" s="19">
        <v>0.6</v>
      </c>
    </row>
    <row r="569" spans="1:17" x14ac:dyDescent="0.2">
      <c r="A569" s="2">
        <v>5074</v>
      </c>
      <c r="D569" t="s">
        <v>627</v>
      </c>
      <c r="G569" s="2">
        <v>14.71</v>
      </c>
    </row>
    <row r="570" spans="1:17" x14ac:dyDescent="0.2">
      <c r="A570" s="2">
        <v>5508</v>
      </c>
      <c r="D570" t="s">
        <v>578</v>
      </c>
    </row>
    <row r="571" spans="1:17" x14ac:dyDescent="0.2">
      <c r="A571" s="4">
        <v>5820</v>
      </c>
      <c r="B571" s="4"/>
      <c r="C571" s="4"/>
      <c r="D571" s="3" t="s">
        <v>641</v>
      </c>
      <c r="F571" s="4"/>
      <c r="G571" s="16">
        <v>5.806</v>
      </c>
      <c r="H571" s="16">
        <v>0.17149500000000001</v>
      </c>
      <c r="I571" s="16">
        <v>0.15160899999999999</v>
      </c>
      <c r="J571" s="16">
        <v>3.6989999999999998</v>
      </c>
      <c r="K571" s="9"/>
      <c r="L571" s="9"/>
      <c r="M571" s="9"/>
      <c r="N571" s="9"/>
      <c r="O571" s="9"/>
      <c r="P571" s="3"/>
    </row>
    <row r="572" spans="1:17" x14ac:dyDescent="0.2">
      <c r="A572" s="2">
        <v>5863</v>
      </c>
      <c r="D572" t="s">
        <v>757</v>
      </c>
      <c r="G572" s="15">
        <v>2.2930000000000001</v>
      </c>
      <c r="H572" s="15">
        <v>7.3075000000000001E-2</v>
      </c>
      <c r="I572" s="15">
        <v>6.7874000000000004E-2</v>
      </c>
      <c r="J572" s="15">
        <v>1.782</v>
      </c>
      <c r="Q572" s="19">
        <v>9.7222222222222224E-2</v>
      </c>
    </row>
    <row r="573" spans="1:17" x14ac:dyDescent="0.2">
      <c r="A573" s="2">
        <v>5998</v>
      </c>
      <c r="D573" t="s">
        <v>617</v>
      </c>
      <c r="G573" s="15">
        <v>5.8819999999999997</v>
      </c>
      <c r="J573" s="15"/>
      <c r="Q573" s="3"/>
    </row>
    <row r="574" spans="1:17" x14ac:dyDescent="0.2">
      <c r="A574" s="2">
        <v>6170</v>
      </c>
      <c r="B574" s="2">
        <v>6170</v>
      </c>
      <c r="C574" s="2">
        <v>11165</v>
      </c>
      <c r="D574" t="s">
        <v>783</v>
      </c>
      <c r="G574" s="15">
        <v>2.931</v>
      </c>
      <c r="J574" s="15"/>
      <c r="M574" s="1">
        <v>2.931</v>
      </c>
      <c r="Q574" s="23">
        <v>0.47291666666666665</v>
      </c>
    </row>
    <row r="575" spans="1:17" x14ac:dyDescent="0.2">
      <c r="A575" s="2">
        <v>6316</v>
      </c>
      <c r="D575" t="s">
        <v>763</v>
      </c>
      <c r="G575" s="15">
        <v>13.4</v>
      </c>
      <c r="H575" s="15">
        <v>0.42543599999999998</v>
      </c>
      <c r="I575" s="15">
        <v>0.29056500000000002</v>
      </c>
      <c r="J575" s="15">
        <v>4.6760000000000002</v>
      </c>
      <c r="Q575" s="23">
        <v>0.11666666666666665</v>
      </c>
    </row>
    <row r="576" spans="1:17" s="3" customFormat="1" x14ac:dyDescent="0.2">
      <c r="A576" s="2">
        <v>6614</v>
      </c>
      <c r="B576" s="2"/>
      <c r="C576" s="2"/>
      <c r="D576" t="s">
        <v>635</v>
      </c>
      <c r="E576"/>
      <c r="F576" s="2"/>
      <c r="G576" s="15">
        <v>3.1070000000000002</v>
      </c>
      <c r="H576" s="15"/>
      <c r="I576" s="16"/>
      <c r="J576" s="15"/>
      <c r="K576" s="1"/>
      <c r="L576" s="1"/>
      <c r="M576" s="1"/>
      <c r="N576" s="1"/>
      <c r="O576" s="1"/>
      <c r="P576"/>
      <c r="Q576"/>
    </row>
    <row r="577" spans="1:17" x14ac:dyDescent="0.2">
      <c r="A577" s="2">
        <v>6758</v>
      </c>
      <c r="D577" t="s">
        <v>658</v>
      </c>
      <c r="G577" s="15"/>
      <c r="J577" s="15"/>
    </row>
    <row r="578" spans="1:17" x14ac:dyDescent="0.2">
      <c r="A578" s="2">
        <v>7588</v>
      </c>
      <c r="D578" t="s">
        <v>730</v>
      </c>
      <c r="G578" s="15">
        <v>2.4820000000000002</v>
      </c>
      <c r="J578" s="15"/>
    </row>
    <row r="579" spans="1:17" x14ac:dyDescent="0.2">
      <c r="A579" s="2">
        <v>7610</v>
      </c>
      <c r="D579" t="s">
        <v>674</v>
      </c>
      <c r="G579" s="15">
        <v>1.831</v>
      </c>
      <c r="J579" s="15"/>
    </row>
    <row r="580" spans="1:17" x14ac:dyDescent="0.2">
      <c r="A580" s="2">
        <v>7649</v>
      </c>
      <c r="D580" t="s">
        <v>764</v>
      </c>
      <c r="G580" s="15">
        <v>4.5880000000000001</v>
      </c>
      <c r="H580" s="15">
        <v>0.14110700000000001</v>
      </c>
      <c r="I580" s="16">
        <v>0.123987</v>
      </c>
      <c r="J580" s="15">
        <v>2.968</v>
      </c>
      <c r="Q580" s="19">
        <v>8.3333333333333329E-2</v>
      </c>
    </row>
    <row r="581" spans="1:17" x14ac:dyDescent="0.2">
      <c r="A581" s="2">
        <v>8340</v>
      </c>
      <c r="D581" t="s">
        <v>761</v>
      </c>
      <c r="G581" s="15">
        <v>6.0629999999999997</v>
      </c>
      <c r="H581" s="15">
        <v>0.18499499999999999</v>
      </c>
      <c r="I581" s="16">
        <v>0.16447500000000001</v>
      </c>
      <c r="J581" s="15">
        <v>4.218</v>
      </c>
      <c r="Q581" s="19">
        <v>0.1111111111111111</v>
      </c>
    </row>
    <row r="582" spans="1:17" x14ac:dyDescent="0.2">
      <c r="A582" s="2">
        <v>8978</v>
      </c>
      <c r="D582" t="s">
        <v>833</v>
      </c>
      <c r="G582" s="15">
        <v>2.2080000000000002</v>
      </c>
      <c r="J582" s="15"/>
      <c r="M582" s="1">
        <v>2.2080000000000002</v>
      </c>
      <c r="Q582" s="19">
        <v>7.2222222222222229E-2</v>
      </c>
    </row>
    <row r="583" spans="1:17" x14ac:dyDescent="0.2">
      <c r="A583" s="2">
        <v>9045</v>
      </c>
      <c r="D583" t="s">
        <v>611</v>
      </c>
      <c r="G583" s="15">
        <v>2.012</v>
      </c>
      <c r="J583" s="15"/>
    </row>
    <row r="584" spans="1:17" x14ac:dyDescent="0.2">
      <c r="A584" s="2">
        <v>9655</v>
      </c>
      <c r="D584" t="s">
        <v>642</v>
      </c>
      <c r="G584" s="15">
        <v>5.694</v>
      </c>
      <c r="J584" s="15"/>
    </row>
    <row r="585" spans="1:17" x14ac:dyDescent="0.2">
      <c r="A585" s="2">
        <v>9935</v>
      </c>
      <c r="D585" t="s">
        <v>595</v>
      </c>
      <c r="G585" s="15">
        <v>2.085</v>
      </c>
      <c r="J585" s="15"/>
    </row>
    <row r="586" spans="1:17" x14ac:dyDescent="0.2">
      <c r="A586" s="2">
        <v>9194</v>
      </c>
      <c r="D586" t="s">
        <v>579</v>
      </c>
      <c r="G586" s="15">
        <v>2.3620000000000001</v>
      </c>
      <c r="H586" s="15">
        <v>7.4180999999999997E-2</v>
      </c>
      <c r="I586" s="16">
        <v>6.5727999999999995E-2</v>
      </c>
      <c r="J586" s="15">
        <v>1.6220000000000001</v>
      </c>
      <c r="Q586" s="20" t="s">
        <v>749</v>
      </c>
    </row>
    <row r="587" spans="1:17" x14ac:dyDescent="0.2">
      <c r="A587" s="2">
        <v>10700</v>
      </c>
      <c r="B587" s="2">
        <v>10700</v>
      </c>
      <c r="C587" s="2">
        <v>13857</v>
      </c>
      <c r="D587" t="s">
        <v>831</v>
      </c>
      <c r="G587" s="15">
        <v>3.9180000000000001</v>
      </c>
      <c r="J587" s="15"/>
      <c r="M587" s="1">
        <v>3.9180000000000001</v>
      </c>
      <c r="Q587" s="22">
        <v>0.1673611111111111</v>
      </c>
    </row>
    <row r="588" spans="1:17" x14ac:dyDescent="0.2">
      <c r="A588" s="2">
        <v>11140</v>
      </c>
      <c r="D588" t="s">
        <v>640</v>
      </c>
      <c r="G588" s="15"/>
      <c r="J588" s="15"/>
    </row>
    <row r="589" spans="1:17" x14ac:dyDescent="0.2">
      <c r="A589" s="2">
        <v>11657</v>
      </c>
      <c r="D589" t="s">
        <v>606</v>
      </c>
      <c r="G589" s="15">
        <v>5.976</v>
      </c>
      <c r="J589" s="15"/>
    </row>
    <row r="590" spans="1:17" x14ac:dyDescent="0.2">
      <c r="A590" s="2">
        <v>12847</v>
      </c>
      <c r="B590" s="2">
        <v>12847</v>
      </c>
      <c r="C590" s="2">
        <v>8078</v>
      </c>
      <c r="D590" t="s">
        <v>832</v>
      </c>
      <c r="G590" s="15">
        <v>5.6790000000000003</v>
      </c>
      <c r="J590" s="15"/>
      <c r="M590" s="1">
        <v>5.6790000000000003</v>
      </c>
      <c r="Q590" s="19">
        <v>0.16666666666666666</v>
      </c>
    </row>
    <row r="591" spans="1:17" x14ac:dyDescent="0.2">
      <c r="A591" s="2">
        <v>14219</v>
      </c>
      <c r="D591" t="s">
        <v>636</v>
      </c>
      <c r="G591" s="15">
        <v>2.0870000000000002</v>
      </c>
      <c r="J591" s="15"/>
    </row>
    <row r="592" spans="1:17" x14ac:dyDescent="0.2">
      <c r="A592" s="2">
        <v>14684</v>
      </c>
      <c r="D592" t="s">
        <v>583</v>
      </c>
      <c r="G592" s="15">
        <v>1.506</v>
      </c>
      <c r="J592" s="15"/>
    </row>
    <row r="593" spans="1:17" x14ac:dyDescent="0.2">
      <c r="A593" s="2">
        <v>15418</v>
      </c>
      <c r="D593" t="s">
        <v>615</v>
      </c>
      <c r="G593" s="15">
        <v>0.91088999999999998</v>
      </c>
      <c r="J593" s="15"/>
    </row>
    <row r="594" spans="1:17" x14ac:dyDescent="0.2">
      <c r="A594" s="2">
        <v>15739</v>
      </c>
      <c r="D594" t="s">
        <v>607</v>
      </c>
      <c r="G594" s="15">
        <v>1.871</v>
      </c>
      <c r="J594" s="15"/>
    </row>
    <row r="595" spans="1:17" x14ac:dyDescent="0.2">
      <c r="A595" s="2">
        <v>16543</v>
      </c>
      <c r="B595" s="2">
        <v>16543</v>
      </c>
      <c r="C595" s="2">
        <v>18573</v>
      </c>
      <c r="D595" t="s">
        <v>796</v>
      </c>
      <c r="G595" s="15">
        <v>3.4249999999999998</v>
      </c>
      <c r="J595" s="15"/>
      <c r="M595" s="1">
        <v>3.4249999999999998</v>
      </c>
      <c r="Q595" s="19">
        <v>0.1173611111111111</v>
      </c>
    </row>
    <row r="596" spans="1:17" x14ac:dyDescent="0.2">
      <c r="A596" s="2">
        <v>17811</v>
      </c>
      <c r="D596" t="s">
        <v>633</v>
      </c>
      <c r="G596" s="15">
        <v>1.2130000000000001</v>
      </c>
      <c r="J596" s="15"/>
    </row>
    <row r="597" spans="1:17" x14ac:dyDescent="0.2">
      <c r="A597" s="2">
        <v>18312</v>
      </c>
      <c r="B597" s="2">
        <v>18312</v>
      </c>
      <c r="C597" s="2">
        <v>50775</v>
      </c>
      <c r="D597" t="s">
        <v>792</v>
      </c>
      <c r="G597" s="15">
        <v>1.0680000000000001</v>
      </c>
      <c r="J597" s="15"/>
      <c r="M597" s="1">
        <v>1.0680000000000001</v>
      </c>
      <c r="Q597" s="19">
        <v>0.16180555555555556</v>
      </c>
    </row>
    <row r="598" spans="1:17" x14ac:dyDescent="0.2">
      <c r="A598" s="2">
        <v>18930</v>
      </c>
      <c r="B598" s="2">
        <v>18930</v>
      </c>
      <c r="C598" s="2">
        <v>78052</v>
      </c>
      <c r="D598" t="s">
        <v>830</v>
      </c>
      <c r="G598" s="15">
        <v>0.46637099999999998</v>
      </c>
      <c r="J598" s="15"/>
      <c r="M598" s="15">
        <v>0.46637099999999998</v>
      </c>
      <c r="Q598" s="19">
        <v>0.54583333333333328</v>
      </c>
    </row>
    <row r="599" spans="1:17" x14ac:dyDescent="0.2">
      <c r="A599" s="2">
        <v>20331</v>
      </c>
      <c r="D599" t="s">
        <v>671</v>
      </c>
      <c r="G599" s="15"/>
      <c r="J599" s="15"/>
    </row>
    <row r="600" spans="1:17" x14ac:dyDescent="0.2">
      <c r="A600" s="2">
        <v>20744</v>
      </c>
      <c r="D600" t="s">
        <v>591</v>
      </c>
      <c r="G600" s="15">
        <v>1.9430000000000001</v>
      </c>
      <c r="J600" s="15"/>
    </row>
    <row r="601" spans="1:17" x14ac:dyDescent="0.2">
      <c r="A601" s="2">
        <v>21671</v>
      </c>
      <c r="D601" t="s">
        <v>584</v>
      </c>
      <c r="G601" s="15">
        <v>1.143</v>
      </c>
      <c r="J601" s="15"/>
    </row>
    <row r="602" spans="1:17" x14ac:dyDescent="0.2">
      <c r="A602" s="2">
        <v>25457</v>
      </c>
      <c r="D602" t="s">
        <v>612</v>
      </c>
      <c r="G602" s="15">
        <v>1.218</v>
      </c>
      <c r="J602" s="15"/>
    </row>
    <row r="603" spans="1:17" x14ac:dyDescent="0.2">
      <c r="A603" s="2">
        <v>25984</v>
      </c>
      <c r="B603" s="2">
        <v>25984</v>
      </c>
      <c r="C603" s="2">
        <v>24090</v>
      </c>
      <c r="D603" t="s">
        <v>810</v>
      </c>
      <c r="G603" s="15">
        <v>2.9129999999999998</v>
      </c>
      <c r="J603" s="15"/>
      <c r="M603" s="1">
        <v>2.9129999999999998</v>
      </c>
      <c r="Q603" s="19">
        <v>8.1944444444444445E-2</v>
      </c>
    </row>
    <row r="604" spans="1:17" x14ac:dyDescent="0.2">
      <c r="A604" s="2">
        <v>26530</v>
      </c>
      <c r="D604" t="s">
        <v>616</v>
      </c>
      <c r="G604" s="15">
        <v>0.76245099999999999</v>
      </c>
      <c r="J604" s="15"/>
    </row>
    <row r="605" spans="1:17" x14ac:dyDescent="0.2">
      <c r="A605" s="2">
        <v>26826</v>
      </c>
      <c r="B605" s="2">
        <v>26826</v>
      </c>
      <c r="C605" s="2">
        <v>42719</v>
      </c>
      <c r="D605" t="s">
        <v>829</v>
      </c>
      <c r="G605" s="15">
        <v>1.3540000000000001</v>
      </c>
      <c r="J605" s="15"/>
      <c r="M605" s="1">
        <v>1.3540000000000001</v>
      </c>
      <c r="Q605" s="19">
        <v>0.1277777777777778</v>
      </c>
    </row>
    <row r="606" spans="1:17" x14ac:dyDescent="0.2">
      <c r="A606" s="2">
        <v>29678</v>
      </c>
      <c r="D606" t="s">
        <v>596</v>
      </c>
      <c r="G606" s="15">
        <v>0.554697</v>
      </c>
      <c r="J606" s="15"/>
    </row>
    <row r="607" spans="1:17" x14ac:dyDescent="0.2">
      <c r="A607" s="2">
        <v>33173</v>
      </c>
      <c r="D607" t="s">
        <v>574</v>
      </c>
      <c r="G607" s="15"/>
      <c r="J607" s="15"/>
    </row>
    <row r="608" spans="1:17" x14ac:dyDescent="0.2">
      <c r="A608" s="2">
        <v>26164</v>
      </c>
      <c r="D608" t="s">
        <v>569</v>
      </c>
      <c r="G608" s="15">
        <v>0.789879</v>
      </c>
      <c r="H608" s="15">
        <v>2.7129E-2</v>
      </c>
      <c r="I608" s="16">
        <v>1.7961999999999999E-2</v>
      </c>
      <c r="J608" s="15">
        <v>0.16023499999999999</v>
      </c>
      <c r="Q608" s="19">
        <v>0.20208333333333331</v>
      </c>
    </row>
    <row r="609" spans="1:17" x14ac:dyDescent="0.2">
      <c r="A609" s="2">
        <v>27944</v>
      </c>
      <c r="B609" s="2">
        <v>27944</v>
      </c>
      <c r="C609" s="2">
        <v>33877</v>
      </c>
      <c r="D609" t="s">
        <v>799</v>
      </c>
      <c r="E609" t="s">
        <v>800</v>
      </c>
      <c r="F609" s="2">
        <v>4000</v>
      </c>
      <c r="G609" s="15">
        <v>1.9219999999999999</v>
      </c>
      <c r="J609" s="15"/>
      <c r="M609" s="1">
        <v>1.9219999999999999</v>
      </c>
      <c r="Q609" s="19">
        <v>0.27152777777777776</v>
      </c>
    </row>
    <row r="610" spans="1:17" x14ac:dyDescent="0.2">
      <c r="A610" s="2">
        <v>35336</v>
      </c>
      <c r="B610" s="2">
        <v>35336</v>
      </c>
      <c r="C610" s="2">
        <v>84797</v>
      </c>
      <c r="D610" t="s">
        <v>819</v>
      </c>
      <c r="G610" s="15">
        <v>0.75510100000000002</v>
      </c>
      <c r="J610" s="15"/>
      <c r="M610" s="15">
        <v>0.75510100000000002</v>
      </c>
      <c r="Q610" s="19">
        <v>7.3611111111111113E-2</v>
      </c>
    </row>
    <row r="611" spans="1:17" x14ac:dyDescent="0.2">
      <c r="A611" s="2">
        <v>37029</v>
      </c>
      <c r="B611" s="2">
        <v>37029</v>
      </c>
      <c r="C611" s="2">
        <v>109343</v>
      </c>
      <c r="D611" t="s">
        <v>787</v>
      </c>
      <c r="G611" s="15">
        <v>0.49878899999999998</v>
      </c>
      <c r="J611" s="15"/>
      <c r="M611" s="15">
        <v>0.49878899999999998</v>
      </c>
      <c r="Q611" s="19">
        <v>7.0833333333333331E-2</v>
      </c>
    </row>
    <row r="612" spans="1:17" x14ac:dyDescent="0.2">
      <c r="A612" s="2">
        <v>52176</v>
      </c>
      <c r="B612" s="2">
        <v>52176</v>
      </c>
      <c r="C612" s="2">
        <v>127697</v>
      </c>
      <c r="D612" t="s">
        <v>791</v>
      </c>
      <c r="G612" s="15">
        <v>0.38327699999999998</v>
      </c>
      <c r="J612" s="15"/>
      <c r="M612" s="15">
        <v>0.38327699999999998</v>
      </c>
      <c r="Q612" s="19">
        <v>0.11875000000000001</v>
      </c>
    </row>
    <row r="613" spans="1:17" x14ac:dyDescent="0.2">
      <c r="A613" s="2">
        <v>60917</v>
      </c>
      <c r="B613" s="2">
        <v>60917</v>
      </c>
      <c r="C613" s="2">
        <v>326034</v>
      </c>
      <c r="D613" t="s">
        <v>784</v>
      </c>
      <c r="G613" s="15">
        <v>0.137154</v>
      </c>
      <c r="J613" s="15"/>
      <c r="M613" s="15">
        <v>0.137154</v>
      </c>
      <c r="Q613" s="19">
        <v>6.0416666666666667E-2</v>
      </c>
    </row>
    <row r="614" spans="1:17" x14ac:dyDescent="0.2">
      <c r="A614" s="2">
        <v>61697</v>
      </c>
      <c r="B614" s="2">
        <v>61697</v>
      </c>
      <c r="C614" s="2">
        <v>121842</v>
      </c>
      <c r="D614" t="s">
        <v>782</v>
      </c>
      <c r="G614" s="15">
        <v>0.39068900000000001</v>
      </c>
      <c r="J614" s="15"/>
      <c r="M614" s="15">
        <v>0.39068900000000001</v>
      </c>
      <c r="Q614" s="19">
        <v>0.1173611111111111</v>
      </c>
    </row>
    <row r="615" spans="1:17" x14ac:dyDescent="0.2">
      <c r="A615" s="2">
        <v>73876</v>
      </c>
      <c r="B615" s="2">
        <v>73876</v>
      </c>
      <c r="C615" s="2">
        <v>76451</v>
      </c>
      <c r="D615" t="s">
        <v>805</v>
      </c>
      <c r="G615" s="15">
        <v>0.65510400000000002</v>
      </c>
      <c r="J615" s="15"/>
      <c r="M615" s="15">
        <v>0.65510400000000002</v>
      </c>
      <c r="Q615" s="19">
        <v>6.1111111111111116E-2</v>
      </c>
    </row>
    <row r="616" spans="1:17" x14ac:dyDescent="0.2">
      <c r="A616" s="2">
        <v>82222</v>
      </c>
      <c r="B616" s="2">
        <v>82222</v>
      </c>
      <c r="C616" s="2">
        <v>96800</v>
      </c>
      <c r="D616" t="s">
        <v>798</v>
      </c>
      <c r="G616" s="15">
        <v>0.65190700000000001</v>
      </c>
      <c r="J616" s="15"/>
      <c r="M616" s="15">
        <v>0.65190700000000001</v>
      </c>
      <c r="Q616" s="19">
        <v>9.8611111111111108E-2</v>
      </c>
    </row>
    <row r="617" spans="1:17" x14ac:dyDescent="0.2">
      <c r="A617" s="2">
        <v>83458</v>
      </c>
      <c r="B617" s="2">
        <v>83458</v>
      </c>
      <c r="C617" s="2">
        <v>245028</v>
      </c>
      <c r="D617" t="s">
        <v>785</v>
      </c>
      <c r="G617" s="15">
        <v>0.19157099999999999</v>
      </c>
      <c r="J617" s="15"/>
      <c r="M617" s="15">
        <v>0.19157099999999999</v>
      </c>
      <c r="Q617" s="19">
        <v>4.1666666666666664E-2</v>
      </c>
    </row>
    <row r="618" spans="1:17" x14ac:dyDescent="0.2">
      <c r="A618" s="2">
        <v>98542</v>
      </c>
      <c r="B618" s="2">
        <v>98542</v>
      </c>
      <c r="C618" s="2">
        <v>116137</v>
      </c>
      <c r="D618" t="s">
        <v>824</v>
      </c>
      <c r="G618" s="15">
        <v>0.50777300000000003</v>
      </c>
      <c r="J618" s="15"/>
      <c r="M618" s="15">
        <v>0.50777300000000003</v>
      </c>
      <c r="Q618" s="19">
        <v>0.13333333333333333</v>
      </c>
    </row>
    <row r="619" spans="1:17" x14ac:dyDescent="0.2">
      <c r="A619" s="2">
        <v>115744</v>
      </c>
      <c r="B619" s="2">
        <v>115744</v>
      </c>
      <c r="C619" s="2">
        <v>289102</v>
      </c>
      <c r="D619" t="s">
        <v>806</v>
      </c>
      <c r="G619" s="15">
        <v>0.17391100000000001</v>
      </c>
      <c r="J619" s="15"/>
      <c r="M619" s="14">
        <v>0.17391100000000001</v>
      </c>
      <c r="Q619" s="22">
        <v>6.458333333333334E-2</v>
      </c>
    </row>
    <row r="620" spans="1:17" x14ac:dyDescent="0.2">
      <c r="A620" s="2">
        <v>120338</v>
      </c>
      <c r="B620" s="2">
        <v>120338</v>
      </c>
      <c r="C620" s="2">
        <v>155266</v>
      </c>
      <c r="D620" t="s">
        <v>797</v>
      </c>
      <c r="G620" s="15">
        <v>0.24010600000000001</v>
      </c>
      <c r="J620" s="15"/>
      <c r="M620" s="15">
        <v>0.24010600000000001</v>
      </c>
      <c r="Q620" s="19">
        <v>0.30833333333333335</v>
      </c>
    </row>
    <row r="621" spans="1:17" x14ac:dyDescent="0.2">
      <c r="A621" s="2">
        <v>135127</v>
      </c>
      <c r="B621" s="2">
        <v>135127</v>
      </c>
      <c r="C621" s="2">
        <v>625610</v>
      </c>
      <c r="D621" t="s">
        <v>801</v>
      </c>
      <c r="G621" s="15">
        <v>6.4711000000000005E-2</v>
      </c>
      <c r="J621" s="15"/>
      <c r="M621" s="15">
        <v>6.4711000000000005E-2</v>
      </c>
      <c r="Q621" s="19">
        <v>5.0694444444444452E-2</v>
      </c>
    </row>
    <row r="622" spans="1:17" x14ac:dyDescent="0.2">
      <c r="A622" s="2">
        <v>138955</v>
      </c>
      <c r="B622" s="2">
        <v>138955</v>
      </c>
      <c r="C622" s="2">
        <v>414216</v>
      </c>
      <c r="D622" t="s">
        <v>821</v>
      </c>
      <c r="G622" s="15">
        <v>9.7415000000000002E-2</v>
      </c>
      <c r="J622" s="15"/>
      <c r="M622" s="15">
        <v>9.7415000000000002E-2</v>
      </c>
      <c r="Q622" s="19">
        <v>0.1111111111111111</v>
      </c>
    </row>
    <row r="623" spans="1:17" x14ac:dyDescent="0.2">
      <c r="A623" s="2">
        <v>175073</v>
      </c>
      <c r="B623" s="2">
        <v>175073</v>
      </c>
      <c r="C623" s="2">
        <v>592763</v>
      </c>
      <c r="D623" t="s">
        <v>808</v>
      </c>
      <c r="G623" s="15">
        <v>6.0814E-2</v>
      </c>
      <c r="J623" s="15"/>
      <c r="M623" s="15">
        <v>6.0814E-2</v>
      </c>
      <c r="Q623" s="19">
        <v>5.6250000000000001E-2</v>
      </c>
    </row>
    <row r="624" spans="1:17" x14ac:dyDescent="0.2">
      <c r="A624" s="2">
        <v>183568</v>
      </c>
      <c r="B624" s="2">
        <v>183568</v>
      </c>
      <c r="C624" s="2">
        <v>754802</v>
      </c>
      <c r="D624" t="s">
        <v>817</v>
      </c>
      <c r="G624" s="15">
        <v>5.4674E-2</v>
      </c>
      <c r="J624" s="15"/>
      <c r="M624" s="15">
        <v>5.4670999999999997E-2</v>
      </c>
      <c r="Q624" s="19">
        <v>9.4444444444444442E-2</v>
      </c>
    </row>
    <row r="625" spans="1:17" x14ac:dyDescent="0.2">
      <c r="A625" s="2">
        <v>185850</v>
      </c>
      <c r="B625" s="2">
        <v>185850</v>
      </c>
      <c r="C625" s="2">
        <v>74957</v>
      </c>
      <c r="D625" t="s">
        <v>826</v>
      </c>
      <c r="G625" s="15">
        <v>0.60908600000000002</v>
      </c>
      <c r="J625" s="15"/>
      <c r="M625" s="15">
        <v>0.60908600000000002</v>
      </c>
      <c r="Q625" s="19">
        <v>0.31597222222222221</v>
      </c>
    </row>
    <row r="626" spans="1:17" x14ac:dyDescent="0.2">
      <c r="A626" s="2">
        <v>189602</v>
      </c>
      <c r="B626" s="2">
        <v>189602</v>
      </c>
      <c r="C626" s="2">
        <v>39283</v>
      </c>
      <c r="D626" t="s">
        <v>786</v>
      </c>
      <c r="G626" s="15">
        <v>1.0269999999999999</v>
      </c>
      <c r="J626" s="15"/>
      <c r="M626" s="14">
        <v>1.0269999999999999</v>
      </c>
      <c r="Q626" s="22">
        <v>0.56805555555555554</v>
      </c>
    </row>
    <row r="627" spans="1:17" x14ac:dyDescent="0.2">
      <c r="A627" s="2">
        <v>194991</v>
      </c>
      <c r="B627" s="2">
        <v>194991</v>
      </c>
      <c r="C627" s="2">
        <v>836526</v>
      </c>
      <c r="D627" t="s">
        <v>818</v>
      </c>
      <c r="G627" s="15">
        <v>5.1083999999999997E-2</v>
      </c>
      <c r="J627" s="15"/>
      <c r="M627" s="14">
        <v>5.1083999999999997E-2</v>
      </c>
      <c r="Q627" s="22">
        <v>5.4166666666666669E-2</v>
      </c>
    </row>
    <row r="628" spans="1:17" x14ac:dyDescent="0.2">
      <c r="A628" s="2">
        <v>196044</v>
      </c>
      <c r="B628" s="2">
        <v>196044</v>
      </c>
      <c r="C628" s="2">
        <v>502782</v>
      </c>
      <c r="D628" t="s">
        <v>802</v>
      </c>
      <c r="G628" s="15">
        <v>8.6777999999999994E-2</v>
      </c>
      <c r="J628" s="15"/>
      <c r="M628" s="14">
        <v>8.6777999999999994E-2</v>
      </c>
      <c r="Q628" s="22">
        <v>0.11666666666666665</v>
      </c>
    </row>
    <row r="629" spans="1:17" x14ac:dyDescent="0.2">
      <c r="A629" s="2">
        <v>215398</v>
      </c>
      <c r="B629" s="2">
        <v>215398</v>
      </c>
      <c r="C629" s="2">
        <v>745454</v>
      </c>
      <c r="D629" t="s">
        <v>816</v>
      </c>
      <c r="G629" s="15">
        <v>6.0047999999999997E-2</v>
      </c>
      <c r="J629" s="15"/>
      <c r="M629" s="14">
        <v>6.0047999999999997E-2</v>
      </c>
      <c r="Q629" s="22">
        <v>6.25E-2</v>
      </c>
    </row>
    <row r="630" spans="1:17" x14ac:dyDescent="0.2">
      <c r="A630" s="2">
        <v>276728</v>
      </c>
      <c r="B630" s="2">
        <v>276728</v>
      </c>
      <c r="C630" s="2">
        <v>229666</v>
      </c>
      <c r="D630" t="s">
        <v>793</v>
      </c>
      <c r="G630" s="15">
        <v>0.221168</v>
      </c>
      <c r="J630" s="15"/>
      <c r="M630" s="14">
        <v>0.221168</v>
      </c>
      <c r="Q630" s="22">
        <v>0.15</v>
      </c>
    </row>
    <row r="631" spans="1:17" x14ac:dyDescent="0.2">
      <c r="A631" s="2">
        <v>349464</v>
      </c>
      <c r="B631" s="2">
        <v>349464</v>
      </c>
      <c r="C631" s="2">
        <v>1439813</v>
      </c>
      <c r="D631" t="s">
        <v>790</v>
      </c>
      <c r="G631" s="15">
        <v>2.6478000000000002E-2</v>
      </c>
      <c r="J631" s="15"/>
      <c r="M631" s="14">
        <v>2.6478000000000002E-2</v>
      </c>
      <c r="Q631" s="22">
        <v>5.5555555555555552E-2</v>
      </c>
    </row>
    <row r="632" spans="1:17" x14ac:dyDescent="0.2">
      <c r="A632" s="2">
        <v>389962</v>
      </c>
      <c r="B632" s="2">
        <v>389962</v>
      </c>
      <c r="C632" s="2">
        <v>688196</v>
      </c>
      <c r="D632" t="s">
        <v>825</v>
      </c>
      <c r="G632" s="15">
        <v>6.9675000000000001E-2</v>
      </c>
      <c r="J632" s="15"/>
      <c r="M632" s="14">
        <v>6.9675000000000001E-2</v>
      </c>
      <c r="Q632" s="22">
        <v>2.8472222222222222E-2</v>
      </c>
    </row>
    <row r="633" spans="1:17" x14ac:dyDescent="0.2">
      <c r="A633" s="2">
        <v>417182</v>
      </c>
      <c r="B633" s="2">
        <v>417182</v>
      </c>
      <c r="C633" s="2">
        <v>1072306</v>
      </c>
      <c r="D633" t="s">
        <v>789</v>
      </c>
      <c r="G633" s="15">
        <v>2.2433000000000002E-2</v>
      </c>
      <c r="J633" s="15"/>
      <c r="M633" s="14">
        <v>2.2433000000000002E-2</v>
      </c>
      <c r="Q633" s="22">
        <v>0.51597222222222217</v>
      </c>
    </row>
    <row r="634" spans="1:17" x14ac:dyDescent="0.2">
      <c r="A634" s="2">
        <v>420515</v>
      </c>
      <c r="B634" s="2">
        <v>420515</v>
      </c>
      <c r="C634" s="2">
        <v>988217</v>
      </c>
      <c r="D634" t="s">
        <v>812</v>
      </c>
      <c r="G634" s="15">
        <v>3.8457999999999999E-2</v>
      </c>
      <c r="J634" s="15"/>
      <c r="M634" s="14">
        <v>3.8457999999999999E-2</v>
      </c>
      <c r="Q634" s="22">
        <v>0.11388888888888889</v>
      </c>
    </row>
    <row r="635" spans="1:17" x14ac:dyDescent="0.2">
      <c r="A635" s="2">
        <v>444657</v>
      </c>
      <c r="B635" s="2">
        <v>444657</v>
      </c>
      <c r="C635" s="2">
        <v>527587</v>
      </c>
      <c r="D635" t="s">
        <v>795</v>
      </c>
      <c r="G635" s="15">
        <v>6.6556000000000004E-2</v>
      </c>
      <c r="J635" s="15"/>
      <c r="M635" s="14">
        <v>6.6556000000000004E-2</v>
      </c>
      <c r="Q635" s="22">
        <v>0.2590277777777778</v>
      </c>
    </row>
    <row r="636" spans="1:17" x14ac:dyDescent="0.2">
      <c r="A636" s="2">
        <v>450134</v>
      </c>
      <c r="B636" s="2">
        <v>450134</v>
      </c>
      <c r="C636" s="2">
        <v>1693143</v>
      </c>
      <c r="D636" t="s">
        <v>820</v>
      </c>
      <c r="G636" s="15">
        <v>1.7038000000000001E-2</v>
      </c>
      <c r="J636" s="15"/>
      <c r="M636" s="14">
        <v>1.7038000000000001E-2</v>
      </c>
      <c r="Q636" s="22">
        <v>0.13749999999999998</v>
      </c>
    </row>
    <row r="637" spans="1:17" x14ac:dyDescent="0.2">
      <c r="A637" s="2">
        <v>488080</v>
      </c>
      <c r="B637" s="2">
        <v>488080</v>
      </c>
      <c r="C637" s="2">
        <v>1747853</v>
      </c>
      <c r="D637" t="s">
        <v>813</v>
      </c>
      <c r="G637" s="15">
        <v>2.2540000000000001E-2</v>
      </c>
      <c r="J637" s="15"/>
      <c r="M637" s="14">
        <v>2.2540000000000001E-2</v>
      </c>
      <c r="Q637" s="22">
        <v>3.888888888888889E-2</v>
      </c>
    </row>
    <row r="638" spans="1:17" x14ac:dyDescent="0.2">
      <c r="A638" s="2">
        <v>535575</v>
      </c>
      <c r="B638" s="2">
        <v>535575</v>
      </c>
      <c r="C638" s="2">
        <v>1793208</v>
      </c>
      <c r="D638" t="s">
        <v>809</v>
      </c>
      <c r="G638" s="15">
        <v>1.9136E-2</v>
      </c>
      <c r="J638" s="15"/>
      <c r="M638" s="14">
        <v>1.9136E-2</v>
      </c>
      <c r="Q638" s="22">
        <v>5.6250000000000001E-2</v>
      </c>
    </row>
    <row r="639" spans="1:17" x14ac:dyDescent="0.2">
      <c r="A639" s="2">
        <v>591842</v>
      </c>
      <c r="B639" s="2">
        <v>591842</v>
      </c>
      <c r="C639" s="2">
        <v>79970</v>
      </c>
      <c r="D639" t="s">
        <v>788</v>
      </c>
      <c r="G639" s="15">
        <v>0.55719300000000005</v>
      </c>
      <c r="J639" s="15"/>
      <c r="M639" s="14">
        <v>0.55719300000000005</v>
      </c>
      <c r="Q639" s="22">
        <v>0.80763888888888891</v>
      </c>
    </row>
    <row r="640" spans="1:17" x14ac:dyDescent="0.2">
      <c r="A640" s="2">
        <v>625185</v>
      </c>
      <c r="B640" s="2">
        <v>625185</v>
      </c>
      <c r="C640" s="2">
        <v>1054681</v>
      </c>
      <c r="D640" t="s">
        <v>822</v>
      </c>
      <c r="G640" s="15">
        <v>4.0629999999999999E-2</v>
      </c>
      <c r="J640" s="15"/>
      <c r="M640" s="14">
        <v>4.0629999999999999E-2</v>
      </c>
      <c r="Q640" s="22">
        <v>0.11875000000000001</v>
      </c>
    </row>
    <row r="641" spans="1:17" x14ac:dyDescent="0.2">
      <c r="A641" s="2">
        <v>634589</v>
      </c>
      <c r="B641" s="2">
        <v>184541</v>
      </c>
      <c r="C641" s="2">
        <v>338704</v>
      </c>
      <c r="D641" t="s">
        <v>575</v>
      </c>
      <c r="G641" s="15">
        <v>0.41208099999999998</v>
      </c>
      <c r="H641" s="15">
        <v>1.089E-2</v>
      </c>
      <c r="I641" s="16">
        <v>1.0588E-2</v>
      </c>
      <c r="J641" s="15">
        <v>0.23796300000000001</v>
      </c>
      <c r="M641" s="14">
        <v>0.15287899999999999</v>
      </c>
      <c r="Q641" s="22">
        <v>2.4305555555555556E-2</v>
      </c>
    </row>
    <row r="642" spans="1:17" x14ac:dyDescent="0.2">
      <c r="A642" s="2">
        <v>721786</v>
      </c>
      <c r="B642" s="2">
        <v>721786</v>
      </c>
      <c r="C642" s="2">
        <v>2565701</v>
      </c>
      <c r="D642" t="s">
        <v>794</v>
      </c>
      <c r="G642" s="15">
        <v>1.1689E-2</v>
      </c>
      <c r="J642" s="15"/>
      <c r="M642" s="14">
        <v>1.1689E-2</v>
      </c>
      <c r="Q642" s="22">
        <v>0.14444444444444446</v>
      </c>
    </row>
    <row r="643" spans="1:17" x14ac:dyDescent="0.2">
      <c r="A643" s="2">
        <v>856281</v>
      </c>
      <c r="B643" s="2">
        <v>856281</v>
      </c>
      <c r="C643" s="2">
        <v>1743104</v>
      </c>
      <c r="D643" t="s">
        <v>803</v>
      </c>
      <c r="G643" s="15">
        <v>1.9585000000000002E-2</v>
      </c>
      <c r="J643" s="15"/>
      <c r="M643" s="14">
        <v>1.9585000000000002E-2</v>
      </c>
      <c r="Q643" s="22">
        <v>9.375E-2</v>
      </c>
    </row>
    <row r="644" spans="1:17" x14ac:dyDescent="0.2">
      <c r="A644" s="2">
        <v>1469139</v>
      </c>
      <c r="B644" s="2">
        <v>1051876</v>
      </c>
      <c r="C644" s="2">
        <v>1051876</v>
      </c>
      <c r="D644" t="s">
        <v>811</v>
      </c>
      <c r="G644" s="15">
        <v>3.5132999999999998E-2</v>
      </c>
      <c r="J644" s="15"/>
      <c r="M644" s="14">
        <v>3.5132999999999998E-2</v>
      </c>
      <c r="Q644" s="22">
        <v>6.1805555555555558E-2</v>
      </c>
    </row>
    <row r="645" spans="1:17" x14ac:dyDescent="0.2">
      <c r="A645" s="2">
        <v>1483016</v>
      </c>
      <c r="B645" s="2">
        <v>1483016</v>
      </c>
      <c r="C645" s="2">
        <v>671115</v>
      </c>
      <c r="D645" t="s">
        <v>807</v>
      </c>
      <c r="G645" s="15">
        <v>4.1541000000000002E-2</v>
      </c>
      <c r="J645" s="15"/>
      <c r="M645" s="14">
        <v>4.1541000000000002E-2</v>
      </c>
      <c r="Q645" s="22">
        <v>0.21111111111111111</v>
      </c>
    </row>
    <row r="646" spans="1:17" x14ac:dyDescent="0.2">
      <c r="A646" s="2">
        <v>1547901</v>
      </c>
      <c r="B646" s="2">
        <v>1547901</v>
      </c>
      <c r="C646" s="2">
        <v>626499</v>
      </c>
      <c r="D646" t="s">
        <v>804</v>
      </c>
      <c r="G646" s="15">
        <v>5.3029E-2</v>
      </c>
      <c r="J646" s="15"/>
      <c r="M646" s="14">
        <v>5.3029E-2</v>
      </c>
      <c r="Q646" s="22">
        <v>5.7638888888888885E-2</v>
      </c>
    </row>
    <row r="647" spans="1:17" x14ac:dyDescent="0.2">
      <c r="A647" s="2">
        <v>1892396</v>
      </c>
      <c r="B647" s="2">
        <v>1892396</v>
      </c>
      <c r="C647" s="2">
        <v>2413965</v>
      </c>
      <c r="D647" t="s">
        <v>834</v>
      </c>
      <c r="G647" s="15">
        <v>1.1807E-2</v>
      </c>
      <c r="J647" s="15"/>
      <c r="M647" s="14">
        <v>1.1807E-2</v>
      </c>
      <c r="Q647" s="22">
        <v>0.10486111111111111</v>
      </c>
    </row>
    <row r="648" spans="1:17" x14ac:dyDescent="0.2">
      <c r="D648" t="s">
        <v>570</v>
      </c>
      <c r="G648" s="15"/>
      <c r="J648" s="15"/>
    </row>
  </sheetData>
  <dataConsolidate/>
  <mergeCells count="1">
    <mergeCell ref="O1:P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zoomScale="104" workbookViewId="0">
      <selection activeCell="J19" sqref="J1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2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2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2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2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2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2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2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2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2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2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2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2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2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2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2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2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2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2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2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2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2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2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2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2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2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2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2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2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2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2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2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2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2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2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2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2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2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2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2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2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2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2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2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2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2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2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2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2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2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2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2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2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2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2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2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2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2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2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2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2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2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2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2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2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2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2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2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2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2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2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2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2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2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2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2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2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2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2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2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2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2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2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2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2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2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2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2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2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2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2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2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2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2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2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2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2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2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2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2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2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2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2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2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2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2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2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2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2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2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2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2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2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2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2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2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2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2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2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2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2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2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2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2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2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2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2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2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2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2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2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2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2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2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2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2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2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2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2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2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2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2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2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2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2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2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2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2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2023-07-24T12:36:19Z</dcterms:modified>
</cp:coreProperties>
</file>