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D6B13923-84FD-487A-8D12-837BA59FFEDD}" xr6:coauthVersionLast="47" xr6:coauthVersionMax="47" xr10:uidLastSave="{00000000-0000-0000-0000-000000000000}"/>
  <bookViews>
    <workbookView xWindow="9570" yWindow="1875" windowWidth="18810" windowHeight="13215" xr2:uid="{C183CDF4-DAE3-4211-A459-AE4D0C2142B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C25" i="2"/>
  <c r="C23" i="2"/>
  <c r="C18" i="2"/>
  <c r="C20" i="2" s="1"/>
  <c r="G27" i="2"/>
  <c r="G25" i="2"/>
  <c r="D27" i="2"/>
  <c r="D25" i="2"/>
  <c r="D23" i="2"/>
  <c r="D18" i="2"/>
  <c r="D20" i="2" s="1"/>
  <c r="H27" i="2"/>
  <c r="H25" i="2"/>
  <c r="E27" i="2"/>
  <c r="E25" i="2"/>
  <c r="E23" i="2"/>
  <c r="I27" i="2"/>
  <c r="I25" i="2"/>
  <c r="E18" i="2"/>
  <c r="I31" i="2" s="1"/>
  <c r="K10" i="2"/>
  <c r="R18" i="2"/>
  <c r="R20" i="2" s="1"/>
  <c r="Q18" i="2"/>
  <c r="Q20" i="2" s="1"/>
  <c r="J18" i="2"/>
  <c r="J20" i="2" s="1"/>
  <c r="I18" i="2"/>
  <c r="I20" i="2" s="1"/>
  <c r="H18" i="2"/>
  <c r="H20" i="2" s="1"/>
  <c r="G18" i="2"/>
  <c r="G20" i="2" s="1"/>
  <c r="F18" i="2"/>
  <c r="F20" i="2" s="1"/>
  <c r="K18" i="2"/>
  <c r="K31" i="2" s="1"/>
  <c r="K47" i="2"/>
  <c r="K46" i="2"/>
  <c r="K43" i="2"/>
  <c r="K45" i="2"/>
  <c r="K44" i="2"/>
  <c r="K40" i="2"/>
  <c r="K39" i="2"/>
  <c r="K33" i="2"/>
  <c r="K41" i="2" s="1"/>
  <c r="Q27" i="2"/>
  <c r="Q25" i="2"/>
  <c r="R27" i="2"/>
  <c r="R25" i="2"/>
  <c r="Q23" i="2"/>
  <c r="R23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F27" i="2"/>
  <c r="F25" i="2"/>
  <c r="F23" i="2"/>
  <c r="J27" i="2"/>
  <c r="J25" i="2"/>
  <c r="J23" i="2"/>
  <c r="I23" i="2"/>
  <c r="H23" i="2"/>
  <c r="G23" i="2"/>
  <c r="L4" i="1"/>
  <c r="L7" i="1" s="1"/>
  <c r="K27" i="2"/>
  <c r="K25" i="2"/>
  <c r="K23" i="2"/>
  <c r="C24" i="2" l="1"/>
  <c r="C26" i="2" s="1"/>
  <c r="C28" i="2" s="1"/>
  <c r="G31" i="2"/>
  <c r="D24" i="2"/>
  <c r="D26" i="2" s="1"/>
  <c r="D28" i="2" s="1"/>
  <c r="H31" i="2"/>
  <c r="E20" i="2"/>
  <c r="E24" i="2"/>
  <c r="E26" i="2" s="1"/>
  <c r="E28" i="2" s="1"/>
  <c r="K49" i="2"/>
  <c r="J31" i="2"/>
  <c r="Q24" i="2"/>
  <c r="Q26" i="2" s="1"/>
  <c r="Q28" i="2" s="1"/>
  <c r="H24" i="2"/>
  <c r="H26" i="2" s="1"/>
  <c r="H28" i="2" s="1"/>
  <c r="I24" i="2"/>
  <c r="I26" i="2" s="1"/>
  <c r="I28" i="2" s="1"/>
  <c r="R24" i="2"/>
  <c r="R26" i="2" s="1"/>
  <c r="R28" i="2" s="1"/>
  <c r="J24" i="2"/>
  <c r="J26" i="2" s="1"/>
  <c r="J28" i="2" s="1"/>
  <c r="R31" i="2"/>
  <c r="K20" i="2"/>
  <c r="K24" i="2" s="1"/>
  <c r="K26" i="2" s="1"/>
  <c r="K28" i="2" s="1"/>
  <c r="F24" i="2"/>
  <c r="F26" i="2" s="1"/>
  <c r="F28" i="2" s="1"/>
  <c r="G24" i="2"/>
  <c r="G26" i="2" s="1"/>
  <c r="G28" i="2" s="1"/>
</calcChain>
</file>

<file path=xl/sharedStrings.xml><?xml version="1.0" encoding="utf-8"?>
<sst xmlns="http://schemas.openxmlformats.org/spreadsheetml/2006/main" count="88" uniqueCount="84">
  <si>
    <t>Price HKD</t>
  </si>
  <si>
    <t>Shares</t>
  </si>
  <si>
    <t>MC HKD</t>
  </si>
  <si>
    <t>Cash HKD</t>
  </si>
  <si>
    <t>Debt HKD</t>
  </si>
  <si>
    <t>EV HKD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</si>
  <si>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</si>
  <si>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</si>
  <si>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</si>
  <si>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</si>
  <si>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</si>
  <si>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</si>
  <si>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</si>
  <si>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</si>
  <si>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</si>
  <si>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</si>
  <si>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</si>
  <si>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</si>
  <si>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</si>
  <si>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</si>
  <si>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VAS</t>
  </si>
  <si>
    <t>Ads</t>
  </si>
  <si>
    <t>Fintech</t>
  </si>
  <si>
    <t>Others</t>
  </si>
  <si>
    <t>COGS</t>
  </si>
  <si>
    <t>Gross Profit</t>
  </si>
  <si>
    <t>G&amp;A</t>
  </si>
  <si>
    <t>S&amp;M</t>
  </si>
  <si>
    <t>Operating Expenses</t>
  </si>
  <si>
    <t>Operating Income</t>
  </si>
  <si>
    <t>Net Income</t>
  </si>
  <si>
    <t>Taxes</t>
  </si>
  <si>
    <t>Pretax Income</t>
  </si>
  <si>
    <t>Interest Income</t>
  </si>
  <si>
    <t>Non-IFRS NI</t>
  </si>
  <si>
    <t>Revenue Growth</t>
  </si>
  <si>
    <t>Cash</t>
  </si>
  <si>
    <t>AR</t>
  </si>
  <si>
    <t>Inventories</t>
  </si>
  <si>
    <t>DT</t>
  </si>
  <si>
    <t>Prepayments</t>
  </si>
  <si>
    <t>Assets</t>
  </si>
  <si>
    <t>Goodwill</t>
  </si>
  <si>
    <t>PP&amp;E</t>
  </si>
  <si>
    <t>Right of Use</t>
  </si>
  <si>
    <t>Debt</t>
  </si>
  <si>
    <t>AP</t>
  </si>
  <si>
    <t>Other</t>
  </si>
  <si>
    <t>Lease</t>
  </si>
  <si>
    <t>DR</t>
  </si>
  <si>
    <t>SE</t>
  </si>
  <si>
    <t>L+SE</t>
  </si>
  <si>
    <t>Mini Programs</t>
  </si>
  <si>
    <t>Tencent Meeting</t>
  </si>
  <si>
    <t>WeCom</t>
  </si>
  <si>
    <t xml:space="preserve">  Mobile Games</t>
  </si>
  <si>
    <t xml:space="preserve">  PC Games</t>
  </si>
  <si>
    <t xml:space="preserve">  Domestic Games</t>
  </si>
  <si>
    <t xml:space="preserve">  International Games</t>
  </si>
  <si>
    <t>Games</t>
  </si>
  <si>
    <t>League of Legends: Wild Rift</t>
  </si>
  <si>
    <t>Fight of the Golden Spatula</t>
  </si>
  <si>
    <t>Moonlight Blade Mobile</t>
  </si>
  <si>
    <t>Call of Duty Mobile</t>
  </si>
  <si>
    <t>Valorant</t>
  </si>
  <si>
    <t>Clash of Clans</t>
  </si>
  <si>
    <t>PUBG Mobile</t>
  </si>
  <si>
    <t xml:space="preserve">  Other VAS (Social)</t>
  </si>
  <si>
    <t xml:space="preserve">  Social Networks</t>
  </si>
  <si>
    <t>Sogou</t>
  </si>
  <si>
    <t>WeChat</t>
  </si>
  <si>
    <t>Tencent News</t>
  </si>
  <si>
    <t>Tencent Video</t>
  </si>
  <si>
    <t>Weixin</t>
  </si>
  <si>
    <t>WeChat MAU</t>
  </si>
  <si>
    <t>QQ MAU</t>
  </si>
  <si>
    <t>QQ</t>
  </si>
  <si>
    <t>Fee-based Subs</t>
  </si>
  <si>
    <t>Honour of Kings</t>
  </si>
  <si>
    <t>Peacekeeper Elite</t>
  </si>
  <si>
    <t>Return to Empire</t>
  </si>
  <si>
    <t>Dune Spice Wars</t>
  </si>
  <si>
    <t>Apex Legends Mobile (EA)</t>
  </si>
  <si>
    <t>VOD PaaS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</si>
</sst>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0</xdr:row>
      <xdr:rowOff>0</xdr:rowOff>
    </xdr:from>
    <xdr:to>
      <xdr:col>18</xdr:col>
      <xdr:colOff>38100</xdr:colOff>
      <xdr:row>56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5A4F99-8EE0-E79A-7850-D5C422B1BE16}"/>
            </a:ext>
          </a:extLst>
        </xdr:cNvPr>
        <xdr:cNvCxnSpPr/>
      </xdr:nvCxnSpPr>
      <xdr:spPr>
        <a:xfrm>
          <a:off x="11325225" y="0"/>
          <a:ext cx="0" cy="7334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0</xdr:row>
      <xdr:rowOff>0</xdr:rowOff>
    </xdr:from>
    <xdr:to>
      <xdr:col>11</xdr:col>
      <xdr:colOff>57150</xdr:colOff>
      <xdr:row>56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C37404-0B9D-42EE-A8BE-34841170FFE3}"/>
            </a:ext>
          </a:extLst>
        </xdr:cNvPr>
        <xdr:cNvCxnSpPr/>
      </xdr:nvCxnSpPr>
      <xdr:spPr>
        <a:xfrm>
          <a:off x="7077075" y="0"/>
          <a:ext cx="0" cy="7334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D774-2E12-4746-88E6-1A6120E6AF7B}">
  <dimension ref="B2:M26"/>
  <sheetViews>
    <sheetView tabSelected="1" workbookViewId="0">
      <selection activeCell="L3" sqref="L3"/>
    </sheetView>
  </sheetViews>
  <sheetFormatPr defaultRowHeight="12.75" x14ac:dyDescent="0.2"/>
  <cols>
    <col min="11" max="11" width="10.85546875" customWidth="1"/>
  </cols>
  <sheetData>
    <row r="2" spans="2:13" x14ac:dyDescent="0.2">
      <c r="B2" s="12" t="s">
        <v>59</v>
      </c>
      <c r="K2" t="s">
        <v>0</v>
      </c>
      <c r="L2" s="1">
        <v>325</v>
      </c>
    </row>
    <row r="3" spans="2:13" x14ac:dyDescent="0.2">
      <c r="B3" t="s">
        <v>78</v>
      </c>
      <c r="K3" t="s">
        <v>1</v>
      </c>
      <c r="L3" s="3">
        <v>9.5380000000000003</v>
      </c>
      <c r="M3" s="2" t="s">
        <v>6</v>
      </c>
    </row>
    <row r="4" spans="2:13" x14ac:dyDescent="0.2">
      <c r="B4" t="s">
        <v>79</v>
      </c>
      <c r="K4" t="s">
        <v>2</v>
      </c>
      <c r="L4" s="3">
        <f>L2*L3</f>
        <v>3099.85</v>
      </c>
    </row>
    <row r="5" spans="2:13" x14ac:dyDescent="0.2">
      <c r="B5" t="s">
        <v>60</v>
      </c>
      <c r="K5" t="s">
        <v>3</v>
      </c>
      <c r="L5" s="3">
        <v>1086</v>
      </c>
      <c r="M5" s="2" t="s">
        <v>6</v>
      </c>
    </row>
    <row r="6" spans="2:13" x14ac:dyDescent="0.2">
      <c r="B6" t="s">
        <v>61</v>
      </c>
      <c r="K6" t="s">
        <v>4</v>
      </c>
      <c r="L6" s="3">
        <v>324</v>
      </c>
      <c r="M6" s="2" t="s">
        <v>6</v>
      </c>
    </row>
    <row r="7" spans="2:13" x14ac:dyDescent="0.2">
      <c r="B7" t="s">
        <v>62</v>
      </c>
      <c r="K7" t="s">
        <v>5</v>
      </c>
      <c r="L7" s="3">
        <f>L4-L5+L6</f>
        <v>2337.85</v>
      </c>
    </row>
    <row r="8" spans="2:13" x14ac:dyDescent="0.2">
      <c r="B8" t="s">
        <v>63</v>
      </c>
    </row>
    <row r="9" spans="2:13" x14ac:dyDescent="0.2">
      <c r="B9" t="s">
        <v>64</v>
      </c>
    </row>
    <row r="10" spans="2:13" x14ac:dyDescent="0.2">
      <c r="B10" t="s">
        <v>65</v>
      </c>
    </row>
    <row r="11" spans="2:13" x14ac:dyDescent="0.2">
      <c r="B11" t="s">
        <v>66</v>
      </c>
    </row>
    <row r="12" spans="2:13" x14ac:dyDescent="0.2">
      <c r="B12" t="s">
        <v>80</v>
      </c>
    </row>
    <row r="13" spans="2:13" x14ac:dyDescent="0.2">
      <c r="B13" t="s">
        <v>81</v>
      </c>
    </row>
    <row r="14" spans="2:13" x14ac:dyDescent="0.2">
      <c r="B14" t="s">
        <v>82</v>
      </c>
    </row>
    <row r="16" spans="2:13" x14ac:dyDescent="0.2">
      <c r="B16" s="12" t="s">
        <v>47</v>
      </c>
    </row>
    <row r="17" spans="2:2" x14ac:dyDescent="0.2">
      <c r="B17" t="s">
        <v>69</v>
      </c>
    </row>
    <row r="18" spans="2:2" x14ac:dyDescent="0.2">
      <c r="B18" t="s">
        <v>70</v>
      </c>
    </row>
    <row r="19" spans="2:2" x14ac:dyDescent="0.2">
      <c r="B19" t="s">
        <v>52</v>
      </c>
    </row>
    <row r="20" spans="2:2" x14ac:dyDescent="0.2">
      <c r="B20" t="s">
        <v>53</v>
      </c>
    </row>
    <row r="21" spans="2:2" x14ac:dyDescent="0.2">
      <c r="B21" t="s">
        <v>54</v>
      </c>
    </row>
    <row r="22" spans="2:2" x14ac:dyDescent="0.2">
      <c r="B22" t="s">
        <v>71</v>
      </c>
    </row>
    <row r="23" spans="2:2" x14ac:dyDescent="0.2">
      <c r="B23" t="s">
        <v>72</v>
      </c>
    </row>
    <row r="24" spans="2:2" x14ac:dyDescent="0.2">
      <c r="B24" t="s">
        <v>73</v>
      </c>
    </row>
    <row r="25" spans="2:2" x14ac:dyDescent="0.2">
      <c r="B25" t="s">
        <v>76</v>
      </c>
    </row>
    <row r="26" spans="2:2" x14ac:dyDescent="0.2">
      <c r="B2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D08-E52C-4128-A040-0E26B040CE26}">
  <dimension ref="A1:AF49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P31" sqref="P31"/>
    </sheetView>
  </sheetViews>
  <sheetFormatPr defaultRowHeight="12.75" x14ac:dyDescent="0.2"/>
  <cols>
    <col min="1" max="1" width="5" bestFit="1" customWidth="1"/>
    <col min="2" max="2" width="18.85546875" customWidth="1"/>
    <col min="3" max="14" width="9.140625" style="2"/>
  </cols>
  <sheetData>
    <row r="1" spans="1:32" x14ac:dyDescent="0.2">
      <c r="A1" s="7" t="s">
        <v>7</v>
      </c>
    </row>
    <row r="2" spans="1:32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6</v>
      </c>
      <c r="L2" s="2" t="s">
        <v>17</v>
      </c>
      <c r="M2" s="2" t="s">
        <v>18</v>
      </c>
      <c r="N2" s="2" t="s">
        <v>19</v>
      </c>
      <c r="Q2">
        <v>2020</v>
      </c>
      <c r="R2">
        <f>Q2+1</f>
        <v>2021</v>
      </c>
      <c r="S2">
        <f t="shared" ref="S2:AF2" si="0">R2+1</f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</row>
    <row r="3" spans="1:32" s="3" customFormat="1" x14ac:dyDescent="0.2">
      <c r="B3" s="3" t="s">
        <v>74</v>
      </c>
      <c r="C3" s="4"/>
      <c r="D3" s="4"/>
      <c r="E3" s="4">
        <v>1251.4000000000001</v>
      </c>
      <c r="F3" s="4"/>
      <c r="G3" s="4">
        <v>1241.5999999999999</v>
      </c>
      <c r="H3" s="4">
        <v>1251.4000000000001</v>
      </c>
      <c r="I3" s="4">
        <v>1262.5999999999999</v>
      </c>
      <c r="J3" s="4">
        <v>1268.2</v>
      </c>
      <c r="K3" s="4">
        <v>1288.3</v>
      </c>
      <c r="L3" s="4"/>
      <c r="M3" s="4"/>
      <c r="N3" s="4"/>
    </row>
    <row r="4" spans="1:32" s="3" customFormat="1" x14ac:dyDescent="0.2">
      <c r="B4" s="3" t="s">
        <v>75</v>
      </c>
      <c r="C4" s="4"/>
      <c r="D4" s="4"/>
      <c r="E4" s="4">
        <v>617.4</v>
      </c>
      <c r="F4" s="4"/>
      <c r="G4" s="4">
        <v>606.4</v>
      </c>
      <c r="H4" s="4">
        <v>590.9</v>
      </c>
      <c r="I4" s="4">
        <v>573.70000000000005</v>
      </c>
      <c r="J4" s="4">
        <v>552.1</v>
      </c>
      <c r="K4" s="4">
        <v>563.79999999999995</v>
      </c>
      <c r="L4" s="4"/>
      <c r="M4" s="4"/>
      <c r="N4" s="4"/>
    </row>
    <row r="5" spans="1:32" s="3" customFormat="1" x14ac:dyDescent="0.2">
      <c r="B5" s="3" t="s">
        <v>77</v>
      </c>
      <c r="C5" s="4"/>
      <c r="D5" s="4"/>
      <c r="E5" s="4">
        <v>213.4</v>
      </c>
      <c r="F5" s="4"/>
      <c r="G5" s="4">
        <v>225.7</v>
      </c>
      <c r="H5" s="4">
        <v>229.4</v>
      </c>
      <c r="I5" s="4">
        <v>235.4</v>
      </c>
      <c r="J5" s="4">
        <v>236.3</v>
      </c>
      <c r="K5" s="4">
        <v>239.1</v>
      </c>
      <c r="L5" s="4"/>
      <c r="M5" s="4"/>
      <c r="N5" s="4"/>
    </row>
    <row r="7" spans="1:32" s="3" customFormat="1" x14ac:dyDescent="0.2">
      <c r="B7" s="3" t="s">
        <v>20</v>
      </c>
      <c r="C7" s="4">
        <v>62429</v>
      </c>
      <c r="D7" s="4">
        <v>65002</v>
      </c>
      <c r="E7" s="4">
        <v>69802</v>
      </c>
      <c r="F7" s="4">
        <v>66979</v>
      </c>
      <c r="G7" s="4">
        <v>72443</v>
      </c>
      <c r="H7" s="4">
        <v>72013</v>
      </c>
      <c r="I7" s="4">
        <v>75203</v>
      </c>
      <c r="J7" s="4">
        <v>71913</v>
      </c>
      <c r="K7" s="4">
        <v>72738</v>
      </c>
      <c r="L7" s="4"/>
      <c r="M7" s="4"/>
      <c r="N7" s="4"/>
      <c r="Q7" s="3">
        <v>264212</v>
      </c>
      <c r="R7" s="3">
        <v>291572</v>
      </c>
    </row>
    <row r="8" spans="1:32" s="3" customFormat="1" x14ac:dyDescent="0.2">
      <c r="B8" s="3" t="s">
        <v>55</v>
      </c>
      <c r="C8" s="4"/>
      <c r="D8" s="4"/>
      <c r="E8" s="4"/>
      <c r="F8" s="4"/>
      <c r="G8" s="4"/>
      <c r="H8" s="4"/>
      <c r="I8" s="4"/>
      <c r="J8" s="4"/>
      <c r="K8" s="4">
        <v>40300</v>
      </c>
      <c r="L8" s="4"/>
      <c r="M8" s="4"/>
      <c r="N8" s="4"/>
    </row>
    <row r="9" spans="1:32" s="3" customFormat="1" x14ac:dyDescent="0.2">
      <c r="B9" s="3" t="s">
        <v>56</v>
      </c>
      <c r="C9" s="4"/>
      <c r="D9" s="4"/>
      <c r="E9" s="4"/>
      <c r="F9" s="4"/>
      <c r="G9" s="4"/>
      <c r="H9" s="4"/>
      <c r="I9" s="4"/>
      <c r="J9" s="4"/>
      <c r="K9" s="4">
        <v>12100</v>
      </c>
      <c r="L9" s="4"/>
      <c r="M9" s="4"/>
      <c r="N9" s="4"/>
    </row>
    <row r="10" spans="1:32" s="3" customFormat="1" x14ac:dyDescent="0.2">
      <c r="B10" s="3" t="s">
        <v>67</v>
      </c>
      <c r="C10" s="4"/>
      <c r="D10" s="4"/>
      <c r="E10" s="4"/>
      <c r="F10" s="4"/>
      <c r="G10" s="4"/>
      <c r="H10" s="4"/>
      <c r="I10" s="4"/>
      <c r="J10" s="4"/>
      <c r="K10" s="4">
        <f>K7-K8-K9</f>
        <v>20338</v>
      </c>
      <c r="L10" s="4"/>
      <c r="M10" s="4"/>
      <c r="N10" s="4"/>
    </row>
    <row r="11" spans="1:32" s="3" customFormat="1" x14ac:dyDescent="0.2">
      <c r="B11" s="3" t="s">
        <v>57</v>
      </c>
      <c r="C11" s="4"/>
      <c r="D11" s="4"/>
      <c r="E11" s="4"/>
      <c r="F11" s="4"/>
      <c r="G11" s="4"/>
      <c r="H11" s="4"/>
      <c r="I11" s="4"/>
      <c r="J11" s="4"/>
      <c r="K11" s="4">
        <v>33000</v>
      </c>
      <c r="L11" s="4"/>
      <c r="M11" s="4"/>
      <c r="N11" s="4"/>
    </row>
    <row r="12" spans="1:32" s="3" customFormat="1" x14ac:dyDescent="0.2">
      <c r="B12" s="3" t="s">
        <v>58</v>
      </c>
      <c r="C12" s="4"/>
      <c r="D12" s="4"/>
      <c r="E12" s="4"/>
      <c r="F12" s="4"/>
      <c r="G12" s="4"/>
      <c r="H12" s="4"/>
      <c r="I12" s="4"/>
      <c r="J12" s="4"/>
      <c r="K12" s="4">
        <v>10600</v>
      </c>
      <c r="L12" s="4"/>
      <c r="M12" s="4"/>
      <c r="N12" s="4"/>
    </row>
    <row r="13" spans="1:32" s="3" customFormat="1" x14ac:dyDescent="0.2">
      <c r="B13" s="3" t="s">
        <v>68</v>
      </c>
      <c r="C13" s="4"/>
      <c r="D13" s="4"/>
      <c r="E13" s="4"/>
      <c r="F13" s="4"/>
      <c r="G13" s="4"/>
      <c r="H13" s="4"/>
      <c r="I13" s="4"/>
      <c r="J13" s="4"/>
      <c r="K13" s="4">
        <v>29100</v>
      </c>
      <c r="L13" s="4"/>
      <c r="M13" s="4"/>
      <c r="N13" s="4"/>
    </row>
    <row r="14" spans="1:32" s="3" customForma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32" s="3" customFormat="1" x14ac:dyDescent="0.2">
      <c r="B15" s="3" t="s">
        <v>21</v>
      </c>
      <c r="C15" s="4">
        <v>17713</v>
      </c>
      <c r="D15" s="4">
        <v>18552</v>
      </c>
      <c r="E15" s="4">
        <v>21351</v>
      </c>
      <c r="F15" s="4">
        <v>24655</v>
      </c>
      <c r="G15" s="4">
        <v>21820</v>
      </c>
      <c r="H15" s="4">
        <v>22833</v>
      </c>
      <c r="I15" s="4">
        <v>22495</v>
      </c>
      <c r="J15" s="4">
        <v>21518</v>
      </c>
      <c r="K15" s="4">
        <v>17988</v>
      </c>
      <c r="L15" s="4"/>
      <c r="M15" s="4"/>
      <c r="N15" s="4"/>
      <c r="Q15" s="3">
        <v>82271</v>
      </c>
      <c r="R15" s="3">
        <v>88666</v>
      </c>
    </row>
    <row r="16" spans="1:32" s="3" customFormat="1" x14ac:dyDescent="0.2">
      <c r="B16" s="3" t="s">
        <v>22</v>
      </c>
      <c r="C16" s="4">
        <v>26475</v>
      </c>
      <c r="D16" s="4">
        <v>29862</v>
      </c>
      <c r="E16" s="4">
        <v>33255</v>
      </c>
      <c r="F16" s="4">
        <v>38494</v>
      </c>
      <c r="G16" s="4">
        <v>39028</v>
      </c>
      <c r="H16" s="4">
        <v>41892</v>
      </c>
      <c r="I16" s="4">
        <v>43317</v>
      </c>
      <c r="J16" s="4">
        <v>47958</v>
      </c>
      <c r="K16" s="4">
        <v>42768</v>
      </c>
      <c r="L16" s="4"/>
      <c r="M16" s="4"/>
      <c r="N16" s="4"/>
      <c r="Q16" s="3">
        <v>128086</v>
      </c>
      <c r="R16" s="3">
        <v>172195</v>
      </c>
    </row>
    <row r="17" spans="2:18" s="3" customFormat="1" x14ac:dyDescent="0.2">
      <c r="B17" s="3" t="s">
        <v>23</v>
      </c>
      <c r="C17" s="4">
        <v>1448</v>
      </c>
      <c r="D17" s="4">
        <v>1467</v>
      </c>
      <c r="E17" s="4">
        <v>1039</v>
      </c>
      <c r="F17" s="4">
        <v>3541</v>
      </c>
      <c r="G17" s="4">
        <v>2012</v>
      </c>
      <c r="H17" s="4">
        <v>1521</v>
      </c>
      <c r="I17" s="4">
        <v>1353</v>
      </c>
      <c r="J17" s="4">
        <v>2799</v>
      </c>
      <c r="K17" s="4">
        <v>1977</v>
      </c>
      <c r="L17" s="4"/>
      <c r="M17" s="4"/>
      <c r="N17" s="4"/>
      <c r="Q17" s="3">
        <v>7495</v>
      </c>
      <c r="R17" s="3">
        <v>7685</v>
      </c>
    </row>
    <row r="18" spans="2:18" s="5" customFormat="1" x14ac:dyDescent="0.2">
      <c r="B18" s="5" t="s">
        <v>8</v>
      </c>
      <c r="C18" s="6">
        <f t="shared" ref="C18" si="1">C17+C16+C15+C7</f>
        <v>108065</v>
      </c>
      <c r="D18" s="6">
        <f t="shared" ref="D18" si="2">D17+D16+D15+D7</f>
        <v>114883</v>
      </c>
      <c r="E18" s="6">
        <f t="shared" ref="E18:J18" si="3">E17+E16+E15+E7</f>
        <v>125447</v>
      </c>
      <c r="F18" s="6">
        <f t="shared" si="3"/>
        <v>133669</v>
      </c>
      <c r="G18" s="6">
        <f t="shared" si="3"/>
        <v>135303</v>
      </c>
      <c r="H18" s="6">
        <f t="shared" si="3"/>
        <v>138259</v>
      </c>
      <c r="I18" s="6">
        <f t="shared" si="3"/>
        <v>142368</v>
      </c>
      <c r="J18" s="6">
        <f t="shared" si="3"/>
        <v>144188</v>
      </c>
      <c r="K18" s="6">
        <f>K17+K16+K15+K7</f>
        <v>135471</v>
      </c>
      <c r="L18" s="6"/>
      <c r="M18" s="6"/>
      <c r="N18" s="6"/>
      <c r="Q18" s="6">
        <f t="shared" ref="Q18:R18" si="4">Q17+Q16+Q15+Q7</f>
        <v>482064</v>
      </c>
      <c r="R18" s="6">
        <f t="shared" si="4"/>
        <v>560118</v>
      </c>
    </row>
    <row r="19" spans="2:18" s="3" customFormat="1" x14ac:dyDescent="0.2">
      <c r="B19" s="3" t="s">
        <v>24</v>
      </c>
      <c r="C19" s="4">
        <v>55271</v>
      </c>
      <c r="D19" s="4">
        <v>61673</v>
      </c>
      <c r="E19" s="4">
        <v>68800</v>
      </c>
      <c r="F19" s="4">
        <v>74788</v>
      </c>
      <c r="G19" s="4">
        <v>72668</v>
      </c>
      <c r="H19" s="4">
        <v>75514</v>
      </c>
      <c r="I19" s="4">
        <v>79621</v>
      </c>
      <c r="J19" s="4">
        <v>86371</v>
      </c>
      <c r="K19" s="4">
        <v>78397</v>
      </c>
      <c r="L19" s="4"/>
      <c r="M19" s="4"/>
      <c r="N19" s="4"/>
      <c r="Q19" s="3">
        <v>260532</v>
      </c>
      <c r="R19" s="3">
        <v>314174</v>
      </c>
    </row>
    <row r="20" spans="2:18" s="3" customFormat="1" x14ac:dyDescent="0.2">
      <c r="B20" s="3" t="s">
        <v>25</v>
      </c>
      <c r="C20" s="4">
        <f t="shared" ref="C20" si="5">C18-C19</f>
        <v>52794</v>
      </c>
      <c r="D20" s="4">
        <f t="shared" ref="D20" si="6">D18-D19</f>
        <v>53210</v>
      </c>
      <c r="E20" s="4">
        <f t="shared" ref="E20:F20" si="7">E18-E19</f>
        <v>56647</v>
      </c>
      <c r="F20" s="4">
        <f t="shared" si="7"/>
        <v>58881</v>
      </c>
      <c r="G20" s="4">
        <f t="shared" ref="G20:J20" si="8">G18-G19</f>
        <v>62635</v>
      </c>
      <c r="H20" s="4">
        <f t="shared" si="8"/>
        <v>62745</v>
      </c>
      <c r="I20" s="4">
        <f t="shared" si="8"/>
        <v>62747</v>
      </c>
      <c r="J20" s="4">
        <f t="shared" si="8"/>
        <v>57817</v>
      </c>
      <c r="K20" s="4">
        <f>K18-K19</f>
        <v>57074</v>
      </c>
      <c r="L20" s="4"/>
      <c r="M20" s="4"/>
      <c r="N20" s="4"/>
      <c r="Q20" s="3">
        <f t="shared" ref="Q20" si="9">Q18-Q19</f>
        <v>221532</v>
      </c>
      <c r="R20" s="3">
        <f>R18-R19</f>
        <v>245944</v>
      </c>
    </row>
    <row r="21" spans="2:18" s="3" customFormat="1" x14ac:dyDescent="0.2">
      <c r="B21" s="3" t="s">
        <v>26</v>
      </c>
      <c r="C21" s="4">
        <v>14158</v>
      </c>
      <c r="D21" s="4">
        <v>16499</v>
      </c>
      <c r="E21" s="4">
        <v>17189</v>
      </c>
      <c r="F21" s="4">
        <v>19779</v>
      </c>
      <c r="G21" s="4">
        <v>18967</v>
      </c>
      <c r="H21" s="4">
        <v>22638</v>
      </c>
      <c r="I21" s="4">
        <v>23862</v>
      </c>
      <c r="J21" s="4">
        <v>24380</v>
      </c>
      <c r="K21" s="4">
        <v>26669</v>
      </c>
      <c r="L21" s="4"/>
      <c r="M21" s="4"/>
      <c r="N21" s="4"/>
      <c r="Q21" s="3">
        <v>67625</v>
      </c>
      <c r="R21" s="3">
        <v>89847</v>
      </c>
    </row>
    <row r="22" spans="2:18" s="3" customFormat="1" x14ac:dyDescent="0.2">
      <c r="B22" s="3" t="s">
        <v>27</v>
      </c>
      <c r="C22" s="4">
        <v>7049</v>
      </c>
      <c r="D22" s="4">
        <v>7756</v>
      </c>
      <c r="E22" s="4">
        <v>8920</v>
      </c>
      <c r="F22" s="4">
        <v>10033</v>
      </c>
      <c r="G22" s="4">
        <v>8530</v>
      </c>
      <c r="H22" s="4">
        <v>10013</v>
      </c>
      <c r="I22" s="4">
        <v>10435</v>
      </c>
      <c r="J22" s="4">
        <v>11616</v>
      </c>
      <c r="K22" s="4">
        <v>8058</v>
      </c>
      <c r="L22" s="4"/>
      <c r="M22" s="4"/>
      <c r="N22" s="4"/>
      <c r="Q22" s="3">
        <v>33758</v>
      </c>
      <c r="R22" s="3">
        <v>40594</v>
      </c>
    </row>
    <row r="23" spans="2:18" s="3" customFormat="1" x14ac:dyDescent="0.2">
      <c r="B23" s="3" t="s">
        <v>28</v>
      </c>
      <c r="C23" s="4">
        <f t="shared" ref="C23" si="10">C21+C22</f>
        <v>21207</v>
      </c>
      <c r="D23" s="4">
        <f t="shared" ref="D23" si="11">D21+D22</f>
        <v>24255</v>
      </c>
      <c r="E23" s="4">
        <f t="shared" ref="E23" si="12">E21+E22</f>
        <v>26109</v>
      </c>
      <c r="F23" s="4">
        <f t="shared" ref="F23" si="13">F21+F22</f>
        <v>29812</v>
      </c>
      <c r="G23" s="4">
        <f t="shared" ref="G23:J23" si="14">G21+G22</f>
        <v>27497</v>
      </c>
      <c r="H23" s="4">
        <f t="shared" si="14"/>
        <v>32651</v>
      </c>
      <c r="I23" s="4">
        <f t="shared" si="14"/>
        <v>34297</v>
      </c>
      <c r="J23" s="4">
        <f t="shared" si="14"/>
        <v>35996</v>
      </c>
      <c r="K23" s="4">
        <f>K21+K22</f>
        <v>34727</v>
      </c>
      <c r="L23" s="4"/>
      <c r="M23" s="4"/>
      <c r="N23" s="4"/>
      <c r="Q23" s="3">
        <f t="shared" ref="Q23" si="15">Q21+Q22</f>
        <v>101383</v>
      </c>
      <c r="R23" s="3">
        <f>R21+R22</f>
        <v>130441</v>
      </c>
    </row>
    <row r="24" spans="2:18" s="3" customFormat="1" x14ac:dyDescent="0.2">
      <c r="B24" s="3" t="s">
        <v>29</v>
      </c>
      <c r="C24" s="4">
        <f t="shared" ref="C24" si="16">C20-C23</f>
        <v>31587</v>
      </c>
      <c r="D24" s="4">
        <f t="shared" ref="D24" si="17">D20-D23</f>
        <v>28955</v>
      </c>
      <c r="E24" s="4">
        <f t="shared" ref="E24" si="18">E20-E23</f>
        <v>30538</v>
      </c>
      <c r="F24" s="4">
        <f t="shared" ref="F24" si="19">F20-F23</f>
        <v>29069</v>
      </c>
      <c r="G24" s="4">
        <f t="shared" ref="G24:J24" si="20">G20-G23</f>
        <v>35138</v>
      </c>
      <c r="H24" s="4">
        <f t="shared" si="20"/>
        <v>30094</v>
      </c>
      <c r="I24" s="4">
        <f t="shared" si="20"/>
        <v>28450</v>
      </c>
      <c r="J24" s="4">
        <f t="shared" si="20"/>
        <v>21821</v>
      </c>
      <c r="K24" s="4">
        <f>K20-K23</f>
        <v>22347</v>
      </c>
      <c r="L24" s="4"/>
      <c r="M24" s="4"/>
      <c r="N24" s="4"/>
      <c r="Q24" s="3">
        <f t="shared" ref="Q24" si="21">Q20-Q23</f>
        <v>120149</v>
      </c>
      <c r="R24" s="3">
        <f>R20-R23</f>
        <v>115503</v>
      </c>
    </row>
    <row r="25" spans="2:18" s="3" customFormat="1" x14ac:dyDescent="0.2">
      <c r="B25" s="3" t="s">
        <v>33</v>
      </c>
      <c r="C25" s="4">
        <f>1636+4037-1684-281</f>
        <v>3708</v>
      </c>
      <c r="D25" s="4">
        <f>1749+8607-2005-295</f>
        <v>8056</v>
      </c>
      <c r="E25" s="4">
        <f>1864+11551-1945+2630</f>
        <v>14100</v>
      </c>
      <c r="F25" s="4">
        <f>32936+1708-2253+1618</f>
        <v>34009</v>
      </c>
      <c r="G25" s="4">
        <f>1614+19521-1367+1348</f>
        <v>21116</v>
      </c>
      <c r="H25" s="4">
        <f>1630+20763-1942-3857</f>
        <v>16594</v>
      </c>
      <c r="I25" s="4">
        <f>1703+22984-1942-5668</f>
        <v>17077</v>
      </c>
      <c r="J25" s="4">
        <f>1703+86199-1863-8267</f>
        <v>77772</v>
      </c>
      <c r="K25" s="4">
        <f>13133+1737-1935-6280</f>
        <v>6655</v>
      </c>
      <c r="L25" s="4"/>
      <c r="M25" s="4"/>
      <c r="N25" s="4"/>
      <c r="Q25" s="3">
        <f>6957+57131-7887+3672</f>
        <v>59873</v>
      </c>
      <c r="R25" s="3">
        <f>6650+149467-7114-16444</f>
        <v>132559</v>
      </c>
    </row>
    <row r="26" spans="2:18" s="3" customFormat="1" x14ac:dyDescent="0.2">
      <c r="B26" s="3" t="s">
        <v>32</v>
      </c>
      <c r="C26" s="4">
        <f t="shared" ref="C26" si="22">C24+C25</f>
        <v>35295</v>
      </c>
      <c r="D26" s="4">
        <f t="shared" ref="D26" si="23">D24+D25</f>
        <v>37011</v>
      </c>
      <c r="E26" s="4">
        <f t="shared" ref="E26:F26" si="24">E24+E25</f>
        <v>44638</v>
      </c>
      <c r="F26" s="4">
        <f t="shared" si="24"/>
        <v>63078</v>
      </c>
      <c r="G26" s="4">
        <f t="shared" ref="G26:J26" si="25">G24+G25</f>
        <v>56254</v>
      </c>
      <c r="H26" s="4">
        <f t="shared" si="25"/>
        <v>46688</v>
      </c>
      <c r="I26" s="4">
        <f t="shared" si="25"/>
        <v>45527</v>
      </c>
      <c r="J26" s="4">
        <f t="shared" si="25"/>
        <v>99593</v>
      </c>
      <c r="K26" s="4">
        <f>K24+K25</f>
        <v>29002</v>
      </c>
      <c r="L26" s="4"/>
      <c r="M26" s="4"/>
      <c r="N26" s="4"/>
      <c r="Q26" s="3">
        <f>Q24+Q25</f>
        <v>180022</v>
      </c>
      <c r="R26" s="3">
        <f>R24+R25</f>
        <v>248062</v>
      </c>
    </row>
    <row r="27" spans="2:18" s="3" customFormat="1" x14ac:dyDescent="0.2">
      <c r="B27" s="3" t="s">
        <v>31</v>
      </c>
      <c r="C27" s="4">
        <f>5892+507</f>
        <v>6399</v>
      </c>
      <c r="D27" s="4">
        <f>4557+653</f>
        <v>5210</v>
      </c>
      <c r="E27" s="4">
        <f>5739+357</f>
        <v>6096</v>
      </c>
      <c r="F27" s="4">
        <f>3709+67</f>
        <v>3776</v>
      </c>
      <c r="G27" s="4">
        <f>7246+1241</f>
        <v>8487</v>
      </c>
      <c r="H27" s="4">
        <f>3666+435</f>
        <v>4101</v>
      </c>
      <c r="I27" s="4">
        <f>5452+565</f>
        <v>6017</v>
      </c>
      <c r="J27" s="4">
        <f>3888+747</f>
        <v>4635</v>
      </c>
      <c r="K27" s="4">
        <f>5269+320</f>
        <v>5589</v>
      </c>
      <c r="L27" s="4"/>
      <c r="M27" s="4"/>
      <c r="N27" s="4"/>
      <c r="Q27" s="3">
        <f>19897+278</f>
        <v>20175</v>
      </c>
      <c r="R27" s="3">
        <f>20252+2988</f>
        <v>23240</v>
      </c>
    </row>
    <row r="28" spans="2:18" s="3" customFormat="1" x14ac:dyDescent="0.2">
      <c r="B28" s="3" t="s">
        <v>30</v>
      </c>
      <c r="C28" s="4">
        <f t="shared" ref="C28" si="26">C26-C27</f>
        <v>28896</v>
      </c>
      <c r="D28" s="4">
        <f t="shared" ref="D28" si="27">D26-D27</f>
        <v>31801</v>
      </c>
      <c r="E28" s="4">
        <f t="shared" ref="E28:F28" si="28">E26-E27</f>
        <v>38542</v>
      </c>
      <c r="F28" s="4">
        <f t="shared" si="28"/>
        <v>59302</v>
      </c>
      <c r="G28" s="4">
        <f t="shared" ref="G28:J28" si="29">G26-G27</f>
        <v>47767</v>
      </c>
      <c r="H28" s="4">
        <f t="shared" si="29"/>
        <v>42587</v>
      </c>
      <c r="I28" s="4">
        <f t="shared" si="29"/>
        <v>39510</v>
      </c>
      <c r="J28" s="4">
        <f t="shared" si="29"/>
        <v>94958</v>
      </c>
      <c r="K28" s="4">
        <f>K26-K27</f>
        <v>23413</v>
      </c>
      <c r="L28" s="4"/>
      <c r="M28" s="4"/>
      <c r="N28" s="4"/>
      <c r="Q28" s="3">
        <f>Q26-Q27</f>
        <v>159847</v>
      </c>
      <c r="R28" s="3">
        <f>R26-R27</f>
        <v>224822</v>
      </c>
    </row>
    <row r="29" spans="2:18" s="3" customFormat="1" x14ac:dyDescent="0.2">
      <c r="B29" s="3" t="s">
        <v>34</v>
      </c>
      <c r="C29" s="4">
        <v>27079</v>
      </c>
      <c r="D29" s="4">
        <v>30153</v>
      </c>
      <c r="E29" s="4">
        <v>32203</v>
      </c>
      <c r="F29" s="4">
        <v>33207</v>
      </c>
      <c r="G29" s="4">
        <v>33118</v>
      </c>
      <c r="H29" s="4">
        <v>34039</v>
      </c>
      <c r="I29" s="4">
        <v>31751</v>
      </c>
      <c r="J29" s="4">
        <v>24880</v>
      </c>
      <c r="K29" s="4">
        <v>25545</v>
      </c>
      <c r="L29" s="4"/>
      <c r="M29" s="4"/>
      <c r="N29" s="4"/>
      <c r="Q29" s="3">
        <v>122742</v>
      </c>
      <c r="R29" s="3">
        <v>123788</v>
      </c>
    </row>
    <row r="31" spans="2:18" s="10" customFormat="1" x14ac:dyDescent="0.2">
      <c r="B31" s="5" t="s">
        <v>35</v>
      </c>
      <c r="C31" s="8"/>
      <c r="D31" s="8"/>
      <c r="E31" s="8"/>
      <c r="F31" s="8"/>
      <c r="G31" s="9">
        <f t="shared" ref="G31" si="30">G18/C18-1</f>
        <v>0.2520520057372877</v>
      </c>
      <c r="H31" s="9">
        <f t="shared" ref="H31:J31" si="31">H18/D18-1</f>
        <v>0.20347658052105189</v>
      </c>
      <c r="I31" s="9">
        <f t="shared" si="31"/>
        <v>0.13488564891946409</v>
      </c>
      <c r="J31" s="9">
        <f t="shared" si="31"/>
        <v>7.8694386881027034E-2</v>
      </c>
      <c r="K31" s="9">
        <f>K18/G18-1</f>
        <v>1.2416576129132828E-3</v>
      </c>
      <c r="L31" s="8"/>
      <c r="M31" s="8"/>
      <c r="N31" s="8"/>
      <c r="R31" s="11">
        <f>R18/Q18-1</f>
        <v>0.16191626008164883</v>
      </c>
    </row>
    <row r="32" spans="2:18" s="3" customFormat="1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s="3" customFormat="1" x14ac:dyDescent="0.2">
      <c r="B33" s="3" t="s">
        <v>36</v>
      </c>
      <c r="C33" s="4"/>
      <c r="D33" s="4"/>
      <c r="E33" s="4"/>
      <c r="F33" s="4"/>
      <c r="G33" s="4"/>
      <c r="H33" s="4"/>
      <c r="I33" s="4"/>
      <c r="J33" s="4"/>
      <c r="K33" s="4">
        <f>188826+2691+82604+11742+1568+69961+21124+4222+189993+197161+6509+309630</f>
        <v>1086031</v>
      </c>
      <c r="L33" s="4"/>
      <c r="M33" s="4"/>
      <c r="N33" s="4"/>
    </row>
    <row r="34" spans="2:14" s="3" customFormat="1" x14ac:dyDescent="0.2">
      <c r="B34" s="3" t="s">
        <v>37</v>
      </c>
      <c r="C34" s="4"/>
      <c r="D34" s="4"/>
      <c r="E34" s="4"/>
      <c r="F34" s="4"/>
      <c r="G34" s="4"/>
      <c r="H34" s="4"/>
      <c r="I34" s="4"/>
      <c r="J34" s="4"/>
      <c r="K34" s="4">
        <v>52774</v>
      </c>
      <c r="L34" s="4"/>
      <c r="M34" s="4"/>
      <c r="N34" s="4"/>
    </row>
    <row r="35" spans="2:14" s="3" customFormat="1" x14ac:dyDescent="0.2">
      <c r="B35" s="3" t="s">
        <v>38</v>
      </c>
      <c r="C35" s="4"/>
      <c r="D35" s="4"/>
      <c r="E35" s="4"/>
      <c r="F35" s="4"/>
      <c r="G35" s="4"/>
      <c r="H35" s="4"/>
      <c r="I35" s="4"/>
      <c r="J35" s="4"/>
      <c r="K35" s="4">
        <v>2712</v>
      </c>
      <c r="L35" s="4"/>
      <c r="M35" s="4"/>
      <c r="N35" s="4"/>
    </row>
    <row r="36" spans="2:14" s="3" customFormat="1" x14ac:dyDescent="0.2">
      <c r="B36" s="3" t="s">
        <v>39</v>
      </c>
      <c r="C36" s="4"/>
      <c r="D36" s="4"/>
      <c r="E36" s="4"/>
      <c r="F36" s="4"/>
      <c r="G36" s="4"/>
      <c r="H36" s="4"/>
      <c r="I36" s="4"/>
      <c r="J36" s="4"/>
      <c r="K36" s="4">
        <v>27616</v>
      </c>
      <c r="L36" s="4"/>
      <c r="M36" s="4"/>
      <c r="N36" s="4"/>
    </row>
    <row r="37" spans="2:14" s="3" customFormat="1" x14ac:dyDescent="0.2">
      <c r="B37" s="3" t="s">
        <v>40</v>
      </c>
      <c r="C37" s="4"/>
      <c r="D37" s="4"/>
      <c r="E37" s="4"/>
      <c r="F37" s="4"/>
      <c r="G37" s="4"/>
      <c r="H37" s="4"/>
      <c r="I37" s="4"/>
      <c r="J37" s="4"/>
      <c r="K37" s="4">
        <v>37093</v>
      </c>
      <c r="L37" s="4"/>
      <c r="M37" s="4"/>
      <c r="N37" s="4"/>
    </row>
    <row r="38" spans="2:14" s="3" customFormat="1" x14ac:dyDescent="0.2">
      <c r="B38" s="3" t="s">
        <v>42</v>
      </c>
      <c r="C38" s="4"/>
      <c r="D38" s="4"/>
      <c r="E38" s="4"/>
      <c r="F38" s="4"/>
      <c r="G38" s="4"/>
      <c r="H38" s="4"/>
      <c r="I38" s="4"/>
      <c r="J38" s="4"/>
      <c r="K38" s="4">
        <v>178712</v>
      </c>
      <c r="L38" s="4"/>
      <c r="M38" s="4"/>
      <c r="N38" s="4"/>
    </row>
    <row r="39" spans="2:14" s="3" customFormat="1" x14ac:dyDescent="0.2">
      <c r="B39" s="3" t="s">
        <v>43</v>
      </c>
      <c r="C39" s="4"/>
      <c r="D39" s="4"/>
      <c r="E39" s="4"/>
      <c r="F39" s="4"/>
      <c r="G39" s="4"/>
      <c r="H39" s="4"/>
      <c r="I39" s="4"/>
      <c r="J39" s="4"/>
      <c r="K39" s="4">
        <f>589+6529+61560</f>
        <v>68678</v>
      </c>
      <c r="L39" s="4"/>
      <c r="M39" s="4"/>
      <c r="N39" s="4"/>
    </row>
    <row r="40" spans="2:14" s="3" customFormat="1" x14ac:dyDescent="0.2">
      <c r="B40" s="3" t="s">
        <v>44</v>
      </c>
      <c r="C40" s="4"/>
      <c r="D40" s="4"/>
      <c r="E40" s="4"/>
      <c r="F40" s="4"/>
      <c r="G40" s="4"/>
      <c r="H40" s="4"/>
      <c r="I40" s="4"/>
      <c r="J40" s="4"/>
      <c r="K40" s="4">
        <f>18451+22091</f>
        <v>40542</v>
      </c>
      <c r="L40" s="4"/>
      <c r="M40" s="4"/>
      <c r="N40" s="4"/>
    </row>
    <row r="41" spans="2:14" s="3" customFormat="1" x14ac:dyDescent="0.2">
      <c r="B41" s="3" t="s">
        <v>41</v>
      </c>
      <c r="C41" s="4"/>
      <c r="D41" s="4"/>
      <c r="E41" s="4"/>
      <c r="F41" s="4"/>
      <c r="G41" s="4"/>
      <c r="H41" s="4"/>
      <c r="I41" s="4"/>
      <c r="J41" s="4"/>
      <c r="K41" s="4">
        <f>SUM(K33:K40)</f>
        <v>1494158</v>
      </c>
      <c r="L41" s="4"/>
      <c r="M41" s="4"/>
      <c r="N41" s="4"/>
    </row>
    <row r="42" spans="2:14" s="3" customForma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s="3" customFormat="1" x14ac:dyDescent="0.2">
      <c r="B43" s="3" t="s">
        <v>45</v>
      </c>
      <c r="C43" s="4"/>
      <c r="D43" s="4"/>
      <c r="E43" s="4"/>
      <c r="F43" s="4"/>
      <c r="G43" s="4"/>
      <c r="H43" s="4"/>
      <c r="I43" s="4"/>
      <c r="J43" s="4"/>
      <c r="K43" s="4">
        <f>148467+135465+21656+5783+9515+3326</f>
        <v>324212</v>
      </c>
      <c r="L43" s="4"/>
      <c r="M43" s="4"/>
      <c r="N43" s="4"/>
    </row>
    <row r="44" spans="2:14" s="3" customFormat="1" x14ac:dyDescent="0.2">
      <c r="B44" s="3" t="s">
        <v>46</v>
      </c>
      <c r="C44" s="4"/>
      <c r="D44" s="4"/>
      <c r="E44" s="4"/>
      <c r="F44" s="4"/>
      <c r="G44" s="4"/>
      <c r="H44" s="4"/>
      <c r="I44" s="4"/>
      <c r="J44" s="4"/>
      <c r="K44" s="4">
        <f>9377+112512+48437</f>
        <v>170326</v>
      </c>
      <c r="L44" s="4"/>
      <c r="M44" s="4"/>
      <c r="N44" s="4"/>
    </row>
    <row r="45" spans="2:14" s="3" customFormat="1" x14ac:dyDescent="0.2">
      <c r="B45" s="3" t="s">
        <v>31</v>
      </c>
      <c r="C45" s="4"/>
      <c r="D45" s="4"/>
      <c r="E45" s="4"/>
      <c r="F45" s="4"/>
      <c r="G45" s="4"/>
      <c r="H45" s="4"/>
      <c r="I45" s="4"/>
      <c r="J45" s="4"/>
      <c r="K45" s="4">
        <f>12524+13968+2456</f>
        <v>28948</v>
      </c>
      <c r="L45" s="4"/>
      <c r="M45" s="4"/>
      <c r="N45" s="4"/>
    </row>
    <row r="46" spans="2:14" s="3" customFormat="1" x14ac:dyDescent="0.2">
      <c r="B46" s="3" t="s">
        <v>48</v>
      </c>
      <c r="C46" s="4"/>
      <c r="D46" s="4"/>
      <c r="E46" s="4"/>
      <c r="F46" s="4"/>
      <c r="G46" s="4"/>
      <c r="H46" s="4"/>
      <c r="I46" s="4"/>
      <c r="J46" s="4"/>
      <c r="K46" s="4">
        <f>17981+5927</f>
        <v>23908</v>
      </c>
      <c r="L46" s="4"/>
      <c r="M46" s="4"/>
      <c r="N46" s="4"/>
    </row>
    <row r="47" spans="2:14" s="3" customFormat="1" x14ac:dyDescent="0.2">
      <c r="B47" s="3" t="s">
        <v>49</v>
      </c>
      <c r="C47" s="4"/>
      <c r="D47" s="4"/>
      <c r="E47" s="4"/>
      <c r="F47" s="4"/>
      <c r="G47" s="4"/>
      <c r="H47" s="4"/>
      <c r="I47" s="4"/>
      <c r="J47" s="4"/>
      <c r="K47" s="4">
        <f>4562+96925</f>
        <v>101487</v>
      </c>
      <c r="L47" s="4"/>
      <c r="M47" s="4"/>
      <c r="N47" s="4"/>
    </row>
    <row r="48" spans="2:14" s="3" customFormat="1" x14ac:dyDescent="0.2">
      <c r="B48" s="3" t="s">
        <v>50</v>
      </c>
      <c r="C48" s="4"/>
      <c r="D48" s="4"/>
      <c r="E48" s="4"/>
      <c r="F48" s="4"/>
      <c r="G48" s="4"/>
      <c r="H48" s="4"/>
      <c r="I48" s="4"/>
      <c r="J48" s="4"/>
      <c r="K48" s="4">
        <v>845277</v>
      </c>
      <c r="L48" s="4"/>
      <c r="M48" s="4"/>
      <c r="N48" s="4"/>
    </row>
    <row r="49" spans="2:14" s="3" customFormat="1" x14ac:dyDescent="0.2">
      <c r="B49" s="3" t="s">
        <v>51</v>
      </c>
      <c r="C49" s="4"/>
      <c r="D49" s="4"/>
      <c r="E49" s="4"/>
      <c r="F49" s="4"/>
      <c r="G49" s="4"/>
      <c r="H49" s="4"/>
      <c r="I49" s="4"/>
      <c r="J49" s="4"/>
      <c r="K49" s="4">
        <f>SUM(K43:K48)</f>
        <v>1494158</v>
      </c>
      <c r="L49" s="4"/>
      <c r="M49" s="4"/>
      <c r="N49" s="4"/>
    </row>
  </sheetData>
  <hyperlinks>
    <hyperlink ref="A1" location="Main!A1" display="Main" xr:uid="{B36BE4B7-A757-452D-A5B5-3233C2DD68D6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2022-07-15T14:32:49Z</dcterms:created>
  <dcterms:modified xsi:type="dcterms:W3CDTF">2022-07-26T12:30:06Z</dcterms:modified>
</cp:coreProperties>
</file>