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code\models\"/>
    </mc:Choice>
  </mc:AlternateContent>
  <xr:revisionPtr revIDLastSave="0" documentId="13_ncr:1_{5F6D5365-7FAE-48F3-9923-045ED4CA28D0}" xr6:coauthVersionLast="47" xr6:coauthVersionMax="47" xr10:uidLastSave="{00000000-0000-0000-0000-000000000000}"/>
  <bookViews>
    <workbookView xWindow="8655" yWindow="0" windowWidth="20145" windowHeight="15465" activeTab="1" xr2:uid="{605BC9F4-5436-4082-9BF9-F0067EF1EC5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32" i="2" l="1"/>
  <c r="AF31" i="2"/>
  <c r="AE24" i="2"/>
  <c r="AF24" i="2" s="1"/>
  <c r="AG24" i="2" s="1"/>
  <c r="AH24" i="2" s="1"/>
  <c r="AI24" i="2" s="1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Y24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BJ24" i="2" s="1"/>
  <c r="BK24" i="2" s="1"/>
  <c r="BL24" i="2" s="1"/>
  <c r="BM24" i="2" s="1"/>
  <c r="BN24" i="2" s="1"/>
  <c r="BO24" i="2" s="1"/>
  <c r="BP24" i="2" s="1"/>
  <c r="BQ24" i="2" s="1"/>
  <c r="BR24" i="2" s="1"/>
  <c r="BS24" i="2" s="1"/>
  <c r="BT24" i="2" s="1"/>
  <c r="BU24" i="2" s="1"/>
  <c r="BV24" i="2" s="1"/>
  <c r="BW24" i="2" s="1"/>
  <c r="BX24" i="2" s="1"/>
  <c r="BY24" i="2" s="1"/>
  <c r="BZ24" i="2" s="1"/>
  <c r="CA24" i="2" s="1"/>
  <c r="CB24" i="2" s="1"/>
  <c r="CC24" i="2" s="1"/>
  <c r="CD24" i="2" s="1"/>
  <c r="CE24" i="2" s="1"/>
  <c r="CF24" i="2" s="1"/>
  <c r="CG24" i="2" s="1"/>
  <c r="CH24" i="2" s="1"/>
  <c r="AD24" i="2"/>
  <c r="V21" i="2"/>
  <c r="W26" i="2"/>
  <c r="X26" i="2" s="1"/>
  <c r="Y26" i="2" s="1"/>
  <c r="Z26" i="2" s="1"/>
  <c r="AA26" i="2" s="1"/>
  <c r="AB26" i="2" s="1"/>
  <c r="AC26" i="2" s="1"/>
  <c r="AC19" i="2"/>
  <c r="AC20" i="2" s="1"/>
  <c r="AB19" i="2"/>
  <c r="AB20" i="2" s="1"/>
  <c r="AA19" i="2"/>
  <c r="AA20" i="2" s="1"/>
  <c r="Z19" i="2"/>
  <c r="Z20" i="2" s="1"/>
  <c r="Y19" i="2"/>
  <c r="Y20" i="2" s="1"/>
  <c r="X19" i="2"/>
  <c r="X20" i="2" s="1"/>
  <c r="W19" i="2"/>
  <c r="W20" i="2" s="1"/>
  <c r="W18" i="2"/>
  <c r="X18" i="2" s="1"/>
  <c r="Y18" i="2" s="1"/>
  <c r="Z18" i="2" s="1"/>
  <c r="AA18" i="2" s="1"/>
  <c r="AB18" i="2" s="1"/>
  <c r="AC18" i="2" s="1"/>
  <c r="W17" i="2"/>
  <c r="X17" i="2" s="1"/>
  <c r="Y17" i="2" s="1"/>
  <c r="Z17" i="2" s="1"/>
  <c r="AA17" i="2" s="1"/>
  <c r="AB17" i="2" s="1"/>
  <c r="AC17" i="2" s="1"/>
  <c r="W16" i="2"/>
  <c r="X16" i="2" s="1"/>
  <c r="Y16" i="2" s="1"/>
  <c r="Z16" i="2" s="1"/>
  <c r="AA16" i="2" s="1"/>
  <c r="AB16" i="2" s="1"/>
  <c r="AC16" i="2" s="1"/>
  <c r="AC15" i="2"/>
  <c r="AB15" i="2"/>
  <c r="AA15" i="2"/>
  <c r="Z15" i="2"/>
  <c r="Y15" i="2"/>
  <c r="X15" i="2"/>
  <c r="W15" i="2"/>
  <c r="AC6" i="2"/>
  <c r="AB6" i="2"/>
  <c r="AA6" i="2"/>
  <c r="Z6" i="2"/>
  <c r="Y6" i="2"/>
  <c r="X6" i="2"/>
  <c r="W11" i="2"/>
  <c r="W10" i="2"/>
  <c r="X10" i="2" s="1"/>
  <c r="W9" i="2"/>
  <c r="X9" i="2" s="1"/>
  <c r="W8" i="2"/>
  <c r="X8" i="2" s="1"/>
  <c r="Y8" i="2" s="1"/>
  <c r="Z8" i="2" s="1"/>
  <c r="AA8" i="2" s="1"/>
  <c r="AB8" i="2" s="1"/>
  <c r="AC8" i="2" s="1"/>
  <c r="X7" i="2"/>
  <c r="Y7" i="2" s="1"/>
  <c r="W7" i="2"/>
  <c r="W6" i="2"/>
  <c r="W33" i="2" s="1"/>
  <c r="W5" i="2"/>
  <c r="X5" i="2" s="1"/>
  <c r="Y5" i="2" s="1"/>
  <c r="Z5" i="2" s="1"/>
  <c r="AA5" i="2" s="1"/>
  <c r="AB5" i="2" s="1"/>
  <c r="AC5" i="2" s="1"/>
  <c r="W31" i="2"/>
  <c r="W30" i="2"/>
  <c r="U38" i="2"/>
  <c r="N38" i="2"/>
  <c r="M38" i="2"/>
  <c r="L38" i="2"/>
  <c r="T36" i="2"/>
  <c r="S36" i="2"/>
  <c r="V18" i="2"/>
  <c r="U18" i="2"/>
  <c r="V17" i="2"/>
  <c r="V16" i="2"/>
  <c r="V19" i="2" s="1"/>
  <c r="U21" i="2"/>
  <c r="U17" i="2"/>
  <c r="U16" i="2"/>
  <c r="U19" i="2" s="1"/>
  <c r="T28" i="2"/>
  <c r="M26" i="2"/>
  <c r="N26" i="2" s="1"/>
  <c r="U26" i="2" s="1"/>
  <c r="V26" i="2" s="1"/>
  <c r="N18" i="2"/>
  <c r="M18" i="2"/>
  <c r="N17" i="2"/>
  <c r="M17" i="2"/>
  <c r="N16" i="2"/>
  <c r="N19" i="2" s="1"/>
  <c r="M16" i="2"/>
  <c r="M19" i="2" s="1"/>
  <c r="N10" i="2"/>
  <c r="N30" i="2" s="1"/>
  <c r="M10" i="2"/>
  <c r="M30" i="2" s="1"/>
  <c r="N9" i="2"/>
  <c r="N31" i="2" s="1"/>
  <c r="M9" i="2"/>
  <c r="M31" i="2" s="1"/>
  <c r="N8" i="2"/>
  <c r="M8" i="2"/>
  <c r="U8" i="2" s="1"/>
  <c r="V8" i="2" s="1"/>
  <c r="N7" i="2"/>
  <c r="N11" i="2" s="1"/>
  <c r="M7" i="2"/>
  <c r="U7" i="2" s="1"/>
  <c r="N6" i="2"/>
  <c r="N33" i="2" s="1"/>
  <c r="M6" i="2"/>
  <c r="U6" i="2" s="1"/>
  <c r="V6" i="2" s="1"/>
  <c r="V33" i="2" s="1"/>
  <c r="N5" i="2"/>
  <c r="M5" i="2"/>
  <c r="U5" i="2" s="1"/>
  <c r="V5" i="2" s="1"/>
  <c r="L56" i="2"/>
  <c r="L55" i="2"/>
  <c r="L47" i="2"/>
  <c r="L39" i="2"/>
  <c r="L49" i="2" s="1"/>
  <c r="L69" i="2"/>
  <c r="L11" i="2"/>
  <c r="L12" i="2" s="1"/>
  <c r="L31" i="2"/>
  <c r="K31" i="2"/>
  <c r="J31" i="2"/>
  <c r="I31" i="2"/>
  <c r="H31" i="2"/>
  <c r="K30" i="2"/>
  <c r="J30" i="2"/>
  <c r="I30" i="2"/>
  <c r="H30" i="2"/>
  <c r="L30" i="2"/>
  <c r="K11" i="2"/>
  <c r="K12" i="2" s="1"/>
  <c r="J11" i="2"/>
  <c r="L33" i="2"/>
  <c r="L19" i="2"/>
  <c r="H33" i="2"/>
  <c r="D11" i="2"/>
  <c r="D12" i="2" s="1"/>
  <c r="D15" i="2" s="1"/>
  <c r="D34" i="2" s="1"/>
  <c r="H11" i="2"/>
  <c r="H12" i="2" s="1"/>
  <c r="I33" i="2"/>
  <c r="E19" i="2"/>
  <c r="D19" i="2"/>
  <c r="C19" i="2"/>
  <c r="C15" i="2"/>
  <c r="E11" i="2"/>
  <c r="E12" i="2" s="1"/>
  <c r="E36" i="2" s="1"/>
  <c r="I11" i="2"/>
  <c r="I12" i="2" s="1"/>
  <c r="T15" i="2"/>
  <c r="T34" i="2" s="1"/>
  <c r="T19" i="2"/>
  <c r="S19" i="2"/>
  <c r="S15" i="2"/>
  <c r="S34" i="2" s="1"/>
  <c r="U3" i="2"/>
  <c r="V3" i="2" s="1"/>
  <c r="W3" i="2" s="1"/>
  <c r="X3" i="2" s="1"/>
  <c r="Y3" i="2" s="1"/>
  <c r="Z3" i="2" s="1"/>
  <c r="AA3" i="2" s="1"/>
  <c r="AB3" i="2" s="1"/>
  <c r="AC3" i="2" s="1"/>
  <c r="G36" i="2"/>
  <c r="F65" i="2"/>
  <c r="J65" i="2"/>
  <c r="J33" i="2"/>
  <c r="F19" i="2"/>
  <c r="G15" i="2"/>
  <c r="F11" i="2"/>
  <c r="F12" i="2" s="1"/>
  <c r="K33" i="2"/>
  <c r="K65" i="2"/>
  <c r="G65" i="2"/>
  <c r="K19" i="2"/>
  <c r="J19" i="2"/>
  <c r="I19" i="2"/>
  <c r="H19" i="2"/>
  <c r="G19" i="2"/>
  <c r="Z7" i="2" l="1"/>
  <c r="Y9" i="2"/>
  <c r="X31" i="2"/>
  <c r="Y10" i="2"/>
  <c r="X30" i="2"/>
  <c r="X11" i="2"/>
  <c r="W12" i="2"/>
  <c r="V7" i="2"/>
  <c r="M11" i="2"/>
  <c r="M32" i="2" s="1"/>
  <c r="M33" i="2"/>
  <c r="U9" i="2"/>
  <c r="V9" i="2" s="1"/>
  <c r="V31" i="2" s="1"/>
  <c r="L61" i="2"/>
  <c r="U10" i="2"/>
  <c r="N12" i="2"/>
  <c r="N32" i="2"/>
  <c r="M12" i="2"/>
  <c r="I28" i="2"/>
  <c r="K32" i="2"/>
  <c r="S20" i="2"/>
  <c r="S22" i="2" s="1"/>
  <c r="K28" i="2"/>
  <c r="K36" i="2"/>
  <c r="L36" i="2"/>
  <c r="L15" i="2"/>
  <c r="L20" i="2" s="1"/>
  <c r="L22" i="2" s="1"/>
  <c r="L28" i="2"/>
  <c r="H28" i="2"/>
  <c r="I32" i="2"/>
  <c r="J32" i="2"/>
  <c r="J12" i="2"/>
  <c r="J36" i="2" s="1"/>
  <c r="F15" i="2"/>
  <c r="F34" i="2" s="1"/>
  <c r="F36" i="2"/>
  <c r="L32" i="2"/>
  <c r="C20" i="2"/>
  <c r="C22" i="2" s="1"/>
  <c r="C24" i="2" s="1"/>
  <c r="C25" i="2" s="1"/>
  <c r="H32" i="2"/>
  <c r="D36" i="2"/>
  <c r="E15" i="2"/>
  <c r="E34" i="2" s="1"/>
  <c r="D20" i="2"/>
  <c r="D22" i="2" s="1"/>
  <c r="H36" i="2"/>
  <c r="H15" i="2"/>
  <c r="H34" i="2" s="1"/>
  <c r="I15" i="2"/>
  <c r="I34" i="2" s="1"/>
  <c r="I36" i="2"/>
  <c r="T20" i="2"/>
  <c r="T22" i="2" s="1"/>
  <c r="K15" i="2"/>
  <c r="L4" i="1"/>
  <c r="L7" i="1" s="1"/>
  <c r="X33" i="2" l="1"/>
  <c r="Z10" i="2"/>
  <c r="Y30" i="2"/>
  <c r="AA7" i="2"/>
  <c r="W36" i="2"/>
  <c r="W13" i="2"/>
  <c r="W34" i="2"/>
  <c r="X32" i="2"/>
  <c r="X12" i="2"/>
  <c r="Z9" i="2"/>
  <c r="Y31" i="2"/>
  <c r="Y11" i="2"/>
  <c r="L24" i="2"/>
  <c r="L25" i="2" s="1"/>
  <c r="L35" i="2"/>
  <c r="T24" i="2"/>
  <c r="T25" i="2" s="1"/>
  <c r="T35" i="2"/>
  <c r="N36" i="2"/>
  <c r="S24" i="2"/>
  <c r="S25" i="2" s="1"/>
  <c r="S35" i="2"/>
  <c r="D24" i="2"/>
  <c r="D25" i="2" s="1"/>
  <c r="D35" i="2"/>
  <c r="V10" i="2"/>
  <c r="J15" i="2"/>
  <c r="J34" i="2" s="1"/>
  <c r="U11" i="2"/>
  <c r="U12" i="2" s="1"/>
  <c r="N28" i="2"/>
  <c r="N15" i="2"/>
  <c r="N13" i="2" s="1"/>
  <c r="M28" i="2"/>
  <c r="M15" i="2"/>
  <c r="M13" i="2" s="1"/>
  <c r="U13" i="2" s="1"/>
  <c r="M36" i="2"/>
  <c r="J28" i="2"/>
  <c r="I20" i="2"/>
  <c r="I22" i="2" s="1"/>
  <c r="E20" i="2"/>
  <c r="E22" i="2" s="1"/>
  <c r="L34" i="2"/>
  <c r="F20" i="2"/>
  <c r="F22" i="2" s="1"/>
  <c r="H20" i="2"/>
  <c r="H22" i="2" s="1"/>
  <c r="G34" i="2"/>
  <c r="G20" i="2"/>
  <c r="G22" i="2" s="1"/>
  <c r="K34" i="2"/>
  <c r="K20" i="2"/>
  <c r="K22" i="2" s="1"/>
  <c r="Y32" i="2" l="1"/>
  <c r="Y12" i="2"/>
  <c r="AA9" i="2"/>
  <c r="Z31" i="2"/>
  <c r="AB7" i="2"/>
  <c r="X13" i="2"/>
  <c r="X34" i="2"/>
  <c r="X28" i="2"/>
  <c r="X36" i="2"/>
  <c r="Y33" i="2"/>
  <c r="Z11" i="2"/>
  <c r="Z30" i="2"/>
  <c r="AA10" i="2"/>
  <c r="I24" i="2"/>
  <c r="I25" i="2" s="1"/>
  <c r="I35" i="2"/>
  <c r="K24" i="2"/>
  <c r="K25" i="2" s="1"/>
  <c r="K35" i="2"/>
  <c r="U28" i="2"/>
  <c r="U15" i="2"/>
  <c r="G24" i="2"/>
  <c r="G25" i="2" s="1"/>
  <c r="G35" i="2"/>
  <c r="H24" i="2"/>
  <c r="H25" i="2" s="1"/>
  <c r="H35" i="2"/>
  <c r="F24" i="2"/>
  <c r="F25" i="2" s="1"/>
  <c r="F35" i="2"/>
  <c r="E24" i="2"/>
  <c r="E25" i="2" s="1"/>
  <c r="E35" i="2"/>
  <c r="V30" i="2"/>
  <c r="U36" i="2"/>
  <c r="V11" i="2"/>
  <c r="W32" i="2" s="1"/>
  <c r="J20" i="2"/>
  <c r="J22" i="2" s="1"/>
  <c r="M34" i="2"/>
  <c r="M20" i="2"/>
  <c r="M22" i="2" s="1"/>
  <c r="N20" i="2"/>
  <c r="N22" i="2" s="1"/>
  <c r="N34" i="2"/>
  <c r="Z32" i="2" l="1"/>
  <c r="Z12" i="2"/>
  <c r="AC7" i="2"/>
  <c r="AB9" i="2"/>
  <c r="AA31" i="2"/>
  <c r="AA30" i="2"/>
  <c r="AB10" i="2"/>
  <c r="Z33" i="2"/>
  <c r="AA11" i="2"/>
  <c r="Y13" i="2"/>
  <c r="Y34" i="2"/>
  <c r="Y28" i="2"/>
  <c r="Y36" i="2"/>
  <c r="N23" i="2"/>
  <c r="N35" i="2" s="1"/>
  <c r="V12" i="2"/>
  <c r="W28" i="2" s="1"/>
  <c r="V32" i="2"/>
  <c r="J24" i="2"/>
  <c r="J25" i="2" s="1"/>
  <c r="J35" i="2"/>
  <c r="U34" i="2"/>
  <c r="U20" i="2"/>
  <c r="U22" i="2" s="1"/>
  <c r="M23" i="2"/>
  <c r="M24" i="2"/>
  <c r="M25" i="2" s="1"/>
  <c r="AB30" i="2" l="1"/>
  <c r="AC10" i="2"/>
  <c r="AA32" i="2"/>
  <c r="AA12" i="2"/>
  <c r="AA33" i="2"/>
  <c r="AC9" i="2"/>
  <c r="AC31" i="2" s="1"/>
  <c r="AB31" i="2"/>
  <c r="AB11" i="2"/>
  <c r="Z13" i="2"/>
  <c r="Z34" i="2"/>
  <c r="Z28" i="2"/>
  <c r="Z36" i="2"/>
  <c r="U23" i="2"/>
  <c r="U35" i="2" s="1"/>
  <c r="M35" i="2"/>
  <c r="U24" i="2"/>
  <c r="U25" i="2" s="1"/>
  <c r="V28" i="2"/>
  <c r="V15" i="2"/>
  <c r="V13" i="2" s="1"/>
  <c r="V36" i="2"/>
  <c r="N24" i="2"/>
  <c r="N25" i="2" s="1"/>
  <c r="AB32" i="2" l="1"/>
  <c r="AB12" i="2"/>
  <c r="AA13" i="2"/>
  <c r="AA34" i="2"/>
  <c r="AA28" i="2"/>
  <c r="AA36" i="2"/>
  <c r="AC11" i="2"/>
  <c r="AC33" i="2"/>
  <c r="AB33" i="2"/>
  <c r="AC30" i="2"/>
  <c r="V20" i="2"/>
  <c r="V22" i="2" s="1"/>
  <c r="V34" i="2"/>
  <c r="AC32" i="2" l="1"/>
  <c r="AC12" i="2"/>
  <c r="AB13" i="2"/>
  <c r="AB34" i="2"/>
  <c r="AB28" i="2"/>
  <c r="AB36" i="2"/>
  <c r="V23" i="2"/>
  <c r="V35" i="2" s="1"/>
  <c r="AC13" i="2" l="1"/>
  <c r="AC34" i="2"/>
  <c r="AC28" i="2"/>
  <c r="AC36" i="2"/>
  <c r="V24" i="2"/>
  <c r="V25" i="2" l="1"/>
  <c r="V38" i="2"/>
  <c r="W21" i="2" l="1"/>
  <c r="W22" i="2" s="1"/>
  <c r="W23" i="2" l="1"/>
  <c r="W35" i="2" s="1"/>
  <c r="W24" i="2"/>
  <c r="W25" i="2" l="1"/>
  <c r="W38" i="2"/>
  <c r="X21" i="2" l="1"/>
  <c r="X22" i="2" s="1"/>
  <c r="X23" i="2" l="1"/>
  <c r="X35" i="2" s="1"/>
  <c r="X24" i="2"/>
  <c r="X25" i="2" l="1"/>
  <c r="X38" i="2"/>
  <c r="Y21" i="2" l="1"/>
  <c r="Y22" i="2" s="1"/>
  <c r="Y23" i="2" l="1"/>
  <c r="Y35" i="2" s="1"/>
  <c r="Y24" i="2"/>
  <c r="Y25" i="2" l="1"/>
  <c r="Y38" i="2"/>
  <c r="Z21" i="2" l="1"/>
  <c r="Z22" i="2" s="1"/>
  <c r="Z23" i="2" l="1"/>
  <c r="Z35" i="2" s="1"/>
  <c r="Z24" i="2"/>
  <c r="Z25" i="2" l="1"/>
  <c r="Z38" i="2"/>
  <c r="AA21" i="2" l="1"/>
  <c r="AA22" i="2" s="1"/>
  <c r="AA23" i="2" l="1"/>
  <c r="AA35" i="2" s="1"/>
  <c r="AA24" i="2"/>
  <c r="AA25" i="2" l="1"/>
  <c r="AA38" i="2"/>
  <c r="AB21" i="2" l="1"/>
  <c r="AB22" i="2" s="1"/>
  <c r="AB23" i="2" l="1"/>
  <c r="AB35" i="2" s="1"/>
  <c r="AB24" i="2"/>
  <c r="AB25" i="2" l="1"/>
  <c r="AB38" i="2"/>
  <c r="AC21" i="2" l="1"/>
  <c r="AC22" i="2" s="1"/>
  <c r="AC23" i="2" l="1"/>
  <c r="AC35" i="2" s="1"/>
  <c r="AC24" i="2"/>
  <c r="AC25" i="2" l="1"/>
  <c r="AC38" i="2"/>
</calcChain>
</file>

<file path=xl/sharedStrings.xml><?xml version="1.0" encoding="utf-8"?>
<sst xmlns="http://schemas.openxmlformats.org/spreadsheetml/2006/main" count="88" uniqueCount="78">
  <si>
    <t>Price</t>
  </si>
  <si>
    <t>Shares</t>
  </si>
  <si>
    <t>MC</t>
  </si>
  <si>
    <t>Cash</t>
  </si>
  <si>
    <t>Debt</t>
  </si>
  <si>
    <t>EV</t>
  </si>
  <si>
    <t>Q122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</si>
  <si>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</si>
  <si>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</si>
  <si>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</si>
  <si>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</si>
  <si>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</si>
  <si>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</si>
  <si>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</si>
  <si>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</si>
  <si>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</si>
  <si>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</si>
  <si>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</si>
  <si>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</si>
  <si>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</si>
  <si>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COGS</t>
  </si>
  <si>
    <t>Gross Profit</t>
  </si>
  <si>
    <t>R&amp;D</t>
  </si>
  <si>
    <t>S&amp;M</t>
  </si>
  <si>
    <t>G&amp;A</t>
  </si>
  <si>
    <t>Founded</t>
  </si>
  <si>
    <t>OpEx</t>
  </si>
  <si>
    <t>OpInc</t>
  </si>
  <si>
    <t>Other</t>
  </si>
  <si>
    <t>Pretax</t>
  </si>
  <si>
    <t>Taxes</t>
  </si>
  <si>
    <t>Net Income</t>
  </si>
  <si>
    <t>EPS</t>
  </si>
  <si>
    <t>Gross Margin</t>
  </si>
  <si>
    <t>Revenue Growth</t>
  </si>
  <si>
    <t>CFFO</t>
  </si>
  <si>
    <t>CapEx</t>
  </si>
  <si>
    <t>FCF</t>
  </si>
  <si>
    <t>Services</t>
  </si>
  <si>
    <t>Cloud</t>
  </si>
  <si>
    <t>Other Bets</t>
  </si>
  <si>
    <t>FX</t>
  </si>
  <si>
    <t>Services Growth</t>
  </si>
  <si>
    <t>Cloud Growth</t>
  </si>
  <si>
    <t>YouTube</t>
  </si>
  <si>
    <t>Network</t>
  </si>
  <si>
    <t>Google Search</t>
  </si>
  <si>
    <t>Search % of Rev</t>
  </si>
  <si>
    <t>Revenue CC%</t>
  </si>
  <si>
    <t>Search Growth</t>
  </si>
  <si>
    <t>YouTube Growth</t>
  </si>
  <si>
    <t>TAC</t>
  </si>
  <si>
    <t>Employees</t>
  </si>
  <si>
    <t>Headcount</t>
  </si>
  <si>
    <t>AR</t>
  </si>
  <si>
    <t>Inventory</t>
  </si>
  <si>
    <t>OCA</t>
  </si>
  <si>
    <t>DT</t>
  </si>
  <si>
    <t>PP&amp;E</t>
  </si>
  <si>
    <t>Lease</t>
  </si>
  <si>
    <t>Assets</t>
  </si>
  <si>
    <t>ONCA</t>
  </si>
  <si>
    <t>Goodwill</t>
  </si>
  <si>
    <t>AP</t>
  </si>
  <si>
    <t>Compensation</t>
  </si>
  <si>
    <t>AE</t>
  </si>
  <si>
    <t>RevShare</t>
  </si>
  <si>
    <t>DR</t>
  </si>
  <si>
    <t>L+SE</t>
  </si>
  <si>
    <t>SE</t>
  </si>
  <si>
    <t>OLTL</t>
  </si>
  <si>
    <t>Tax Rate</t>
  </si>
  <si>
    <t>Net Cash</t>
  </si>
  <si>
    <t>Terminal</t>
  </si>
  <si>
    <t>Discount</t>
  </si>
  <si>
    <t>ROIC</t>
  </si>
  <si>
    <t>NPV</t>
  </si>
  <si>
    <t>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</si>
</sst>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center"/>
    </xf>
    <xf numFmtId="9" fontId="0" fillId="0" borderId="0" xfId="0" applyNumberFormat="1"/>
    <xf numFmtId="164" fontId="0" fillId="0" borderId="0" xfId="0" applyNumberFormat="1"/>
    <xf numFmtId="3" fontId="0" fillId="0" borderId="0" xfId="0" applyNumberFormat="1" applyFill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1"/>
    <xf numFmtId="1" fontId="0" fillId="0" borderId="0" xfId="0" applyNumberFormat="1"/>
    <xf numFmtId="4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4" fontId="1" fillId="0" borderId="0" xfId="0" applyNumberFormat="1" applyFont="1"/>
    <xf numFmtId="9" fontId="1" fillId="0" borderId="0" xfId="0" applyNumberFormat="1" applyFont="1"/>
    <xf numFmtId="0" fontId="0" fillId="0" borderId="0" xfId="0" applyFont="1"/>
    <xf numFmtId="3" fontId="0" fillId="0" borderId="0" xfId="0" applyNumberFormat="1" applyFont="1"/>
    <xf numFmtId="0" fontId="0" fillId="0" borderId="0" xfId="0" applyFont="1" applyAlignment="1">
      <alignment horizontal="right"/>
    </xf>
    <xf numFmtId="9" fontId="0" fillId="0" borderId="0" xfId="0" applyNumberFormat="1" applyFont="1" applyAlignment="1">
      <alignment horizontal="right"/>
    </xf>
    <xf numFmtId="9" fontId="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0</xdr:row>
      <xdr:rowOff>0</xdr:rowOff>
    </xdr:from>
    <xdr:to>
      <xdr:col>12</xdr:col>
      <xdr:colOff>47625</xdr:colOff>
      <xdr:row>86</xdr:row>
      <xdr:rowOff>76200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537187D-5F37-6A4E-EA1E-BFC001588B0B}"/>
            </a:ext>
          </a:extLst>
        </xdr:cNvPr>
        <xdr:cNvCxnSpPr/>
      </xdr:nvCxnSpPr>
      <xdr:spPr>
        <a:xfrm>
          <a:off x="7553325" y="0"/>
          <a:ext cx="0" cy="10115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47625</xdr:colOff>
      <xdr:row>0</xdr:row>
      <xdr:rowOff>9525</xdr:rowOff>
    </xdr:from>
    <xdr:to>
      <xdr:col>20</xdr:col>
      <xdr:colOff>47625</xdr:colOff>
      <xdr:row>86</xdr:row>
      <xdr:rowOff>85725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8ED61BD-17E4-41BC-8AC6-8053BF8C4ECA}"/>
            </a:ext>
          </a:extLst>
        </xdr:cNvPr>
        <xdr:cNvCxnSpPr/>
      </xdr:nvCxnSpPr>
      <xdr:spPr>
        <a:xfrm>
          <a:off x="12430125" y="9525"/>
          <a:ext cx="0" cy="13839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51E30-7A56-49BA-9DA6-0CC9ECCB38E3}">
  <dimension ref="H1:M14"/>
  <sheetViews>
    <sheetView zoomScaleNormal="100" workbookViewId="0">
      <selection activeCell="M2" sqref="M2"/>
    </sheetView>
  </sheetViews>
  <sheetFormatPr defaultRowHeight="12.75" x14ac:dyDescent="0.2"/>
  <cols>
    <col min="7" max="7" width="12.5703125" customWidth="1"/>
    <col min="8" max="8" width="12.42578125" bestFit="1" customWidth="1"/>
    <col min="9" max="9" width="13.85546875" customWidth="1"/>
    <col min="11" max="11" width="10.140625" bestFit="1" customWidth="1"/>
    <col min="12" max="12" width="9.5703125" customWidth="1"/>
  </cols>
  <sheetData>
    <row r="1" spans="8:13" x14ac:dyDescent="0.2">
      <c r="K1" s="8"/>
    </row>
    <row r="2" spans="8:13" x14ac:dyDescent="0.2">
      <c r="K2" t="s">
        <v>0</v>
      </c>
      <c r="L2" s="1">
        <v>105.44</v>
      </c>
    </row>
    <row r="3" spans="8:13" x14ac:dyDescent="0.2">
      <c r="H3" s="7"/>
      <c r="I3" s="3"/>
      <c r="K3" t="s">
        <v>1</v>
      </c>
      <c r="L3" s="3">
        <v>13239</v>
      </c>
      <c r="M3" s="2" t="s">
        <v>17</v>
      </c>
    </row>
    <row r="4" spans="8:13" x14ac:dyDescent="0.2">
      <c r="H4" s="4"/>
      <c r="K4" t="s">
        <v>2</v>
      </c>
      <c r="L4" s="3">
        <f>L2*L3</f>
        <v>1395920.16</v>
      </c>
    </row>
    <row r="5" spans="8:13" x14ac:dyDescent="0.2">
      <c r="H5" s="6"/>
      <c r="K5" t="s">
        <v>3</v>
      </c>
      <c r="L5" s="3">
        <v>155662</v>
      </c>
      <c r="M5" s="2" t="s">
        <v>17</v>
      </c>
    </row>
    <row r="6" spans="8:13" x14ac:dyDescent="0.2">
      <c r="K6" t="s">
        <v>4</v>
      </c>
      <c r="L6" s="3">
        <v>14734</v>
      </c>
      <c r="M6" s="2" t="s">
        <v>17</v>
      </c>
    </row>
    <row r="7" spans="8:13" x14ac:dyDescent="0.2">
      <c r="K7" t="s">
        <v>5</v>
      </c>
      <c r="L7" s="3">
        <f>L4-L5+L6</f>
        <v>1254992.1599999999</v>
      </c>
    </row>
    <row r="8" spans="8:13" x14ac:dyDescent="0.2">
      <c r="K8" s="8"/>
    </row>
    <row r="9" spans="8:13" x14ac:dyDescent="0.2">
      <c r="K9" s="8" t="s">
        <v>25</v>
      </c>
      <c r="L9" s="15">
        <v>1998</v>
      </c>
    </row>
    <row r="10" spans="8:13" x14ac:dyDescent="0.2">
      <c r="L10" s="3"/>
    </row>
    <row r="11" spans="8:13" x14ac:dyDescent="0.2">
      <c r="K11" s="9"/>
    </row>
    <row r="14" spans="8:13" x14ac:dyDescent="0.2">
      <c r="K14" s="3"/>
      <c r="L14" s="3"/>
      <c r="M1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0B16D-98AC-4F00-80A4-522691D39E31}">
  <dimension ref="A1:CH69"/>
  <sheetViews>
    <sheetView tabSelected="1" workbookViewId="0">
      <pane xSplit="2" ySplit="3" topLeftCell="Q4" activePane="bottomRight" state="frozen"/>
      <selection pane="topRight" activeCell="C1" sqref="C1"/>
      <selection pane="bottomLeft" activeCell="A4" sqref="A4"/>
      <selection pane="bottomRight" activeCell="Q1" sqref="Q1"/>
    </sheetView>
  </sheetViews>
  <sheetFormatPr defaultRowHeight="12.75" x14ac:dyDescent="0.2"/>
  <cols>
    <col min="1" max="1" width="5" bestFit="1" customWidth="1"/>
    <col min="2" max="2" width="16.140625" customWidth="1"/>
    <col min="3" max="14" width="9.140625" style="2"/>
    <col min="32" max="32" width="13.42578125" bestFit="1" customWidth="1"/>
  </cols>
  <sheetData>
    <row r="1" spans="1:29" x14ac:dyDescent="0.2">
      <c r="A1" s="14" t="s">
        <v>7</v>
      </c>
    </row>
    <row r="3" spans="1:29" x14ac:dyDescent="0.2">
      <c r="C3" s="2" t="s">
        <v>9</v>
      </c>
      <c r="D3" s="2" t="s">
        <v>10</v>
      </c>
      <c r="E3" s="2" t="s">
        <v>11</v>
      </c>
      <c r="F3" s="2" t="s">
        <v>12</v>
      </c>
      <c r="G3" s="2" t="s">
        <v>13</v>
      </c>
      <c r="H3" s="2" t="s">
        <v>14</v>
      </c>
      <c r="I3" s="2" t="s">
        <v>15</v>
      </c>
      <c r="J3" s="2" t="s">
        <v>16</v>
      </c>
      <c r="K3" s="2" t="s">
        <v>6</v>
      </c>
      <c r="L3" s="2" t="s">
        <v>17</v>
      </c>
      <c r="M3" s="2" t="s">
        <v>18</v>
      </c>
      <c r="N3" s="2" t="s">
        <v>19</v>
      </c>
      <c r="Q3">
        <v>2018</v>
      </c>
      <c r="R3">
        <v>2019</v>
      </c>
      <c r="S3">
        <v>2020</v>
      </c>
      <c r="T3">
        <v>2021</v>
      </c>
      <c r="U3">
        <f>T3+1</f>
        <v>2022</v>
      </c>
      <c r="V3">
        <f t="shared" ref="V3:AC3" si="0">U3+1</f>
        <v>2023</v>
      </c>
      <c r="W3">
        <f t="shared" si="0"/>
        <v>2024</v>
      </c>
      <c r="X3">
        <f t="shared" si="0"/>
        <v>2025</v>
      </c>
      <c r="Y3">
        <f t="shared" si="0"/>
        <v>2026</v>
      </c>
      <c r="Z3">
        <f t="shared" si="0"/>
        <v>2027</v>
      </c>
      <c r="AA3">
        <f t="shared" si="0"/>
        <v>2028</v>
      </c>
      <c r="AB3">
        <f t="shared" si="0"/>
        <v>2029</v>
      </c>
      <c r="AC3">
        <f t="shared" si="0"/>
        <v>2030</v>
      </c>
    </row>
    <row r="4" spans="1:29" s="3" customFormat="1" x14ac:dyDescent="0.2">
      <c r="B4" s="3" t="s">
        <v>41</v>
      </c>
      <c r="C4" s="13"/>
      <c r="D4" s="13">
        <v>151</v>
      </c>
      <c r="E4" s="13">
        <v>-22</v>
      </c>
      <c r="F4" s="13">
        <v>-2</v>
      </c>
      <c r="G4" s="13">
        <v>-109</v>
      </c>
      <c r="H4" s="13">
        <v>-7</v>
      </c>
      <c r="I4" s="13">
        <v>62</v>
      </c>
      <c r="J4" s="13">
        <v>203</v>
      </c>
      <c r="K4" s="13">
        <v>278</v>
      </c>
      <c r="L4" s="13">
        <v>375</v>
      </c>
      <c r="M4" s="13"/>
      <c r="N4" s="13"/>
    </row>
    <row r="5" spans="1:29" s="3" customFormat="1" x14ac:dyDescent="0.2">
      <c r="B5" s="3" t="s">
        <v>40</v>
      </c>
      <c r="C5" s="13"/>
      <c r="D5" s="13">
        <v>148</v>
      </c>
      <c r="E5" s="13">
        <v>178</v>
      </c>
      <c r="F5" s="13">
        <v>196</v>
      </c>
      <c r="G5" s="13">
        <v>198</v>
      </c>
      <c r="H5" s="13">
        <v>192</v>
      </c>
      <c r="I5" s="13">
        <v>182</v>
      </c>
      <c r="J5" s="13">
        <v>181</v>
      </c>
      <c r="K5" s="13">
        <v>440</v>
      </c>
      <c r="L5" s="13">
        <v>193</v>
      </c>
      <c r="M5" s="13">
        <f>+I5</f>
        <v>182</v>
      </c>
      <c r="N5" s="13">
        <f t="shared" ref="N5" si="1">+J5</f>
        <v>181</v>
      </c>
      <c r="U5" s="3">
        <f>SUM(K5:N5)</f>
        <v>996</v>
      </c>
      <c r="V5" s="3">
        <f>+U5*1.01</f>
        <v>1005.96</v>
      </c>
      <c r="W5" s="3">
        <f t="shared" ref="W5:AC5" si="2">+V5*1.01</f>
        <v>1016.0196000000001</v>
      </c>
      <c r="X5" s="3">
        <f t="shared" si="2"/>
        <v>1026.1797960000001</v>
      </c>
      <c r="Y5" s="3">
        <f t="shared" si="2"/>
        <v>1036.4415939600001</v>
      </c>
      <c r="Z5" s="3">
        <f t="shared" si="2"/>
        <v>1046.8060098996002</v>
      </c>
      <c r="AA5" s="3">
        <f t="shared" si="2"/>
        <v>1057.2740699985961</v>
      </c>
      <c r="AB5" s="3">
        <f t="shared" si="2"/>
        <v>1067.8468106985822</v>
      </c>
      <c r="AC5" s="3">
        <f t="shared" si="2"/>
        <v>1078.525278805568</v>
      </c>
    </row>
    <row r="6" spans="1:29" s="3" customFormat="1" x14ac:dyDescent="0.2">
      <c r="B6" s="3" t="s">
        <v>39</v>
      </c>
      <c r="C6" s="13"/>
      <c r="D6" s="13">
        <v>3007</v>
      </c>
      <c r="E6" s="13">
        <v>3444</v>
      </c>
      <c r="F6" s="13">
        <v>3831</v>
      </c>
      <c r="G6" s="13">
        <v>4047</v>
      </c>
      <c r="H6" s="13">
        <v>4628</v>
      </c>
      <c r="I6" s="13">
        <v>4990</v>
      </c>
      <c r="J6" s="13">
        <v>5541</v>
      </c>
      <c r="K6" s="13">
        <v>5821</v>
      </c>
      <c r="L6" s="13">
        <v>6276</v>
      </c>
      <c r="M6" s="13">
        <f>+I6*1.4</f>
        <v>6986</v>
      </c>
      <c r="N6" s="13">
        <f t="shared" ref="N6" si="3">+J6*1.4</f>
        <v>7757.4</v>
      </c>
      <c r="U6" s="3">
        <f>SUM(K6:N6)</f>
        <v>26840.400000000001</v>
      </c>
      <c r="V6" s="3">
        <f>+U6*1.4</f>
        <v>37576.559999999998</v>
      </c>
      <c r="W6" s="3">
        <f t="shared" ref="W6:AC6" si="4">+V6*1.4</f>
        <v>52607.183999999994</v>
      </c>
      <c r="X6" s="3">
        <f>+W6*1.3</f>
        <v>68389.339199999988</v>
      </c>
      <c r="Y6" s="3">
        <f>+X6*1.3</f>
        <v>88906.14095999999</v>
      </c>
      <c r="Z6" s="3">
        <f>+Y6*1.3</f>
        <v>115577.98324799999</v>
      </c>
      <c r="AA6" s="3">
        <f>+Z6*1.2</f>
        <v>138693.57989759999</v>
      </c>
      <c r="AB6" s="3">
        <f>+AA6*1.2</f>
        <v>166432.29587711999</v>
      </c>
      <c r="AC6" s="3">
        <f>+AB6*1.2</f>
        <v>199718.75505254397</v>
      </c>
    </row>
    <row r="7" spans="1:29" s="3" customFormat="1" x14ac:dyDescent="0.2">
      <c r="B7" s="3" t="s">
        <v>28</v>
      </c>
      <c r="C7" s="13"/>
      <c r="D7" s="13">
        <v>5124</v>
      </c>
      <c r="E7" s="13">
        <v>5478</v>
      </c>
      <c r="F7" s="13">
        <v>6674</v>
      </c>
      <c r="G7" s="13">
        <v>6494</v>
      </c>
      <c r="H7" s="13">
        <v>6623</v>
      </c>
      <c r="I7" s="13">
        <v>6754</v>
      </c>
      <c r="J7" s="13">
        <v>8161</v>
      </c>
      <c r="K7" s="13">
        <v>6811</v>
      </c>
      <c r="L7" s="13">
        <v>6553</v>
      </c>
      <c r="M7" s="13">
        <f>+I7*1.03</f>
        <v>6956.62</v>
      </c>
      <c r="N7" s="13">
        <f>+J7*1.03</f>
        <v>8405.83</v>
      </c>
      <c r="U7" s="3">
        <f>SUM(K7:N7)</f>
        <v>28726.449999999997</v>
      </c>
      <c r="V7" s="3">
        <f>+U7*1.03</f>
        <v>29588.243499999997</v>
      </c>
      <c r="W7" s="3">
        <f t="shared" ref="W7:AC7" si="5">+V7*1.03</f>
        <v>30475.890804999999</v>
      </c>
      <c r="X7" s="3">
        <f t="shared" si="5"/>
        <v>31390.16752915</v>
      </c>
      <c r="Y7" s="3">
        <f t="shared" si="5"/>
        <v>32331.8725550245</v>
      </c>
      <c r="Z7" s="3">
        <f t="shared" si="5"/>
        <v>33301.828731675232</v>
      </c>
      <c r="AA7" s="3">
        <f t="shared" si="5"/>
        <v>34300.883593625491</v>
      </c>
      <c r="AB7" s="3">
        <f t="shared" si="5"/>
        <v>35329.91010143426</v>
      </c>
      <c r="AC7" s="3">
        <f t="shared" si="5"/>
        <v>36389.807404477287</v>
      </c>
    </row>
    <row r="8" spans="1:29" s="3" customFormat="1" x14ac:dyDescent="0.2">
      <c r="B8" s="3" t="s">
        <v>45</v>
      </c>
      <c r="C8" s="13"/>
      <c r="D8" s="13">
        <v>4736</v>
      </c>
      <c r="E8" s="13">
        <v>5720</v>
      </c>
      <c r="F8" s="13">
        <v>7411</v>
      </c>
      <c r="G8" s="13">
        <v>6800</v>
      </c>
      <c r="H8" s="13">
        <v>7597</v>
      </c>
      <c r="I8" s="13">
        <v>7999</v>
      </c>
      <c r="J8" s="13">
        <v>9305</v>
      </c>
      <c r="K8" s="13">
        <v>8174</v>
      </c>
      <c r="L8" s="13">
        <v>8259</v>
      </c>
      <c r="M8" s="13">
        <f>+I8*1.1</f>
        <v>8798.9000000000015</v>
      </c>
      <c r="N8" s="13">
        <f>+J8*1.1</f>
        <v>10235.5</v>
      </c>
      <c r="U8" s="3">
        <f>SUM(K8:N8)</f>
        <v>35467.4</v>
      </c>
      <c r="V8" s="3">
        <f>+U8*1.03</f>
        <v>36531.422000000006</v>
      </c>
      <c r="W8" s="3">
        <f t="shared" ref="W8:AC8" si="6">+V8*1.03</f>
        <v>37627.364660000007</v>
      </c>
      <c r="X8" s="3">
        <f t="shared" si="6"/>
        <v>38756.18559980001</v>
      </c>
      <c r="Y8" s="3">
        <f t="shared" si="6"/>
        <v>39918.871167794008</v>
      </c>
      <c r="Z8" s="3">
        <f t="shared" si="6"/>
        <v>41116.437302827828</v>
      </c>
      <c r="AA8" s="3">
        <f t="shared" si="6"/>
        <v>42349.930421912664</v>
      </c>
      <c r="AB8" s="3">
        <f t="shared" si="6"/>
        <v>43620.428334570046</v>
      </c>
      <c r="AC8" s="3">
        <f t="shared" si="6"/>
        <v>44929.041184607151</v>
      </c>
    </row>
    <row r="9" spans="1:29" s="3" customFormat="1" x14ac:dyDescent="0.2">
      <c r="B9" s="3" t="s">
        <v>44</v>
      </c>
      <c r="C9" s="13"/>
      <c r="D9" s="13">
        <v>3812</v>
      </c>
      <c r="E9" s="13">
        <v>5037</v>
      </c>
      <c r="F9" s="13">
        <v>6885</v>
      </c>
      <c r="G9" s="13">
        <v>6005</v>
      </c>
      <c r="H9" s="13">
        <v>7002</v>
      </c>
      <c r="I9" s="13">
        <v>7205</v>
      </c>
      <c r="J9" s="13">
        <v>8633</v>
      </c>
      <c r="K9" s="13">
        <v>6869</v>
      </c>
      <c r="L9" s="13">
        <v>7340</v>
      </c>
      <c r="M9" s="13">
        <f>+I9*1.06</f>
        <v>7637.3</v>
      </c>
      <c r="N9" s="13">
        <f>+J9*1.06</f>
        <v>9150.98</v>
      </c>
      <c r="U9" s="3">
        <f>SUM(K9:N9)</f>
        <v>30997.279999999999</v>
      </c>
      <c r="V9" s="3">
        <f>+U9*1.05</f>
        <v>32547.144</v>
      </c>
      <c r="W9" s="3">
        <f t="shared" ref="W9:AC9" si="7">+V9*1.05</f>
        <v>34174.501199999999</v>
      </c>
      <c r="X9" s="3">
        <f t="shared" si="7"/>
        <v>35883.226260000003</v>
      </c>
      <c r="Y9" s="3">
        <f t="shared" si="7"/>
        <v>37677.387573000007</v>
      </c>
      <c r="Z9" s="3">
        <f t="shared" si="7"/>
        <v>39561.256951650008</v>
      </c>
      <c r="AA9" s="3">
        <f t="shared" si="7"/>
        <v>41539.319799232508</v>
      </c>
      <c r="AB9" s="3">
        <f t="shared" si="7"/>
        <v>43616.285789194138</v>
      </c>
      <c r="AC9" s="3">
        <f t="shared" si="7"/>
        <v>45797.10007865385</v>
      </c>
    </row>
    <row r="10" spans="1:29" s="3" customFormat="1" x14ac:dyDescent="0.2">
      <c r="B10" s="3" t="s">
        <v>46</v>
      </c>
      <c r="C10" s="13"/>
      <c r="D10" s="13">
        <v>21319</v>
      </c>
      <c r="E10" s="13">
        <v>26338</v>
      </c>
      <c r="F10" s="13">
        <v>31903</v>
      </c>
      <c r="G10" s="13">
        <v>31879</v>
      </c>
      <c r="H10" s="13">
        <v>35845</v>
      </c>
      <c r="I10" s="13">
        <v>37926</v>
      </c>
      <c r="J10" s="13">
        <v>43301</v>
      </c>
      <c r="K10" s="13">
        <v>39618</v>
      </c>
      <c r="L10" s="13">
        <v>40689</v>
      </c>
      <c r="M10" s="13">
        <f>+I10*1.1</f>
        <v>41718.600000000006</v>
      </c>
      <c r="N10" s="13">
        <f>+J10*1.1</f>
        <v>47631.100000000006</v>
      </c>
      <c r="U10" s="3">
        <f>SUM(K10:N10)</f>
        <v>169656.7</v>
      </c>
      <c r="V10" s="3">
        <f>+U10*1.1</f>
        <v>186622.37000000002</v>
      </c>
      <c r="W10" s="3">
        <f t="shared" ref="W10:AC10" si="8">+V10*1.1</f>
        <v>205284.60700000005</v>
      </c>
      <c r="X10" s="3">
        <f t="shared" si="8"/>
        <v>225813.06770000007</v>
      </c>
      <c r="Y10" s="3">
        <f t="shared" si="8"/>
        <v>248394.3744700001</v>
      </c>
      <c r="Z10" s="3">
        <f t="shared" si="8"/>
        <v>273233.8119170001</v>
      </c>
      <c r="AA10" s="3">
        <f t="shared" si="8"/>
        <v>300557.19310870016</v>
      </c>
      <c r="AB10" s="3">
        <f t="shared" si="8"/>
        <v>330612.9124195702</v>
      </c>
      <c r="AC10" s="3">
        <f t="shared" si="8"/>
        <v>363674.20366152725</v>
      </c>
    </row>
    <row r="11" spans="1:29" s="3" customFormat="1" x14ac:dyDescent="0.2">
      <c r="B11" s="3" t="s">
        <v>38</v>
      </c>
      <c r="C11" s="13"/>
      <c r="D11" s="13">
        <f t="shared" ref="D11" si="9">SUM(D7:D10)</f>
        <v>34991</v>
      </c>
      <c r="E11" s="13">
        <f>SUM(E7:E10)</f>
        <v>42573</v>
      </c>
      <c r="F11" s="13">
        <f>SUM(F7:F10)</f>
        <v>52873</v>
      </c>
      <c r="G11" s="13">
        <v>51178</v>
      </c>
      <c r="H11" s="13">
        <f t="shared" ref="H11" si="10">SUM(H7:H10)</f>
        <v>57067</v>
      </c>
      <c r="I11" s="13">
        <f>SUM(I7:I10)</f>
        <v>59884</v>
      </c>
      <c r="J11" s="13">
        <f>SUM(J7:J10)</f>
        <v>69400</v>
      </c>
      <c r="K11" s="13">
        <f>SUM(K7:K10)</f>
        <v>61472</v>
      </c>
      <c r="L11" s="13">
        <f>SUM(L7:L10)</f>
        <v>62841</v>
      </c>
      <c r="M11" s="13">
        <f>SUM(M7:M10)</f>
        <v>65111.420000000006</v>
      </c>
      <c r="N11" s="13">
        <f>SUM(N7:N10)</f>
        <v>75423.41</v>
      </c>
      <c r="U11" s="13">
        <f>SUM(U7:U10)</f>
        <v>264847.83</v>
      </c>
      <c r="V11" s="13">
        <f>SUM(V7:V10)</f>
        <v>285289.17950000003</v>
      </c>
      <c r="W11" s="13">
        <f t="shared" ref="W11:AC11" si="11">SUM(W7:W10)</f>
        <v>307562.36366500007</v>
      </c>
      <c r="X11" s="13">
        <f t="shared" si="11"/>
        <v>331842.64708895009</v>
      </c>
      <c r="Y11" s="13">
        <f t="shared" si="11"/>
        <v>358322.50576581864</v>
      </c>
      <c r="Z11" s="13">
        <f t="shared" si="11"/>
        <v>387213.33490315318</v>
      </c>
      <c r="AA11" s="13">
        <f t="shared" si="11"/>
        <v>418747.32692347083</v>
      </c>
      <c r="AB11" s="13">
        <f t="shared" si="11"/>
        <v>453179.53664476867</v>
      </c>
      <c r="AC11" s="13">
        <f t="shared" si="11"/>
        <v>490790.15232926555</v>
      </c>
    </row>
    <row r="12" spans="1:29" s="11" customFormat="1" x14ac:dyDescent="0.2">
      <c r="B12" s="11" t="s">
        <v>8</v>
      </c>
      <c r="C12" s="12"/>
      <c r="D12" s="12">
        <f t="shared" ref="D12" si="12">D11+D6+D5+D4</f>
        <v>38297</v>
      </c>
      <c r="E12" s="12">
        <f>E11+E6+E5+E4</f>
        <v>46173</v>
      </c>
      <c r="F12" s="12">
        <f>F11+F6+F5+F4</f>
        <v>56898</v>
      </c>
      <c r="G12" s="12">
        <v>55314</v>
      </c>
      <c r="H12" s="12">
        <f t="shared" ref="H12" si="13">H11+H6+H5+H4</f>
        <v>61880</v>
      </c>
      <c r="I12" s="12">
        <f>I11+I6+I5+I4</f>
        <v>65118</v>
      </c>
      <c r="J12" s="12">
        <f>J11+J6+J5+J4</f>
        <v>75325</v>
      </c>
      <c r="K12" s="12">
        <f>K11+K6+K5+K4</f>
        <v>68011</v>
      </c>
      <c r="L12" s="12">
        <f>L11+L6+L5+L4</f>
        <v>69685</v>
      </c>
      <c r="M12" s="12">
        <f t="shared" ref="M12:N12" si="14">M11+M6+M5+M4</f>
        <v>72279.420000000013</v>
      </c>
      <c r="N12" s="12">
        <f t="shared" si="14"/>
        <v>83361.81</v>
      </c>
      <c r="O12" s="12"/>
      <c r="S12" s="11">
        <v>182527</v>
      </c>
      <c r="T12" s="11">
        <v>257637</v>
      </c>
      <c r="U12" s="12">
        <f t="shared" ref="U12:V12" si="15">U11+U6+U5+U4</f>
        <v>292684.23000000004</v>
      </c>
      <c r="V12" s="12">
        <f t="shared" si="15"/>
        <v>323871.69950000005</v>
      </c>
      <c r="W12" s="12">
        <f t="shared" ref="W12" si="16">W11+W6+W5+W4</f>
        <v>361185.56726500008</v>
      </c>
      <c r="X12" s="12">
        <f t="shared" ref="X12" si="17">X11+X6+X5+X4</f>
        <v>401258.16608495009</v>
      </c>
      <c r="Y12" s="12">
        <f t="shared" ref="Y12" si="18">Y11+Y6+Y5+Y4</f>
        <v>448265.08831977862</v>
      </c>
      <c r="Z12" s="12">
        <f t="shared" ref="Z12" si="19">Z11+Z6+Z5+Z4</f>
        <v>503838.12416105275</v>
      </c>
      <c r="AA12" s="12">
        <f t="shared" ref="AA12" si="20">AA11+AA6+AA5+AA4</f>
        <v>558498.18089106947</v>
      </c>
      <c r="AB12" s="12">
        <f t="shared" ref="AB12" si="21">AB11+AB6+AB5+AB4</f>
        <v>620679.67933258729</v>
      </c>
      <c r="AC12" s="12">
        <f t="shared" ref="AC12" si="22">AC11+AC6+AC5+AC4</f>
        <v>691587.43266061507</v>
      </c>
    </row>
    <row r="13" spans="1:29" s="3" customFormat="1" x14ac:dyDescent="0.2">
      <c r="B13" s="3" t="s">
        <v>20</v>
      </c>
      <c r="C13" s="13"/>
      <c r="D13" s="13">
        <v>18553</v>
      </c>
      <c r="E13" s="13">
        <v>21117</v>
      </c>
      <c r="F13" s="13">
        <v>26080</v>
      </c>
      <c r="G13" s="13">
        <v>24103</v>
      </c>
      <c r="H13" s="13">
        <v>26227</v>
      </c>
      <c r="I13" s="13">
        <v>27621</v>
      </c>
      <c r="J13" s="13">
        <v>32988</v>
      </c>
      <c r="K13" s="13">
        <v>29599</v>
      </c>
      <c r="L13" s="13">
        <v>30104</v>
      </c>
      <c r="M13" s="13">
        <f>+M12-M15</f>
        <v>30718.753500000006</v>
      </c>
      <c r="N13" s="13">
        <f>+N12-N15</f>
        <v>35428.769250000005</v>
      </c>
      <c r="S13" s="3">
        <v>84732</v>
      </c>
      <c r="T13" s="3">
        <v>110939</v>
      </c>
      <c r="U13" s="3">
        <f>SUM(K13:N13)</f>
        <v>125850.52275</v>
      </c>
      <c r="V13" s="3">
        <f>+V12-V15</f>
        <v>139264.83078500003</v>
      </c>
      <c r="W13" s="3">
        <f t="shared" ref="W13:AC13" si="23">+W12-W15</f>
        <v>155309.79392395006</v>
      </c>
      <c r="X13" s="3">
        <f t="shared" si="23"/>
        <v>172541.01141652855</v>
      </c>
      <c r="Y13" s="3">
        <f t="shared" si="23"/>
        <v>192753.98797750482</v>
      </c>
      <c r="Z13" s="3">
        <f t="shared" si="23"/>
        <v>216650.39338925271</v>
      </c>
      <c r="AA13" s="3">
        <f t="shared" si="23"/>
        <v>240154.21778315993</v>
      </c>
      <c r="AB13" s="3">
        <f t="shared" si="23"/>
        <v>266892.26211301255</v>
      </c>
      <c r="AC13" s="3">
        <f t="shared" si="23"/>
        <v>297382.5960440645</v>
      </c>
    </row>
    <row r="14" spans="1:29" s="3" customFormat="1" x14ac:dyDescent="0.2">
      <c r="B14" s="3" t="s">
        <v>51</v>
      </c>
      <c r="C14" s="13"/>
      <c r="D14" s="13"/>
      <c r="E14" s="13"/>
      <c r="F14" s="13"/>
      <c r="G14" s="13"/>
      <c r="H14" s="13">
        <v>10929</v>
      </c>
      <c r="I14" s="13"/>
      <c r="J14" s="13"/>
      <c r="K14" s="13"/>
      <c r="L14" s="13">
        <v>12214</v>
      </c>
      <c r="M14" s="13"/>
      <c r="N14" s="13"/>
    </row>
    <row r="15" spans="1:29" s="3" customFormat="1" x14ac:dyDescent="0.2">
      <c r="B15" s="3" t="s">
        <v>21</v>
      </c>
      <c r="C15" s="13">
        <f t="shared" ref="C15" si="24">C12-C13</f>
        <v>0</v>
      </c>
      <c r="D15" s="13">
        <f t="shared" ref="D15" si="25">D12-D13</f>
        <v>19744</v>
      </c>
      <c r="E15" s="13">
        <f t="shared" ref="E15" si="26">E12-E13</f>
        <v>25056</v>
      </c>
      <c r="F15" s="13">
        <f t="shared" ref="F15:J15" si="27">F12-F13</f>
        <v>30818</v>
      </c>
      <c r="G15" s="13">
        <f t="shared" si="27"/>
        <v>31211</v>
      </c>
      <c r="H15" s="13">
        <f t="shared" si="27"/>
        <v>35653</v>
      </c>
      <c r="I15" s="13">
        <f t="shared" si="27"/>
        <v>37497</v>
      </c>
      <c r="J15" s="13">
        <f t="shared" si="27"/>
        <v>42337</v>
      </c>
      <c r="K15" s="13">
        <f>K12-K13</f>
        <v>38412</v>
      </c>
      <c r="L15" s="13">
        <f t="shared" ref="L15" si="28">L12-L13</f>
        <v>39581</v>
      </c>
      <c r="M15" s="13">
        <f>+M12*0.575</f>
        <v>41560.666500000007</v>
      </c>
      <c r="N15" s="13">
        <f>+N12*0.575</f>
        <v>47933.040749999993</v>
      </c>
      <c r="S15" s="3">
        <f>S12-S13</f>
        <v>97795</v>
      </c>
      <c r="T15" s="3">
        <f t="shared" ref="T15" si="29">T12-T13</f>
        <v>146698</v>
      </c>
      <c r="U15" s="3">
        <f>+U12-U13</f>
        <v>166833.70725000004</v>
      </c>
      <c r="V15" s="3">
        <f>+V12*0.57</f>
        <v>184606.86871500002</v>
      </c>
      <c r="W15" s="3">
        <f t="shared" ref="W15:AC15" si="30">+W12*0.57</f>
        <v>205875.77334105002</v>
      </c>
      <c r="X15" s="3">
        <f t="shared" si="30"/>
        <v>228717.15466842154</v>
      </c>
      <c r="Y15" s="3">
        <f t="shared" si="30"/>
        <v>255511.1003422738</v>
      </c>
      <c r="Z15" s="3">
        <f t="shared" si="30"/>
        <v>287187.73077180004</v>
      </c>
      <c r="AA15" s="3">
        <f t="shared" si="30"/>
        <v>318343.96310790954</v>
      </c>
      <c r="AB15" s="3">
        <f t="shared" si="30"/>
        <v>353787.41721957474</v>
      </c>
      <c r="AC15" s="3">
        <f t="shared" si="30"/>
        <v>394204.83661655057</v>
      </c>
    </row>
    <row r="16" spans="1:29" s="3" customFormat="1" x14ac:dyDescent="0.2">
      <c r="B16" s="3" t="s">
        <v>22</v>
      </c>
      <c r="C16" s="13"/>
      <c r="D16" s="13">
        <v>6875</v>
      </c>
      <c r="E16" s="13">
        <v>6856</v>
      </c>
      <c r="F16" s="13">
        <v>7022</v>
      </c>
      <c r="G16" s="13">
        <v>7485</v>
      </c>
      <c r="H16" s="13">
        <v>7675</v>
      </c>
      <c r="I16" s="13">
        <v>7694</v>
      </c>
      <c r="J16" s="13">
        <v>8708</v>
      </c>
      <c r="K16" s="13">
        <v>9119</v>
      </c>
      <c r="L16" s="13">
        <v>9841</v>
      </c>
      <c r="M16" s="13">
        <f>+I16*1.1</f>
        <v>8463.4000000000015</v>
      </c>
      <c r="N16" s="13">
        <f>+J16*1.1</f>
        <v>9578.8000000000011</v>
      </c>
      <c r="S16" s="3">
        <v>27573</v>
      </c>
      <c r="T16" s="3">
        <v>31562</v>
      </c>
      <c r="U16" s="3">
        <f t="shared" ref="U16:U18" si="31">SUM(K16:N16)</f>
        <v>37002.200000000004</v>
      </c>
      <c r="V16" s="3">
        <f>+U16*1.05</f>
        <v>38852.310000000005</v>
      </c>
      <c r="W16" s="3">
        <f t="shared" ref="W16:AC16" si="32">+V16*1.05</f>
        <v>40794.925500000005</v>
      </c>
      <c r="X16" s="3">
        <f t="shared" si="32"/>
        <v>42834.67177500001</v>
      </c>
      <c r="Y16" s="3">
        <f t="shared" si="32"/>
        <v>44976.405363750011</v>
      </c>
      <c r="Z16" s="3">
        <f t="shared" si="32"/>
        <v>47225.225631937516</v>
      </c>
      <c r="AA16" s="3">
        <f t="shared" si="32"/>
        <v>49586.486913534391</v>
      </c>
      <c r="AB16" s="3">
        <f t="shared" si="32"/>
        <v>52065.811259211114</v>
      </c>
      <c r="AC16" s="3">
        <f t="shared" si="32"/>
        <v>54669.101822171673</v>
      </c>
    </row>
    <row r="17" spans="2:86" s="3" customFormat="1" x14ac:dyDescent="0.2">
      <c r="B17" s="3" t="s">
        <v>23</v>
      </c>
      <c r="C17" s="13"/>
      <c r="D17" s="13">
        <v>3901</v>
      </c>
      <c r="E17" s="13">
        <v>4231</v>
      </c>
      <c r="F17" s="13">
        <v>5314</v>
      </c>
      <c r="G17" s="13">
        <v>4516</v>
      </c>
      <c r="H17" s="13">
        <v>5276</v>
      </c>
      <c r="I17" s="13">
        <v>5516</v>
      </c>
      <c r="J17" s="13">
        <v>7604</v>
      </c>
      <c r="K17" s="13">
        <v>5825</v>
      </c>
      <c r="L17" s="13">
        <v>6630</v>
      </c>
      <c r="M17" s="13">
        <f>+I17*1.05</f>
        <v>5791.8</v>
      </c>
      <c r="N17" s="13">
        <f>+J17*1.05</f>
        <v>7984.2000000000007</v>
      </c>
      <c r="S17" s="3">
        <v>17946</v>
      </c>
      <c r="T17" s="3">
        <v>22912</v>
      </c>
      <c r="U17" s="3">
        <f t="shared" si="31"/>
        <v>26231</v>
      </c>
      <c r="V17" s="3">
        <f>+U17*1.05</f>
        <v>27542.550000000003</v>
      </c>
      <c r="W17" s="3">
        <f t="shared" ref="W17:AC17" si="33">+V17*1.05</f>
        <v>28919.677500000005</v>
      </c>
      <c r="X17" s="3">
        <f t="shared" si="33"/>
        <v>30365.661375000007</v>
      </c>
      <c r="Y17" s="3">
        <f t="shared" si="33"/>
        <v>31883.94444375001</v>
      </c>
      <c r="Z17" s="3">
        <f t="shared" si="33"/>
        <v>33478.14166593751</v>
      </c>
      <c r="AA17" s="3">
        <f t="shared" si="33"/>
        <v>35152.048749234389</v>
      </c>
      <c r="AB17" s="3">
        <f t="shared" si="33"/>
        <v>36909.651186696108</v>
      </c>
      <c r="AC17" s="3">
        <f t="shared" si="33"/>
        <v>38755.133746030915</v>
      </c>
    </row>
    <row r="18" spans="2:86" s="3" customFormat="1" x14ac:dyDescent="0.2">
      <c r="B18" s="3" t="s">
        <v>24</v>
      </c>
      <c r="C18" s="13"/>
      <c r="D18" s="13">
        <v>2585</v>
      </c>
      <c r="E18" s="13">
        <v>2756</v>
      </c>
      <c r="F18" s="13">
        <v>2831</v>
      </c>
      <c r="G18" s="13">
        <v>2773</v>
      </c>
      <c r="H18" s="13">
        <v>3341</v>
      </c>
      <c r="I18" s="13">
        <v>3256</v>
      </c>
      <c r="J18" s="13">
        <v>4140</v>
      </c>
      <c r="K18" s="13">
        <v>3374</v>
      </c>
      <c r="L18" s="13">
        <v>3657</v>
      </c>
      <c r="M18" s="13">
        <f>+I18*1.05</f>
        <v>3418.8</v>
      </c>
      <c r="N18" s="13">
        <f>+J18*1.05</f>
        <v>4347</v>
      </c>
      <c r="S18" s="3">
        <v>11052</v>
      </c>
      <c r="T18" s="3">
        <v>13510</v>
      </c>
      <c r="U18" s="3">
        <f t="shared" si="31"/>
        <v>14796.8</v>
      </c>
      <c r="V18" s="3">
        <f>+U18*1.05</f>
        <v>15536.64</v>
      </c>
      <c r="W18" s="3">
        <f t="shared" ref="W18:AC18" si="34">+V18*1.05</f>
        <v>16313.472</v>
      </c>
      <c r="X18" s="3">
        <f t="shared" si="34"/>
        <v>17129.1456</v>
      </c>
      <c r="Y18" s="3">
        <f t="shared" si="34"/>
        <v>17985.602880000002</v>
      </c>
      <c r="Z18" s="3">
        <f t="shared" si="34"/>
        <v>18884.883024000002</v>
      </c>
      <c r="AA18" s="3">
        <f t="shared" si="34"/>
        <v>19829.127175200003</v>
      </c>
      <c r="AB18" s="3">
        <f t="shared" si="34"/>
        <v>20820.583533960005</v>
      </c>
      <c r="AC18" s="3">
        <f t="shared" si="34"/>
        <v>21861.612710658006</v>
      </c>
    </row>
    <row r="19" spans="2:86" s="3" customFormat="1" x14ac:dyDescent="0.2">
      <c r="B19" s="3" t="s">
        <v>26</v>
      </c>
      <c r="C19" s="13">
        <f t="shared" ref="C19" si="35">SUM(C16:C18)</f>
        <v>0</v>
      </c>
      <c r="D19" s="13">
        <f t="shared" ref="D19" si="36">SUM(D16:D18)</f>
        <v>13361</v>
      </c>
      <c r="E19" s="13">
        <f t="shared" ref="E19" si="37">SUM(E16:E18)</f>
        <v>13843</v>
      </c>
      <c r="F19" s="13">
        <f t="shared" ref="F19" si="38">SUM(F16:F18)</f>
        <v>15167</v>
      </c>
      <c r="G19" s="13">
        <f>SUM(G16:G18)</f>
        <v>14774</v>
      </c>
      <c r="H19" s="13">
        <f t="shared" ref="H19:K19" si="39">SUM(H16:H18)</f>
        <v>16292</v>
      </c>
      <c r="I19" s="13">
        <f t="shared" si="39"/>
        <v>16466</v>
      </c>
      <c r="J19" s="13">
        <f t="shared" si="39"/>
        <v>20452</v>
      </c>
      <c r="K19" s="13">
        <f t="shared" si="39"/>
        <v>18318</v>
      </c>
      <c r="L19" s="13">
        <f t="shared" ref="L19:N19" si="40">SUM(L16:L18)</f>
        <v>20128</v>
      </c>
      <c r="M19" s="13">
        <f t="shared" si="40"/>
        <v>17674</v>
      </c>
      <c r="N19" s="13">
        <f t="shared" si="40"/>
        <v>21910</v>
      </c>
      <c r="S19" s="3">
        <f>SUM(S16:S18)</f>
        <v>56571</v>
      </c>
      <c r="T19" s="3">
        <f t="shared" ref="T19:V19" si="41">SUM(T16:T18)</f>
        <v>67984</v>
      </c>
      <c r="U19" s="3">
        <f t="shared" si="41"/>
        <v>78030</v>
      </c>
      <c r="V19" s="3">
        <f t="shared" si="41"/>
        <v>81931.500000000015</v>
      </c>
      <c r="W19" s="3">
        <f t="shared" ref="W19:AC19" si="42">SUM(W16:W18)</f>
        <v>86028.074999999997</v>
      </c>
      <c r="X19" s="3">
        <f t="shared" si="42"/>
        <v>90329.478750000024</v>
      </c>
      <c r="Y19" s="3">
        <f t="shared" si="42"/>
        <v>94845.95268750003</v>
      </c>
      <c r="Z19" s="3">
        <f t="shared" si="42"/>
        <v>99588.250321875035</v>
      </c>
      <c r="AA19" s="3">
        <f t="shared" si="42"/>
        <v>104567.66283796879</v>
      </c>
      <c r="AB19" s="3">
        <f t="shared" si="42"/>
        <v>109796.04597986722</v>
      </c>
      <c r="AC19" s="3">
        <f t="shared" si="42"/>
        <v>115285.84827886061</v>
      </c>
    </row>
    <row r="20" spans="2:86" s="3" customFormat="1" x14ac:dyDescent="0.2">
      <c r="B20" s="3" t="s">
        <v>27</v>
      </c>
      <c r="C20" s="13">
        <f t="shared" ref="C20" si="43">C15-C19</f>
        <v>0</v>
      </c>
      <c r="D20" s="13">
        <f t="shared" ref="D20" si="44">D15-D19</f>
        <v>6383</v>
      </c>
      <c r="E20" s="13">
        <f t="shared" ref="E20" si="45">E15-E19</f>
        <v>11213</v>
      </c>
      <c r="F20" s="13">
        <f t="shared" ref="F20" si="46">F15-F19</f>
        <v>15651</v>
      </c>
      <c r="G20" s="13">
        <f t="shared" ref="G20:J20" si="47">G15-G19</f>
        <v>16437</v>
      </c>
      <c r="H20" s="13">
        <f t="shared" si="47"/>
        <v>19361</v>
      </c>
      <c r="I20" s="13">
        <f t="shared" si="47"/>
        <v>21031</v>
      </c>
      <c r="J20" s="13">
        <f t="shared" si="47"/>
        <v>21885</v>
      </c>
      <c r="K20" s="13">
        <f>K15-K19</f>
        <v>20094</v>
      </c>
      <c r="L20" s="13">
        <f t="shared" ref="L20:N20" si="48">L15-L19</f>
        <v>19453</v>
      </c>
      <c r="M20" s="13">
        <f t="shared" si="48"/>
        <v>23886.666500000007</v>
      </c>
      <c r="N20" s="13">
        <f t="shared" si="48"/>
        <v>26023.040749999993</v>
      </c>
      <c r="S20" s="3">
        <f>S15-S19</f>
        <v>41224</v>
      </c>
      <c r="T20" s="3">
        <f t="shared" ref="T20:V20" si="49">T15-T19</f>
        <v>78714</v>
      </c>
      <c r="U20" s="3">
        <f t="shared" si="49"/>
        <v>88803.707250000036</v>
      </c>
      <c r="V20" s="3">
        <f t="shared" si="49"/>
        <v>102675.368715</v>
      </c>
      <c r="W20" s="3">
        <f t="shared" ref="W20:AC20" si="50">W15-W19</f>
        <v>119847.69834105003</v>
      </c>
      <c r="X20" s="3">
        <f t="shared" si="50"/>
        <v>138387.67591842153</v>
      </c>
      <c r="Y20" s="3">
        <f t="shared" si="50"/>
        <v>160665.14765477378</v>
      </c>
      <c r="Z20" s="3">
        <f t="shared" si="50"/>
        <v>187599.480449925</v>
      </c>
      <c r="AA20" s="3">
        <f t="shared" si="50"/>
        <v>213776.30026994075</v>
      </c>
      <c r="AB20" s="3">
        <f t="shared" si="50"/>
        <v>243991.37123970751</v>
      </c>
      <c r="AC20" s="3">
        <f t="shared" si="50"/>
        <v>278918.98833768995</v>
      </c>
    </row>
    <row r="21" spans="2:86" s="3" customFormat="1" x14ac:dyDescent="0.2">
      <c r="B21" s="3" t="s">
        <v>28</v>
      </c>
      <c r="C21" s="13"/>
      <c r="D21" s="13">
        <v>1894</v>
      </c>
      <c r="E21" s="13">
        <v>2146</v>
      </c>
      <c r="F21" s="13">
        <v>3038</v>
      </c>
      <c r="G21" s="13">
        <v>4846</v>
      </c>
      <c r="H21" s="13">
        <v>2264</v>
      </c>
      <c r="I21" s="13">
        <v>2033</v>
      </c>
      <c r="J21" s="13">
        <v>2517</v>
      </c>
      <c r="K21" s="13">
        <v>-1160</v>
      </c>
      <c r="L21" s="13">
        <v>-439</v>
      </c>
      <c r="M21" s="13">
        <v>0</v>
      </c>
      <c r="N21" s="13">
        <v>0</v>
      </c>
      <c r="S21" s="3">
        <v>6858</v>
      </c>
      <c r="T21" s="3">
        <v>12020</v>
      </c>
      <c r="U21" s="3">
        <f t="shared" ref="U21:U23" si="51">SUM(K21:N21)</f>
        <v>-1599</v>
      </c>
      <c r="V21" s="3">
        <f>+U38*$AF$30</f>
        <v>1828.5215409</v>
      </c>
      <c r="W21" s="3">
        <f t="shared" ref="W21:AC21" si="52">+V38*$AF$30</f>
        <v>2685.4534409983798</v>
      </c>
      <c r="X21" s="3">
        <f t="shared" si="52"/>
        <v>3690.2252856111772</v>
      </c>
      <c r="Y21" s="3">
        <f t="shared" si="52"/>
        <v>4855.264075484246</v>
      </c>
      <c r="Z21" s="3">
        <f t="shared" si="52"/>
        <v>6212.5314516723611</v>
      </c>
      <c r="AA21" s="3">
        <f t="shared" si="52"/>
        <v>7801.7899492654606</v>
      </c>
      <c r="AB21" s="3">
        <f t="shared" si="52"/>
        <v>9618.7302890629508</v>
      </c>
      <c r="AC21" s="3">
        <f t="shared" si="52"/>
        <v>11698.333121598869</v>
      </c>
    </row>
    <row r="22" spans="2:86" s="3" customFormat="1" x14ac:dyDescent="0.2">
      <c r="B22" s="3" t="s">
        <v>29</v>
      </c>
      <c r="C22" s="13">
        <f t="shared" ref="C22" si="53">C20+C21</f>
        <v>0</v>
      </c>
      <c r="D22" s="13">
        <f t="shared" ref="D22" si="54">D20+D21</f>
        <v>8277</v>
      </c>
      <c r="E22" s="13">
        <f t="shared" ref="E22" si="55">E20+E21</f>
        <v>13359</v>
      </c>
      <c r="F22" s="13">
        <f t="shared" ref="F22" si="56">F20+F21</f>
        <v>18689</v>
      </c>
      <c r="G22" s="13">
        <f>G20+G21</f>
        <v>21283</v>
      </c>
      <c r="H22" s="13">
        <f t="shared" ref="H22:K22" si="57">H20+H21</f>
        <v>21625</v>
      </c>
      <c r="I22" s="13">
        <f t="shared" si="57"/>
        <v>23064</v>
      </c>
      <c r="J22" s="13">
        <f t="shared" si="57"/>
        <v>24402</v>
      </c>
      <c r="K22" s="13">
        <f t="shared" si="57"/>
        <v>18934</v>
      </c>
      <c r="L22" s="13">
        <f t="shared" ref="L22:N22" si="58">L20+L21</f>
        <v>19014</v>
      </c>
      <c r="M22" s="13">
        <f t="shared" si="58"/>
        <v>23886.666500000007</v>
      </c>
      <c r="N22" s="13">
        <f t="shared" si="58"/>
        <v>26023.040749999993</v>
      </c>
      <c r="S22" s="3">
        <f>S20+S21</f>
        <v>48082</v>
      </c>
      <c r="T22" s="3">
        <f t="shared" ref="T22:V22" si="59">T20+T21</f>
        <v>90734</v>
      </c>
      <c r="U22" s="3">
        <f t="shared" si="59"/>
        <v>87204.707250000036</v>
      </c>
      <c r="V22" s="3">
        <f t="shared" si="59"/>
        <v>104503.8902559</v>
      </c>
      <c r="W22" s="3">
        <f t="shared" ref="W22:AC22" si="60">W20+W21</f>
        <v>122533.1517820484</v>
      </c>
      <c r="X22" s="3">
        <f t="shared" si="60"/>
        <v>142077.90120403271</v>
      </c>
      <c r="Y22" s="3">
        <f t="shared" si="60"/>
        <v>165520.41173025803</v>
      </c>
      <c r="Z22" s="3">
        <f t="shared" si="60"/>
        <v>193812.01190159738</v>
      </c>
      <c r="AA22" s="3">
        <f t="shared" si="60"/>
        <v>221578.09021920621</v>
      </c>
      <c r="AB22" s="3">
        <f t="shared" si="60"/>
        <v>253610.10152877046</v>
      </c>
      <c r="AC22" s="3">
        <f t="shared" si="60"/>
        <v>290617.32145928883</v>
      </c>
    </row>
    <row r="23" spans="2:86" s="3" customFormat="1" x14ac:dyDescent="0.2">
      <c r="B23" s="3" t="s">
        <v>30</v>
      </c>
      <c r="C23" s="13"/>
      <c r="D23" s="13">
        <v>1318</v>
      </c>
      <c r="E23" s="13">
        <v>2112</v>
      </c>
      <c r="F23" s="13">
        <v>3462</v>
      </c>
      <c r="G23" s="13">
        <v>3353</v>
      </c>
      <c r="H23" s="13">
        <v>3460</v>
      </c>
      <c r="I23" s="13">
        <v>4128</v>
      </c>
      <c r="J23" s="13">
        <v>3760</v>
      </c>
      <c r="K23" s="13">
        <v>2498</v>
      </c>
      <c r="L23" s="13">
        <v>3012</v>
      </c>
      <c r="M23" s="13">
        <f>+M22*0.16</f>
        <v>3821.8666400000011</v>
      </c>
      <c r="N23" s="13">
        <f>+N22*0.16</f>
        <v>4163.6865199999993</v>
      </c>
      <c r="S23" s="3">
        <v>7813</v>
      </c>
      <c r="T23" s="3">
        <v>14701</v>
      </c>
      <c r="U23" s="3">
        <f t="shared" si="51"/>
        <v>13495.553159999999</v>
      </c>
      <c r="V23" s="3">
        <f>+V22*0.18</f>
        <v>18810.700246061999</v>
      </c>
      <c r="W23" s="3">
        <f t="shared" ref="W23:AC23" si="61">+W22*0.18</f>
        <v>22055.967320768712</v>
      </c>
      <c r="X23" s="3">
        <f t="shared" si="61"/>
        <v>25574.022216725887</v>
      </c>
      <c r="Y23" s="3">
        <f t="shared" si="61"/>
        <v>29793.674111446442</v>
      </c>
      <c r="Z23" s="3">
        <f t="shared" si="61"/>
        <v>34886.162142287525</v>
      </c>
      <c r="AA23" s="3">
        <f t="shared" si="61"/>
        <v>39884.056239457117</v>
      </c>
      <c r="AB23" s="3">
        <f t="shared" si="61"/>
        <v>45649.818275178681</v>
      </c>
      <c r="AC23" s="3">
        <f t="shared" si="61"/>
        <v>52311.117862671985</v>
      </c>
    </row>
    <row r="24" spans="2:86" s="3" customFormat="1" x14ac:dyDescent="0.2">
      <c r="B24" s="3" t="s">
        <v>31</v>
      </c>
      <c r="C24" s="13">
        <f t="shared" ref="C24" si="62">C22-C23</f>
        <v>0</v>
      </c>
      <c r="D24" s="13">
        <f t="shared" ref="D24" si="63">D22-D23</f>
        <v>6959</v>
      </c>
      <c r="E24" s="13">
        <f t="shared" ref="E24" si="64">E22-E23</f>
        <v>11247</v>
      </c>
      <c r="F24" s="13">
        <f t="shared" ref="F24" si="65">F22-F23</f>
        <v>15227</v>
      </c>
      <c r="G24" s="13">
        <f>G22-G23</f>
        <v>17930</v>
      </c>
      <c r="H24" s="13">
        <f t="shared" ref="H24:K24" si="66">H22-H23</f>
        <v>18165</v>
      </c>
      <c r="I24" s="13">
        <f t="shared" si="66"/>
        <v>18936</v>
      </c>
      <c r="J24" s="13">
        <f t="shared" si="66"/>
        <v>20642</v>
      </c>
      <c r="K24" s="13">
        <f t="shared" si="66"/>
        <v>16436</v>
      </c>
      <c r="L24" s="13">
        <f t="shared" ref="L24:N24" si="67">L22-L23</f>
        <v>16002</v>
      </c>
      <c r="M24" s="13">
        <f t="shared" si="67"/>
        <v>20064.799860000006</v>
      </c>
      <c r="N24" s="13">
        <f t="shared" si="67"/>
        <v>21859.354229999994</v>
      </c>
      <c r="S24" s="3">
        <f>S22-S23</f>
        <v>40269</v>
      </c>
      <c r="T24" s="3">
        <f t="shared" ref="T24:V24" si="68">T22-T23</f>
        <v>76033</v>
      </c>
      <c r="U24" s="3">
        <f t="shared" si="68"/>
        <v>73709.15409000004</v>
      </c>
      <c r="V24" s="3">
        <f t="shared" si="68"/>
        <v>85693.190009837999</v>
      </c>
      <c r="W24" s="3">
        <f t="shared" ref="W24:AC24" si="69">W22-W23</f>
        <v>100477.18446127968</v>
      </c>
      <c r="X24" s="3">
        <f t="shared" si="69"/>
        <v>116503.87898730682</v>
      </c>
      <c r="Y24" s="3">
        <f t="shared" si="69"/>
        <v>135726.73761881157</v>
      </c>
      <c r="Z24" s="3">
        <f t="shared" si="69"/>
        <v>158925.84975930984</v>
      </c>
      <c r="AA24" s="3">
        <f t="shared" si="69"/>
        <v>181694.03397974907</v>
      </c>
      <c r="AB24" s="3">
        <f t="shared" si="69"/>
        <v>207960.2832535918</v>
      </c>
      <c r="AC24" s="3">
        <f t="shared" si="69"/>
        <v>238306.20359661683</v>
      </c>
      <c r="AD24" s="3">
        <f>+AC24*(1+$AF$28)</f>
        <v>235923.14156065066</v>
      </c>
      <c r="AE24" s="3">
        <f t="shared" ref="AE24:CH24" si="70">+AD24*(1+$AF$28)</f>
        <v>233563.91014504415</v>
      </c>
      <c r="AF24" s="3">
        <f t="shared" si="70"/>
        <v>231228.2710435937</v>
      </c>
      <c r="AG24" s="3">
        <f t="shared" si="70"/>
        <v>228915.98833315776</v>
      </c>
      <c r="AH24" s="3">
        <f t="shared" si="70"/>
        <v>226626.82844982619</v>
      </c>
      <c r="AI24" s="3">
        <f t="shared" si="70"/>
        <v>224360.56016532792</v>
      </c>
      <c r="AJ24" s="3">
        <f t="shared" si="70"/>
        <v>222116.95456367463</v>
      </c>
      <c r="AK24" s="3">
        <f t="shared" si="70"/>
        <v>219895.78501803789</v>
      </c>
      <c r="AL24" s="3">
        <f t="shared" si="70"/>
        <v>217696.8271678575</v>
      </c>
      <c r="AM24" s="3">
        <f t="shared" si="70"/>
        <v>215519.85889617892</v>
      </c>
      <c r="AN24" s="3">
        <f t="shared" si="70"/>
        <v>213364.66030721713</v>
      </c>
      <c r="AO24" s="3">
        <f t="shared" si="70"/>
        <v>211231.01370414495</v>
      </c>
      <c r="AP24" s="3">
        <f t="shared" si="70"/>
        <v>209118.70356710351</v>
      </c>
      <c r="AQ24" s="3">
        <f t="shared" si="70"/>
        <v>207027.51653143248</v>
      </c>
      <c r="AR24" s="3">
        <f t="shared" si="70"/>
        <v>204957.24136611816</v>
      </c>
      <c r="AS24" s="3">
        <f t="shared" si="70"/>
        <v>202907.66895245697</v>
      </c>
      <c r="AT24" s="3">
        <f t="shared" si="70"/>
        <v>200878.59226293239</v>
      </c>
      <c r="AU24" s="3">
        <f t="shared" si="70"/>
        <v>198869.80634030307</v>
      </c>
      <c r="AV24" s="3">
        <f t="shared" si="70"/>
        <v>196881.10827690005</v>
      </c>
      <c r="AW24" s="3">
        <f t="shared" si="70"/>
        <v>194912.29719413104</v>
      </c>
      <c r="AX24" s="3">
        <f t="shared" si="70"/>
        <v>192963.17422218973</v>
      </c>
      <c r="AY24" s="3">
        <f t="shared" si="70"/>
        <v>191033.54247996784</v>
      </c>
      <c r="AZ24" s="3">
        <f t="shared" si="70"/>
        <v>189123.20705516817</v>
      </c>
      <c r="BA24" s="3">
        <f t="shared" si="70"/>
        <v>187231.97498461648</v>
      </c>
      <c r="BB24" s="3">
        <f t="shared" si="70"/>
        <v>185359.65523477033</v>
      </c>
      <c r="BC24" s="3">
        <f t="shared" si="70"/>
        <v>183506.05868242262</v>
      </c>
      <c r="BD24" s="3">
        <f t="shared" si="70"/>
        <v>181670.99809559839</v>
      </c>
      <c r="BE24" s="3">
        <f t="shared" si="70"/>
        <v>179854.2881146424</v>
      </c>
      <c r="BF24" s="3">
        <f t="shared" si="70"/>
        <v>178055.74523349598</v>
      </c>
      <c r="BG24" s="3">
        <f t="shared" si="70"/>
        <v>176275.18778116102</v>
      </c>
      <c r="BH24" s="3">
        <f t="shared" si="70"/>
        <v>174512.4359033494</v>
      </c>
      <c r="BI24" s="3">
        <f t="shared" si="70"/>
        <v>172767.31154431589</v>
      </c>
      <c r="BJ24" s="3">
        <f t="shared" si="70"/>
        <v>171039.63842887274</v>
      </c>
      <c r="BK24" s="3">
        <f t="shared" si="70"/>
        <v>169329.24204458401</v>
      </c>
      <c r="BL24" s="3">
        <f t="shared" si="70"/>
        <v>167635.94962413816</v>
      </c>
      <c r="BM24" s="3">
        <f t="shared" si="70"/>
        <v>165959.59012789678</v>
      </c>
      <c r="BN24" s="3">
        <f t="shared" si="70"/>
        <v>164299.9942266178</v>
      </c>
      <c r="BO24" s="3">
        <f t="shared" si="70"/>
        <v>162656.99428435162</v>
      </c>
      <c r="BP24" s="3">
        <f t="shared" si="70"/>
        <v>161030.4243415081</v>
      </c>
      <c r="BQ24" s="3">
        <f t="shared" si="70"/>
        <v>159420.12009809303</v>
      </c>
      <c r="BR24" s="3">
        <f t="shared" si="70"/>
        <v>157825.9188971121</v>
      </c>
      <c r="BS24" s="3">
        <f t="shared" si="70"/>
        <v>156247.65970814097</v>
      </c>
      <c r="BT24" s="3">
        <f t="shared" si="70"/>
        <v>154685.18311105957</v>
      </c>
      <c r="BU24" s="3">
        <f t="shared" si="70"/>
        <v>153138.33127994896</v>
      </c>
      <c r="BV24" s="3">
        <f t="shared" si="70"/>
        <v>151606.94796714946</v>
      </c>
      <c r="BW24" s="3">
        <f t="shared" si="70"/>
        <v>150090.87848747798</v>
      </c>
      <c r="BX24" s="3">
        <f t="shared" si="70"/>
        <v>148589.96970260321</v>
      </c>
      <c r="BY24" s="3">
        <f t="shared" si="70"/>
        <v>147104.07000557717</v>
      </c>
      <c r="BZ24" s="3">
        <f t="shared" si="70"/>
        <v>145633.0293055214</v>
      </c>
      <c r="CA24" s="3">
        <f t="shared" si="70"/>
        <v>144176.69901246618</v>
      </c>
      <c r="CB24" s="3">
        <f t="shared" si="70"/>
        <v>142734.93202234153</v>
      </c>
      <c r="CC24" s="3">
        <f t="shared" si="70"/>
        <v>141307.58270211812</v>
      </c>
      <c r="CD24" s="3">
        <f t="shared" si="70"/>
        <v>139894.50687509694</v>
      </c>
      <c r="CE24" s="3">
        <f t="shared" si="70"/>
        <v>138495.56180634597</v>
      </c>
      <c r="CF24" s="3">
        <f t="shared" si="70"/>
        <v>137110.60618828252</v>
      </c>
      <c r="CG24" s="3">
        <f t="shared" si="70"/>
        <v>135739.50012639968</v>
      </c>
      <c r="CH24" s="3">
        <f t="shared" si="70"/>
        <v>134382.10512513568</v>
      </c>
    </row>
    <row r="25" spans="2:86" s="8" customFormat="1" x14ac:dyDescent="0.2">
      <c r="B25" s="11" t="s">
        <v>32</v>
      </c>
      <c r="C25" s="16" t="e">
        <f t="shared" ref="C25" si="71">C24/C26</f>
        <v>#DIV/0!</v>
      </c>
      <c r="D25" s="16">
        <f t="shared" ref="D25" si="72">D24/D26</f>
        <v>10.129194904399265</v>
      </c>
      <c r="E25" s="16">
        <f t="shared" ref="E25" si="73">E24/E26</f>
        <v>16.398605528022852</v>
      </c>
      <c r="F25" s="16">
        <f t="shared" ref="F25" si="74">F24/F26</f>
        <v>22.295301836540162</v>
      </c>
      <c r="G25" s="16">
        <f t="shared" ref="G25:J25" si="75">G24/G26</f>
        <v>26.287585896482916</v>
      </c>
      <c r="H25" s="16">
        <f t="shared" si="75"/>
        <v>1.3364479105356091</v>
      </c>
      <c r="I25" s="16">
        <f t="shared" si="75"/>
        <v>27.990344690984287</v>
      </c>
      <c r="J25" s="16">
        <f t="shared" si="75"/>
        <v>30.69474329100823</v>
      </c>
      <c r="K25" s="16">
        <f>K24/K26</f>
        <v>24.621339792764896</v>
      </c>
      <c r="L25" s="16">
        <f t="shared" ref="L25:N25" si="76">L24/L26</f>
        <v>1.2087015635622025</v>
      </c>
      <c r="M25" s="16">
        <f t="shared" si="76"/>
        <v>1.5155827373668711</v>
      </c>
      <c r="N25" s="16">
        <f t="shared" si="76"/>
        <v>1.6511333355993649</v>
      </c>
      <c r="S25" s="19">
        <f>S24/S26</f>
        <v>58.613331625494155</v>
      </c>
      <c r="T25" s="19">
        <f>T24/T26</f>
        <v>112.19701508394893</v>
      </c>
      <c r="U25" s="19">
        <f>U24/U26</f>
        <v>5.5675771651937485</v>
      </c>
      <c r="V25" s="19">
        <f>V24/V26</f>
        <v>6.4727841989453889</v>
      </c>
      <c r="W25" s="19">
        <f t="shared" ref="W25:AC25" si="77">W24/W26</f>
        <v>7.5894844369876644</v>
      </c>
      <c r="X25" s="19">
        <f t="shared" si="77"/>
        <v>8.800051286902848</v>
      </c>
      <c r="Y25" s="19">
        <f t="shared" si="77"/>
        <v>10.25203849375418</v>
      </c>
      <c r="Z25" s="19">
        <f t="shared" si="77"/>
        <v>12.004369647202195</v>
      </c>
      <c r="AA25" s="19">
        <f t="shared" si="77"/>
        <v>13.724150916213389</v>
      </c>
      <c r="AB25" s="19">
        <f t="shared" si="77"/>
        <v>15.70815645090957</v>
      </c>
      <c r="AC25" s="19">
        <f t="shared" si="77"/>
        <v>18.000317516173187</v>
      </c>
    </row>
    <row r="26" spans="2:86" s="3" customFormat="1" x14ac:dyDescent="0.2">
      <c r="B26" s="3" t="s">
        <v>1</v>
      </c>
      <c r="C26" s="13"/>
      <c r="D26" s="13">
        <v>687.024</v>
      </c>
      <c r="E26" s="13">
        <v>685.851</v>
      </c>
      <c r="F26" s="13">
        <v>682.96900000000005</v>
      </c>
      <c r="G26" s="13">
        <v>682.07100000000003</v>
      </c>
      <c r="H26" s="13">
        <v>13592</v>
      </c>
      <c r="I26" s="13">
        <v>676.51900000000001</v>
      </c>
      <c r="J26" s="13">
        <v>672.49300000000005</v>
      </c>
      <c r="K26" s="13">
        <v>667.55100000000004</v>
      </c>
      <c r="L26" s="13">
        <v>13239</v>
      </c>
      <c r="M26" s="13">
        <f>+L26</f>
        <v>13239</v>
      </c>
      <c r="N26" s="13">
        <f>+M26</f>
        <v>13239</v>
      </c>
      <c r="S26" s="3">
        <v>687.02800000000002</v>
      </c>
      <c r="T26" s="3">
        <v>677.67399999999998</v>
      </c>
      <c r="U26" s="3">
        <f>AVERAGE(L26:N26)</f>
        <v>13239</v>
      </c>
      <c r="V26" s="3">
        <f>+U26</f>
        <v>13239</v>
      </c>
      <c r="W26" s="3">
        <f t="shared" ref="W26:AC26" si="78">+V26</f>
        <v>13239</v>
      </c>
      <c r="X26" s="3">
        <f t="shared" si="78"/>
        <v>13239</v>
      </c>
      <c r="Y26" s="3">
        <f t="shared" si="78"/>
        <v>13239</v>
      </c>
      <c r="Z26" s="3">
        <f t="shared" si="78"/>
        <v>13239</v>
      </c>
      <c r="AA26" s="3">
        <f t="shared" si="78"/>
        <v>13239</v>
      </c>
      <c r="AB26" s="3">
        <f t="shared" si="78"/>
        <v>13239</v>
      </c>
      <c r="AC26" s="3">
        <f t="shared" si="78"/>
        <v>13239</v>
      </c>
    </row>
    <row r="28" spans="2:86" s="8" customFormat="1" x14ac:dyDescent="0.2">
      <c r="B28" s="11" t="s">
        <v>34</v>
      </c>
      <c r="C28" s="10"/>
      <c r="D28" s="10"/>
      <c r="E28" s="10"/>
      <c r="F28" s="10"/>
      <c r="G28" s="10"/>
      <c r="H28" s="18">
        <f t="shared" ref="H28" si="79">H12/D12-1</f>
        <v>0.61579235971486024</v>
      </c>
      <c r="I28" s="18">
        <f t="shared" ref="I28" si="80">I12/E12-1</f>
        <v>0.41030472353973102</v>
      </c>
      <c r="J28" s="18">
        <f t="shared" ref="J28" si="81">J12/F12-1</f>
        <v>0.32386024113325607</v>
      </c>
      <c r="K28" s="18">
        <f>K12/G12-1</f>
        <v>0.22954405756228069</v>
      </c>
      <c r="L28" s="18">
        <f t="shared" ref="L28:N28" si="82">L12/H12-1</f>
        <v>0.12613122171945701</v>
      </c>
      <c r="M28" s="18">
        <f t="shared" si="82"/>
        <v>0.10997604349027945</v>
      </c>
      <c r="N28" s="18">
        <f t="shared" si="82"/>
        <v>0.10669512114171908</v>
      </c>
      <c r="T28" s="20">
        <f>T12/S12-1</f>
        <v>0.41150076427049154</v>
      </c>
      <c r="U28" s="20">
        <f>U12/T12-1</f>
        <v>0.13603337253577719</v>
      </c>
      <c r="V28" s="20">
        <f t="shared" ref="V28:AC28" si="83">V12/U12-1</f>
        <v>0.10655671301456859</v>
      </c>
      <c r="W28" s="20">
        <f t="shared" si="83"/>
        <v>0.11521188119433079</v>
      </c>
      <c r="X28" s="20">
        <f t="shared" si="83"/>
        <v>0.11094739782486651</v>
      </c>
      <c r="Y28" s="20">
        <f t="shared" si="83"/>
        <v>0.11714882389428238</v>
      </c>
      <c r="Z28" s="20">
        <f t="shared" si="83"/>
        <v>0.12397359796538532</v>
      </c>
      <c r="AA28" s="20">
        <f t="shared" si="83"/>
        <v>0.10848733771592189</v>
      </c>
      <c r="AB28" s="20">
        <f t="shared" si="83"/>
        <v>0.11133697578443114</v>
      </c>
      <c r="AC28" s="20">
        <f t="shared" si="83"/>
        <v>0.11424210537112223</v>
      </c>
      <c r="AE28" s="8" t="s">
        <v>73</v>
      </c>
      <c r="AF28" s="20">
        <v>-0.01</v>
      </c>
    </row>
    <row r="29" spans="2:86" s="8" customFormat="1" x14ac:dyDescent="0.2">
      <c r="B29" s="11" t="s">
        <v>48</v>
      </c>
      <c r="C29" s="10"/>
      <c r="D29" s="10"/>
      <c r="E29" s="10"/>
      <c r="F29" s="10"/>
      <c r="G29" s="10"/>
      <c r="H29" s="18"/>
      <c r="I29" s="18"/>
      <c r="J29" s="18"/>
      <c r="K29" s="18"/>
      <c r="L29" s="18">
        <v>0.16</v>
      </c>
      <c r="M29" s="10"/>
      <c r="N29" s="10"/>
      <c r="T29" s="20"/>
      <c r="AE29" s="8" t="s">
        <v>74</v>
      </c>
      <c r="AF29" s="20">
        <v>0.08</v>
      </c>
    </row>
    <row r="30" spans="2:86" s="21" customFormat="1" x14ac:dyDescent="0.2">
      <c r="B30" s="22" t="s">
        <v>49</v>
      </c>
      <c r="C30" s="23"/>
      <c r="D30" s="23"/>
      <c r="E30" s="23"/>
      <c r="F30" s="23"/>
      <c r="G30" s="23"/>
      <c r="H30" s="24">
        <f t="shared" ref="H30:K30" si="84">+H10/D10-1</f>
        <v>0.68136404146535945</v>
      </c>
      <c r="I30" s="24">
        <f t="shared" si="84"/>
        <v>0.43997266307236682</v>
      </c>
      <c r="J30" s="24">
        <f t="shared" si="84"/>
        <v>0.35727047613077145</v>
      </c>
      <c r="K30" s="24">
        <f t="shared" si="84"/>
        <v>0.24276169265033398</v>
      </c>
      <c r="L30" s="24">
        <f>+L10/H10-1</f>
        <v>0.13513739712651684</v>
      </c>
      <c r="M30" s="24">
        <f>+M10/I10-1</f>
        <v>0.10000000000000009</v>
      </c>
      <c r="N30" s="24">
        <f>+N10/J10-1</f>
        <v>0.10000000000000009</v>
      </c>
      <c r="T30" s="25"/>
      <c r="V30" s="25">
        <f>+V10/U10-1</f>
        <v>0.10000000000000009</v>
      </c>
      <c r="W30" s="24">
        <f t="shared" ref="W30:AC30" si="85">+W10/V10-1</f>
        <v>0.10000000000000009</v>
      </c>
      <c r="X30" s="24">
        <f t="shared" si="85"/>
        <v>0.10000000000000009</v>
      </c>
      <c r="Y30" s="24">
        <f t="shared" si="85"/>
        <v>0.10000000000000009</v>
      </c>
      <c r="Z30" s="24">
        <f t="shared" si="85"/>
        <v>9.9999999999999867E-2</v>
      </c>
      <c r="AA30" s="24">
        <f t="shared" si="85"/>
        <v>0.10000000000000009</v>
      </c>
      <c r="AB30" s="24">
        <f t="shared" si="85"/>
        <v>0.10000000000000009</v>
      </c>
      <c r="AC30" s="24">
        <f t="shared" si="85"/>
        <v>0.10000000000000009</v>
      </c>
      <c r="AE30" s="21" t="s">
        <v>75</v>
      </c>
      <c r="AF30" s="25">
        <v>0.01</v>
      </c>
    </row>
    <row r="31" spans="2:86" s="21" customFormat="1" x14ac:dyDescent="0.2">
      <c r="B31" s="22" t="s">
        <v>50</v>
      </c>
      <c r="C31" s="23"/>
      <c r="D31" s="23"/>
      <c r="E31" s="23"/>
      <c r="F31" s="23"/>
      <c r="G31" s="23"/>
      <c r="H31" s="24">
        <f>+H9/D9-1</f>
        <v>0.83683105981112282</v>
      </c>
      <c r="I31" s="24">
        <f>+I9/E9-1</f>
        <v>0.4304149295215407</v>
      </c>
      <c r="J31" s="24">
        <f>+J9/F9-1</f>
        <v>0.25388525780682647</v>
      </c>
      <c r="K31" s="24">
        <f>+K9/G9-1</f>
        <v>0.143880099916736</v>
      </c>
      <c r="L31" s="24">
        <f>+L9/H9-1</f>
        <v>4.8271922307911996E-2</v>
      </c>
      <c r="M31" s="24">
        <f>+M9/I9-1</f>
        <v>6.0000000000000053E-2</v>
      </c>
      <c r="N31" s="24">
        <f>+N9/J9-1</f>
        <v>6.0000000000000053E-2</v>
      </c>
      <c r="T31" s="25"/>
      <c r="V31" s="25">
        <f>+V9/U9-1</f>
        <v>5.0000000000000044E-2</v>
      </c>
      <c r="W31" s="24">
        <f t="shared" ref="W31:AC31" si="86">+W9/V9-1</f>
        <v>5.0000000000000044E-2</v>
      </c>
      <c r="X31" s="24">
        <f t="shared" si="86"/>
        <v>5.0000000000000044E-2</v>
      </c>
      <c r="Y31" s="24">
        <f t="shared" si="86"/>
        <v>5.0000000000000044E-2</v>
      </c>
      <c r="Z31" s="24">
        <f t="shared" si="86"/>
        <v>5.0000000000000044E-2</v>
      </c>
      <c r="AA31" s="24">
        <f t="shared" si="86"/>
        <v>5.0000000000000044E-2</v>
      </c>
      <c r="AB31" s="24">
        <f t="shared" si="86"/>
        <v>5.0000000000000044E-2</v>
      </c>
      <c r="AC31" s="24">
        <f t="shared" si="86"/>
        <v>5.0000000000000044E-2</v>
      </c>
      <c r="AE31" s="21" t="s">
        <v>76</v>
      </c>
      <c r="AF31" s="22">
        <f>NPV(AF29,V24:CH24)+Main!L5-Main!L6</f>
        <v>2377725.0435986267</v>
      </c>
    </row>
    <row r="32" spans="2:86" x14ac:dyDescent="0.2">
      <c r="B32" s="3" t="s">
        <v>42</v>
      </c>
      <c r="H32" s="17">
        <f t="shared" ref="H32" si="87">H11/D11-1</f>
        <v>0.63090508988025484</v>
      </c>
      <c r="I32" s="17">
        <f t="shared" ref="I32" si="88">I11/E11-1</f>
        <v>0.40661921875367013</v>
      </c>
      <c r="J32" s="17">
        <f t="shared" ref="J32" si="89">J11/F11-1</f>
        <v>0.31257919921320898</v>
      </c>
      <c r="K32" s="17">
        <f>K11/G11-1</f>
        <v>0.20114111532299028</v>
      </c>
      <c r="L32" s="17">
        <f t="shared" ref="L32:N32" si="90">L11/H11-1</f>
        <v>0.10117931554138115</v>
      </c>
      <c r="M32" s="17">
        <f t="shared" si="90"/>
        <v>8.7292432035268375E-2</v>
      </c>
      <c r="N32" s="17">
        <f t="shared" si="90"/>
        <v>8.6792651296830003E-2</v>
      </c>
      <c r="V32" s="5">
        <f>+V11/U11-1</f>
        <v>7.7181487573449337E-2</v>
      </c>
      <c r="W32" s="17">
        <f t="shared" ref="W32:AC32" si="91">+W11/V11-1</f>
        <v>7.8072306156287352E-2</v>
      </c>
      <c r="X32" s="17">
        <f t="shared" si="91"/>
        <v>7.8944260717141335E-2</v>
      </c>
      <c r="Y32" s="17">
        <f t="shared" si="91"/>
        <v>7.979643035384365E-2</v>
      </c>
      <c r="Z32" s="17">
        <f t="shared" si="91"/>
        <v>8.0628005979105577E-2</v>
      </c>
      <c r="AA32" s="17">
        <f t="shared" si="91"/>
        <v>8.1438290414777903E-2</v>
      </c>
      <c r="AB32" s="17">
        <f t="shared" si="91"/>
        <v>8.2226697360125778E-2</v>
      </c>
      <c r="AC32" s="17">
        <f t="shared" si="91"/>
        <v>8.2992749326142867E-2</v>
      </c>
      <c r="AE32" s="21" t="s">
        <v>77</v>
      </c>
      <c r="AF32" s="1">
        <f>+AF31/Main!L3</f>
        <v>179.60004861383993</v>
      </c>
    </row>
    <row r="33" spans="2:29" x14ac:dyDescent="0.2">
      <c r="B33" s="3" t="s">
        <v>43</v>
      </c>
      <c r="H33" s="17">
        <f t="shared" ref="H33" si="92">H6/D6-1</f>
        <v>0.53907549052211512</v>
      </c>
      <c r="I33" s="17">
        <f t="shared" ref="I33" si="93">I6/E6-1</f>
        <v>0.44889663182346107</v>
      </c>
      <c r="J33" s="17">
        <f t="shared" ref="J33" si="94">J6/F6-1</f>
        <v>0.44635865309318712</v>
      </c>
      <c r="K33" s="17">
        <f>K6/G6-1</f>
        <v>0.4383493946132937</v>
      </c>
      <c r="L33" s="17">
        <f t="shared" ref="L33:N33" si="95">L6/H6-1</f>
        <v>0.35609334485738975</v>
      </c>
      <c r="M33" s="17">
        <f t="shared" si="95"/>
        <v>0.39999999999999991</v>
      </c>
      <c r="N33" s="17">
        <f t="shared" si="95"/>
        <v>0.39999999999999991</v>
      </c>
      <c r="V33" s="5">
        <f>+V6/U6-1</f>
        <v>0.39999999999999991</v>
      </c>
      <c r="W33" s="17">
        <f t="shared" ref="W33:AC33" si="96">+W6/V6-1</f>
        <v>0.39999999999999991</v>
      </c>
      <c r="X33" s="17">
        <f t="shared" si="96"/>
        <v>0.29999999999999982</v>
      </c>
      <c r="Y33" s="17">
        <f t="shared" si="96"/>
        <v>0.30000000000000004</v>
      </c>
      <c r="Z33" s="17">
        <f t="shared" si="96"/>
        <v>0.30000000000000004</v>
      </c>
      <c r="AA33" s="17">
        <f t="shared" si="96"/>
        <v>0.19999999999999996</v>
      </c>
      <c r="AB33" s="17">
        <f t="shared" si="96"/>
        <v>0.19999999999999996</v>
      </c>
      <c r="AC33" s="17">
        <f t="shared" si="96"/>
        <v>0.19999999999999996</v>
      </c>
    </row>
    <row r="34" spans="2:29" x14ac:dyDescent="0.2">
      <c r="B34" s="3" t="s">
        <v>33</v>
      </c>
      <c r="D34" s="17">
        <f t="shared" ref="D34" si="97">D15/D12</f>
        <v>0.51554952085019712</v>
      </c>
      <c r="E34" s="17">
        <f t="shared" ref="E34" si="98">E15/E12</f>
        <v>0.54265479825872265</v>
      </c>
      <c r="F34" s="17">
        <f t="shared" ref="F34" si="99">F15/F12</f>
        <v>0.54163590987380927</v>
      </c>
      <c r="G34" s="17">
        <f>G15/G12</f>
        <v>0.56425136493473627</v>
      </c>
      <c r="H34" s="17">
        <f t="shared" ref="H34:K34" si="100">H15/H12</f>
        <v>0.57616354234001288</v>
      </c>
      <c r="I34" s="17">
        <f t="shared" si="100"/>
        <v>0.57583156730857832</v>
      </c>
      <c r="J34" s="17">
        <f t="shared" si="100"/>
        <v>0.56205774975107869</v>
      </c>
      <c r="K34" s="17">
        <f t="shared" si="100"/>
        <v>0.5647909896928438</v>
      </c>
      <c r="L34" s="17">
        <f t="shared" ref="L34:N34" si="101">L15/L12</f>
        <v>0.56799885197675248</v>
      </c>
      <c r="M34" s="17">
        <f t="shared" si="101"/>
        <v>0.57499999999999996</v>
      </c>
      <c r="N34" s="17">
        <f t="shared" si="101"/>
        <v>0.57499999999999996</v>
      </c>
      <c r="S34" s="5">
        <f t="shared" ref="S34" si="102">S15/S12</f>
        <v>0.53578374706207854</v>
      </c>
      <c r="T34" s="5">
        <f>T15/T12</f>
        <v>0.5693980290098084</v>
      </c>
      <c r="U34" s="5">
        <f t="shared" ref="U34:V34" si="103">U15/U12</f>
        <v>0.57001262845627187</v>
      </c>
      <c r="V34" s="5">
        <f t="shared" si="103"/>
        <v>0.56999999999999995</v>
      </c>
      <c r="W34" s="17">
        <f t="shared" ref="W34:AC34" si="104">W15/W12</f>
        <v>0.56999999999999995</v>
      </c>
      <c r="X34" s="17">
        <f t="shared" si="104"/>
        <v>0.56999999999999995</v>
      </c>
      <c r="Y34" s="17">
        <f t="shared" si="104"/>
        <v>0.56999999999999995</v>
      </c>
      <c r="Z34" s="17">
        <f t="shared" si="104"/>
        <v>0.56999999999999995</v>
      </c>
      <c r="AA34" s="17">
        <f t="shared" si="104"/>
        <v>0.56999999999999995</v>
      </c>
      <c r="AB34" s="17">
        <f t="shared" si="104"/>
        <v>0.56999999999999995</v>
      </c>
      <c r="AC34" s="17">
        <f t="shared" si="104"/>
        <v>0.56999999999999995</v>
      </c>
    </row>
    <row r="35" spans="2:29" x14ac:dyDescent="0.2">
      <c r="B35" s="3" t="s">
        <v>71</v>
      </c>
      <c r="D35" s="17">
        <f>+D23/D22</f>
        <v>0.15923643832306392</v>
      </c>
      <c r="E35" s="17">
        <f t="shared" ref="E35:N35" si="105">+E23/E22</f>
        <v>0.15809566584325174</v>
      </c>
      <c r="F35" s="17">
        <f t="shared" si="105"/>
        <v>0.18524265610787094</v>
      </c>
      <c r="G35" s="17">
        <f t="shared" si="105"/>
        <v>0.15754357938260583</v>
      </c>
      <c r="H35" s="17">
        <f t="shared" si="105"/>
        <v>0.16</v>
      </c>
      <c r="I35" s="17">
        <f t="shared" si="105"/>
        <v>0.17898022892819979</v>
      </c>
      <c r="J35" s="17">
        <f t="shared" si="105"/>
        <v>0.15408573067781328</v>
      </c>
      <c r="K35" s="17">
        <f t="shared" si="105"/>
        <v>0.13193197422625963</v>
      </c>
      <c r="L35" s="17">
        <f t="shared" si="105"/>
        <v>0.15840959293152415</v>
      </c>
      <c r="M35" s="17">
        <f t="shared" si="105"/>
        <v>0.16</v>
      </c>
      <c r="N35" s="17">
        <f t="shared" si="105"/>
        <v>0.16</v>
      </c>
      <c r="S35" s="17">
        <f t="shared" ref="S35:V35" si="106">+S23/S22</f>
        <v>0.16249324071378063</v>
      </c>
      <c r="T35" s="17">
        <f t="shared" si="106"/>
        <v>0.16202305640663919</v>
      </c>
      <c r="U35" s="17">
        <f t="shared" si="106"/>
        <v>0.15475716375390955</v>
      </c>
      <c r="V35" s="17">
        <f t="shared" si="106"/>
        <v>0.18</v>
      </c>
      <c r="W35" s="17">
        <f t="shared" ref="W35:AC35" si="107">+W23/W22</f>
        <v>0.18</v>
      </c>
      <c r="X35" s="17">
        <f t="shared" si="107"/>
        <v>0.18</v>
      </c>
      <c r="Y35" s="17">
        <f t="shared" si="107"/>
        <v>0.18</v>
      </c>
      <c r="Z35" s="17">
        <f t="shared" si="107"/>
        <v>0.18</v>
      </c>
      <c r="AA35" s="17">
        <f t="shared" si="107"/>
        <v>0.18</v>
      </c>
      <c r="AB35" s="17">
        <f t="shared" si="107"/>
        <v>0.18</v>
      </c>
      <c r="AC35" s="17">
        <f t="shared" si="107"/>
        <v>0.18</v>
      </c>
    </row>
    <row r="36" spans="2:29" x14ac:dyDescent="0.2">
      <c r="B36" s="3" t="s">
        <v>47</v>
      </c>
      <c r="D36" s="17">
        <f t="shared" ref="D36" si="108">D10/D12</f>
        <v>0.55667545760764547</v>
      </c>
      <c r="E36" s="17">
        <f t="shared" ref="E36" si="109">E10/E12</f>
        <v>0.57041994239057459</v>
      </c>
      <c r="F36" s="17">
        <f>F10/F12</f>
        <v>0.56070512144539353</v>
      </c>
      <c r="G36" s="17">
        <f t="shared" ref="G36:K36" si="110">G10/G12</f>
        <v>0.57632787359438842</v>
      </c>
      <c r="H36" s="17">
        <f t="shared" si="110"/>
        <v>0.57926632191338079</v>
      </c>
      <c r="I36" s="17">
        <f t="shared" si="110"/>
        <v>0.58241960748180222</v>
      </c>
      <c r="J36" s="17">
        <f t="shared" si="110"/>
        <v>0.5748556256223033</v>
      </c>
      <c r="K36" s="17">
        <f t="shared" si="110"/>
        <v>0.58252341532987306</v>
      </c>
      <c r="L36" s="17">
        <f t="shared" ref="L36:N36" si="111">L10/L12</f>
        <v>0.58389897395422252</v>
      </c>
      <c r="M36" s="17">
        <f t="shared" si="111"/>
        <v>0.57718504105317947</v>
      </c>
      <c r="N36" s="17">
        <f t="shared" si="111"/>
        <v>0.57137794872736092</v>
      </c>
      <c r="S36" s="17">
        <f t="shared" ref="S36:V36" si="112">S10/S12</f>
        <v>0</v>
      </c>
      <c r="T36" s="17">
        <f t="shared" si="112"/>
        <v>0</v>
      </c>
      <c r="U36" s="17">
        <f t="shared" si="112"/>
        <v>0.57965781074026435</v>
      </c>
      <c r="V36" s="17">
        <f t="shared" si="112"/>
        <v>0.57622314727749158</v>
      </c>
      <c r="W36" s="17">
        <f t="shared" ref="W36:AC36" si="113">W10/W12</f>
        <v>0.56836326145165084</v>
      </c>
      <c r="X36" s="17">
        <f t="shared" si="113"/>
        <v>0.56276254737253961</v>
      </c>
      <c r="Y36" s="17">
        <f t="shared" si="113"/>
        <v>0.55412384533680914</v>
      </c>
      <c r="Z36" s="17">
        <f t="shared" si="113"/>
        <v>0.54230475784651111</v>
      </c>
      <c r="AA36" s="17">
        <f t="shared" si="113"/>
        <v>0.53815250146234839</v>
      </c>
      <c r="AB36" s="17">
        <f t="shared" si="113"/>
        <v>0.53266269773013364</v>
      </c>
      <c r="AC36" s="17">
        <f t="shared" si="113"/>
        <v>0.52585426872554852</v>
      </c>
    </row>
    <row r="38" spans="2:29" x14ac:dyDescent="0.2">
      <c r="B38" s="3" t="s">
        <v>72</v>
      </c>
      <c r="L38" s="13">
        <f>+L39-L57</f>
        <v>140928</v>
      </c>
      <c r="M38" s="13">
        <f>+L38+M24</f>
        <v>160992.79986</v>
      </c>
      <c r="N38" s="13">
        <f>+M38+N24</f>
        <v>182852.15409</v>
      </c>
      <c r="U38" s="3">
        <f>+N38</f>
        <v>182852.15409</v>
      </c>
      <c r="V38" s="3">
        <f>+U38+V24</f>
        <v>268545.344099838</v>
      </c>
      <c r="W38" s="3">
        <f t="shared" ref="W38:AC38" si="114">+V38+W24</f>
        <v>369022.52856111771</v>
      </c>
      <c r="X38" s="3">
        <f t="shared" si="114"/>
        <v>485526.40754842455</v>
      </c>
      <c r="Y38" s="3">
        <f t="shared" si="114"/>
        <v>621253.1451672361</v>
      </c>
      <c r="Z38" s="3">
        <f t="shared" si="114"/>
        <v>780178.994926546</v>
      </c>
      <c r="AA38" s="3">
        <f t="shared" si="114"/>
        <v>961873.02890629508</v>
      </c>
      <c r="AB38" s="3">
        <f t="shared" si="114"/>
        <v>1169833.3121598868</v>
      </c>
      <c r="AC38" s="3">
        <f t="shared" si="114"/>
        <v>1408139.5157565037</v>
      </c>
    </row>
    <row r="39" spans="2:29" s="3" customFormat="1" x14ac:dyDescent="0.2">
      <c r="B39" s="3" t="s">
        <v>3</v>
      </c>
      <c r="C39" s="13"/>
      <c r="D39" s="13"/>
      <c r="E39" s="13"/>
      <c r="F39" s="13"/>
      <c r="G39" s="13"/>
      <c r="H39" s="13"/>
      <c r="I39" s="13"/>
      <c r="J39" s="13"/>
      <c r="K39" s="13"/>
      <c r="L39" s="13">
        <f>124997+30665</f>
        <v>155662</v>
      </c>
      <c r="M39" s="13"/>
      <c r="N39" s="13"/>
    </row>
    <row r="40" spans="2:29" s="3" customFormat="1" x14ac:dyDescent="0.2">
      <c r="B40" s="3" t="s">
        <v>54</v>
      </c>
      <c r="C40" s="13"/>
      <c r="D40" s="13"/>
      <c r="E40" s="13"/>
      <c r="F40" s="13"/>
      <c r="G40" s="13"/>
      <c r="H40" s="13"/>
      <c r="I40" s="13"/>
      <c r="J40" s="13"/>
      <c r="K40" s="13"/>
      <c r="L40" s="13">
        <v>35707</v>
      </c>
      <c r="M40" s="13"/>
      <c r="N40" s="13"/>
    </row>
    <row r="41" spans="2:29" s="3" customFormat="1" x14ac:dyDescent="0.2">
      <c r="B41" s="3" t="s">
        <v>30</v>
      </c>
      <c r="C41" s="13"/>
      <c r="D41" s="13"/>
      <c r="E41" s="13"/>
      <c r="F41" s="13"/>
      <c r="G41" s="13"/>
      <c r="H41" s="13"/>
      <c r="I41" s="13"/>
      <c r="J41" s="13"/>
      <c r="K41" s="13"/>
      <c r="L41" s="13">
        <v>1366</v>
      </c>
      <c r="M41" s="13"/>
      <c r="N41" s="13"/>
    </row>
    <row r="42" spans="2:29" s="3" customFormat="1" x14ac:dyDescent="0.2">
      <c r="B42" s="3" t="s">
        <v>55</v>
      </c>
      <c r="C42" s="13"/>
      <c r="D42" s="13"/>
      <c r="E42" s="13"/>
      <c r="F42" s="13"/>
      <c r="G42" s="13"/>
      <c r="H42" s="13"/>
      <c r="I42" s="13"/>
      <c r="J42" s="13"/>
      <c r="K42" s="13"/>
      <c r="L42" s="13">
        <v>1980</v>
      </c>
      <c r="M42" s="13"/>
      <c r="N42" s="13"/>
    </row>
    <row r="43" spans="2:29" s="3" customFormat="1" x14ac:dyDescent="0.2">
      <c r="B43" s="3" t="s">
        <v>56</v>
      </c>
      <c r="C43" s="13"/>
      <c r="D43" s="13"/>
      <c r="E43" s="13"/>
      <c r="F43" s="13"/>
      <c r="G43" s="13"/>
      <c r="H43" s="13"/>
      <c r="I43" s="13"/>
      <c r="J43" s="13"/>
      <c r="K43" s="13"/>
      <c r="L43" s="13">
        <v>8321</v>
      </c>
      <c r="M43" s="13"/>
      <c r="N43" s="13"/>
    </row>
    <row r="44" spans="2:29" x14ac:dyDescent="0.2">
      <c r="B44" s="3" t="s">
        <v>57</v>
      </c>
      <c r="L44" s="13">
        <v>1490</v>
      </c>
    </row>
    <row r="45" spans="2:29" x14ac:dyDescent="0.2">
      <c r="B45" s="3" t="s">
        <v>58</v>
      </c>
      <c r="L45" s="13">
        <v>106223</v>
      </c>
    </row>
    <row r="46" spans="2:29" x14ac:dyDescent="0.2">
      <c r="B46" s="3" t="s">
        <v>59</v>
      </c>
      <c r="L46" s="13">
        <v>13398</v>
      </c>
    </row>
    <row r="47" spans="2:29" x14ac:dyDescent="0.2">
      <c r="B47" s="3" t="s">
        <v>62</v>
      </c>
      <c r="L47" s="13">
        <f>1377+23949</f>
        <v>25326</v>
      </c>
    </row>
    <row r="48" spans="2:29" x14ac:dyDescent="0.2">
      <c r="B48" s="3" t="s">
        <v>61</v>
      </c>
      <c r="L48" s="13">
        <v>5712</v>
      </c>
    </row>
    <row r="49" spans="2:14" x14ac:dyDescent="0.2">
      <c r="B49" s="3" t="s">
        <v>60</v>
      </c>
      <c r="L49" s="13">
        <f>SUM(L39:L48)</f>
        <v>355185</v>
      </c>
    </row>
    <row r="50" spans="2:14" x14ac:dyDescent="0.2">
      <c r="B50" s="3"/>
      <c r="L50" s="13"/>
    </row>
    <row r="51" spans="2:14" x14ac:dyDescent="0.2">
      <c r="B51" s="3" t="s">
        <v>63</v>
      </c>
      <c r="L51" s="13">
        <v>4409</v>
      </c>
    </row>
    <row r="52" spans="2:14" x14ac:dyDescent="0.2">
      <c r="B52" s="3" t="s">
        <v>64</v>
      </c>
      <c r="L52" s="13">
        <v>10852</v>
      </c>
    </row>
    <row r="53" spans="2:14" x14ac:dyDescent="0.2">
      <c r="B53" s="3" t="s">
        <v>65</v>
      </c>
      <c r="L53" s="13">
        <v>32976</v>
      </c>
    </row>
    <row r="54" spans="2:14" x14ac:dyDescent="0.2">
      <c r="B54" s="3" t="s">
        <v>66</v>
      </c>
      <c r="L54" s="13">
        <v>7889</v>
      </c>
    </row>
    <row r="55" spans="2:14" x14ac:dyDescent="0.2">
      <c r="B55" s="3" t="s">
        <v>67</v>
      </c>
      <c r="L55" s="13">
        <f>3272+472</f>
        <v>3744</v>
      </c>
    </row>
    <row r="56" spans="2:14" x14ac:dyDescent="0.2">
      <c r="B56" s="3" t="s">
        <v>30</v>
      </c>
      <c r="L56" s="13">
        <f>1956+8163+924</f>
        <v>11043</v>
      </c>
    </row>
    <row r="57" spans="2:14" x14ac:dyDescent="0.2">
      <c r="B57" s="3" t="s">
        <v>4</v>
      </c>
      <c r="L57" s="13">
        <v>14734</v>
      </c>
    </row>
    <row r="58" spans="2:14" x14ac:dyDescent="0.2">
      <c r="B58" s="3" t="s">
        <v>59</v>
      </c>
      <c r="L58" s="13">
        <v>11697</v>
      </c>
    </row>
    <row r="59" spans="2:14" x14ac:dyDescent="0.2">
      <c r="B59" s="3" t="s">
        <v>70</v>
      </c>
      <c r="L59" s="13">
        <v>2422</v>
      </c>
    </row>
    <row r="60" spans="2:14" x14ac:dyDescent="0.2">
      <c r="B60" s="3" t="s">
        <v>69</v>
      </c>
      <c r="L60" s="13">
        <v>255419</v>
      </c>
    </row>
    <row r="61" spans="2:14" x14ac:dyDescent="0.2">
      <c r="B61" s="3" t="s">
        <v>68</v>
      </c>
      <c r="L61" s="13">
        <f>SUM(L51:L60)</f>
        <v>355185</v>
      </c>
    </row>
    <row r="63" spans="2:14" s="3" customFormat="1" x14ac:dyDescent="0.2">
      <c r="B63" s="3" t="s">
        <v>35</v>
      </c>
      <c r="C63" s="13"/>
      <c r="D63" s="13"/>
      <c r="E63" s="13"/>
      <c r="F63" s="13">
        <v>22677</v>
      </c>
      <c r="G63" s="13">
        <v>19289</v>
      </c>
      <c r="H63" s="13"/>
      <c r="I63" s="13"/>
      <c r="J63" s="13">
        <v>24934</v>
      </c>
      <c r="K63" s="13">
        <v>25106</v>
      </c>
      <c r="L63" s="13"/>
      <c r="M63" s="13"/>
      <c r="N63" s="13"/>
    </row>
    <row r="64" spans="2:14" s="3" customFormat="1" x14ac:dyDescent="0.2">
      <c r="B64" s="3" t="s">
        <v>36</v>
      </c>
      <c r="C64" s="13"/>
      <c r="D64" s="13"/>
      <c r="E64" s="13"/>
      <c r="F64" s="13">
        <v>5479</v>
      </c>
      <c r="G64" s="13">
        <v>5942</v>
      </c>
      <c r="H64" s="13"/>
      <c r="I64" s="13"/>
      <c r="J64" s="13">
        <v>6383</v>
      </c>
      <c r="K64" s="13">
        <v>9786</v>
      </c>
      <c r="L64" s="13"/>
      <c r="M64" s="13"/>
      <c r="N64" s="13"/>
    </row>
    <row r="65" spans="2:14" s="3" customFormat="1" x14ac:dyDescent="0.2">
      <c r="B65" s="3" t="s">
        <v>37</v>
      </c>
      <c r="C65" s="13"/>
      <c r="D65" s="13"/>
      <c r="E65" s="13"/>
      <c r="F65" s="13">
        <f t="shared" ref="F65" si="115">F63-F64</f>
        <v>17198</v>
      </c>
      <c r="G65" s="13">
        <f>G63-G64</f>
        <v>13347</v>
      </c>
      <c r="H65" s="13"/>
      <c r="I65" s="13"/>
      <c r="J65" s="13">
        <f t="shared" ref="J65" si="116">J63-J64</f>
        <v>18551</v>
      </c>
      <c r="K65" s="13">
        <f t="shared" ref="K65" si="117">K63-K64</f>
        <v>15320</v>
      </c>
      <c r="L65" s="13"/>
      <c r="M65" s="13"/>
      <c r="N65" s="13"/>
    </row>
    <row r="68" spans="2:14" s="3" customFormat="1" x14ac:dyDescent="0.2">
      <c r="B68" s="3" t="s">
        <v>52</v>
      </c>
      <c r="C68" s="13"/>
      <c r="D68" s="13"/>
      <c r="E68" s="13"/>
      <c r="F68" s="13"/>
      <c r="G68" s="13"/>
      <c r="H68" s="13">
        <v>144056</v>
      </c>
      <c r="I68" s="13"/>
      <c r="J68" s="13"/>
      <c r="K68" s="13"/>
      <c r="L68" s="13">
        <v>174014</v>
      </c>
      <c r="M68" s="13"/>
      <c r="N68" s="13"/>
    </row>
    <row r="69" spans="2:14" x14ac:dyDescent="0.2">
      <c r="B69" s="3" t="s">
        <v>53</v>
      </c>
      <c r="L69" s="17">
        <f>+L68/H68-1</f>
        <v>0.20796079302493475</v>
      </c>
    </row>
  </sheetData>
  <hyperlinks>
    <hyperlink ref="A1" location="Main!A1" display="Main" xr:uid="{E44988C7-574D-4338-8D92-18114C17CDBF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2022-07-14T13:49:22Z</dcterms:created>
  <dcterms:modified xsi:type="dcterms:W3CDTF">2022-07-27T03:54:48Z</dcterms:modified>
</cp:coreProperties>
</file>