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da80931a57275/Models Backup/"/>
    </mc:Choice>
  </mc:AlternateContent>
  <xr:revisionPtr revIDLastSave="584" documentId="8_{8DFF9E9D-0AF2-C142-9CA2-38C3DB35F028}" xr6:coauthVersionLast="47" xr6:coauthVersionMax="47" xr10:uidLastSave="{45BD0950-508A-491A-8157-F9DD79CB36C9}"/>
  <bookViews>
    <workbookView xWindow="8205" yWindow="5550" windowWidth="20580" windowHeight="786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2" i="2" l="1"/>
  <c r="AB12" i="2" s="1"/>
  <c r="AC12" i="2" s="1"/>
  <c r="AD12" i="2" s="1"/>
  <c r="AE12" i="2" s="1"/>
  <c r="AF12" i="2" s="1"/>
  <c r="Z12" i="2"/>
  <c r="W27" i="2"/>
  <c r="V27" i="2"/>
  <c r="U27" i="2"/>
  <c r="Y27" i="2"/>
  <c r="X27" i="2"/>
  <c r="P17" i="2"/>
  <c r="Q17" i="2" s="1"/>
  <c r="R17" i="2" s="1"/>
  <c r="O17" i="2"/>
  <c r="Y17" i="2" s="1"/>
  <c r="O22" i="2"/>
  <c r="P22" i="2" s="1"/>
  <c r="Q22" i="2" s="1"/>
  <c r="R22" i="2" s="1"/>
  <c r="R14" i="2"/>
  <c r="Q14" i="2"/>
  <c r="P14" i="2"/>
  <c r="O14" i="2"/>
  <c r="Y14" i="2" s="1"/>
  <c r="Z14" i="2" s="1"/>
  <c r="AA14" i="2" s="1"/>
  <c r="R13" i="2"/>
  <c r="Q13" i="2"/>
  <c r="P13" i="2"/>
  <c r="O13" i="2"/>
  <c r="Y13" i="2" s="1"/>
  <c r="Z13" i="2" s="1"/>
  <c r="AA13" i="2" s="1"/>
  <c r="AB13" i="2" s="1"/>
  <c r="R12" i="2"/>
  <c r="Q12" i="2"/>
  <c r="P12" i="2"/>
  <c r="O12" i="2"/>
  <c r="Y12" i="2" s="1"/>
  <c r="Q9" i="2"/>
  <c r="X63" i="2"/>
  <c r="X62" i="2"/>
  <c r="X58" i="2"/>
  <c r="X57" i="2"/>
  <c r="T9" i="2"/>
  <c r="N45" i="2"/>
  <c r="N40" i="2"/>
  <c r="N48" i="2" s="1"/>
  <c r="N35" i="2"/>
  <c r="N31" i="2"/>
  <c r="N38" i="2" s="1"/>
  <c r="Y7" i="2"/>
  <c r="Z7" i="2" s="1"/>
  <c r="AA7" i="2" s="1"/>
  <c r="AB7" i="2" s="1"/>
  <c r="AC7" i="2" s="1"/>
  <c r="AD7" i="2" s="1"/>
  <c r="AE7" i="2" s="1"/>
  <c r="AF7" i="2" s="1"/>
  <c r="R7" i="2"/>
  <c r="Q7" i="2"/>
  <c r="P7" i="2"/>
  <c r="O7" i="2"/>
  <c r="U15" i="2"/>
  <c r="U10" i="2"/>
  <c r="V15" i="2"/>
  <c r="V10" i="2"/>
  <c r="V9" i="2"/>
  <c r="V11" i="2" s="1"/>
  <c r="V26" i="2" s="1"/>
  <c r="U9" i="2"/>
  <c r="G10" i="2"/>
  <c r="G15" i="2"/>
  <c r="G9" i="2"/>
  <c r="K10" i="2"/>
  <c r="H10" i="2"/>
  <c r="H9" i="2"/>
  <c r="L10" i="2"/>
  <c r="I10" i="2"/>
  <c r="I9" i="2"/>
  <c r="M15" i="2"/>
  <c r="L15" i="2"/>
  <c r="K15" i="2"/>
  <c r="J15" i="2"/>
  <c r="I15" i="2"/>
  <c r="H15" i="2"/>
  <c r="F15" i="2"/>
  <c r="F16" i="2" s="1"/>
  <c r="E15" i="2"/>
  <c r="E16" i="2" s="1"/>
  <c r="D15" i="2"/>
  <c r="D16" i="2" s="1"/>
  <c r="C15" i="2"/>
  <c r="C16" i="2" s="1"/>
  <c r="M10" i="2"/>
  <c r="W9" i="2"/>
  <c r="X9" i="2"/>
  <c r="M9" i="2"/>
  <c r="L9" i="2"/>
  <c r="P9" i="2" s="1"/>
  <c r="K9" i="2"/>
  <c r="J9" i="2"/>
  <c r="N9" i="2"/>
  <c r="R9" i="2" s="1"/>
  <c r="J10" i="2"/>
  <c r="N10" i="2"/>
  <c r="W10" i="2"/>
  <c r="W15" i="2"/>
  <c r="X10" i="2"/>
  <c r="X15" i="2"/>
  <c r="N15" i="2"/>
  <c r="G7" i="1"/>
  <c r="G6" i="1"/>
  <c r="G5" i="1"/>
  <c r="G4" i="1"/>
  <c r="Y15" i="2" l="1"/>
  <c r="H11" i="2"/>
  <c r="H26" i="2" s="1"/>
  <c r="Q15" i="2"/>
  <c r="R15" i="2"/>
  <c r="P15" i="2"/>
  <c r="Y22" i="2"/>
  <c r="Z22" i="2" s="1"/>
  <c r="AA22" i="2" s="1"/>
  <c r="AB22" i="2" s="1"/>
  <c r="AC22" i="2" s="1"/>
  <c r="AD22" i="2" s="1"/>
  <c r="AE22" i="2" s="1"/>
  <c r="AF22" i="2" s="1"/>
  <c r="AB14" i="2"/>
  <c r="AC14" i="2" s="1"/>
  <c r="AD14" i="2" s="1"/>
  <c r="AE14" i="2" s="1"/>
  <c r="AF14" i="2" s="1"/>
  <c r="AC13" i="2"/>
  <c r="AD13" i="2" s="1"/>
  <c r="AE13" i="2" s="1"/>
  <c r="AF13" i="2" s="1"/>
  <c r="P11" i="2"/>
  <c r="P26" i="2" s="1"/>
  <c r="Q11" i="2"/>
  <c r="Q26" i="2" s="1"/>
  <c r="P16" i="2"/>
  <c r="P18" i="2" s="1"/>
  <c r="O25" i="2"/>
  <c r="R11" i="2"/>
  <c r="R26" i="2" s="1"/>
  <c r="R25" i="2"/>
  <c r="X25" i="2"/>
  <c r="W25" i="2"/>
  <c r="O9" i="2"/>
  <c r="Y9" i="2" s="1"/>
  <c r="O15" i="2"/>
  <c r="I11" i="2"/>
  <c r="I26" i="2" s="1"/>
  <c r="V25" i="2"/>
  <c r="U11" i="2"/>
  <c r="U26" i="2" s="1"/>
  <c r="L25" i="2"/>
  <c r="N30" i="2"/>
  <c r="M25" i="2"/>
  <c r="N11" i="2"/>
  <c r="N26" i="2" s="1"/>
  <c r="P25" i="2"/>
  <c r="V16" i="2"/>
  <c r="V18" i="2" s="1"/>
  <c r="K25" i="2"/>
  <c r="Q25" i="2"/>
  <c r="N25" i="2"/>
  <c r="G11" i="2"/>
  <c r="K11" i="2"/>
  <c r="K26" i="2" s="1"/>
  <c r="H16" i="2"/>
  <c r="H18" i="2" s="1"/>
  <c r="H20" i="2" s="1"/>
  <c r="H21" i="2" s="1"/>
  <c r="L11" i="2"/>
  <c r="L26" i="2" s="1"/>
  <c r="J11" i="2"/>
  <c r="J26" i="2" s="1"/>
  <c r="M11" i="2"/>
  <c r="M26" i="2" s="1"/>
  <c r="W11" i="2"/>
  <c r="W26" i="2" s="1"/>
  <c r="X11" i="2"/>
  <c r="X26" i="2" s="1"/>
  <c r="N16" i="2"/>
  <c r="N18" i="2" s="1"/>
  <c r="V20" i="2" l="1"/>
  <c r="V21" i="2" s="1"/>
  <c r="V28" i="2"/>
  <c r="M16" i="2"/>
  <c r="M18" i="2" s="1"/>
  <c r="Z15" i="2"/>
  <c r="N20" i="2"/>
  <c r="N21" i="2" s="1"/>
  <c r="N28" i="2"/>
  <c r="Z9" i="2"/>
  <c r="Y25" i="2"/>
  <c r="P19" i="2"/>
  <c r="P28" i="2" s="1"/>
  <c r="R16" i="2"/>
  <c r="R18" i="2" s="1"/>
  <c r="R10" i="2"/>
  <c r="Q16" i="2"/>
  <c r="Q18" i="2" s="1"/>
  <c r="I16" i="2"/>
  <c r="I18" i="2" s="1"/>
  <c r="I20" i="2" s="1"/>
  <c r="I21" i="2" s="1"/>
  <c r="U16" i="2"/>
  <c r="U18" i="2" s="1"/>
  <c r="O11" i="2"/>
  <c r="O10" i="2"/>
  <c r="Q10" i="2"/>
  <c r="P10" i="2"/>
  <c r="K16" i="2"/>
  <c r="K18" i="2" s="1"/>
  <c r="W16" i="2"/>
  <c r="W18" i="2" s="1"/>
  <c r="G16" i="2"/>
  <c r="G18" i="2" s="1"/>
  <c r="G20" i="2" s="1"/>
  <c r="G21" i="2" s="1"/>
  <c r="G26" i="2"/>
  <c r="J16" i="2"/>
  <c r="J18" i="2" s="1"/>
  <c r="J20" i="2" s="1"/>
  <c r="J21" i="2" s="1"/>
  <c r="L16" i="2"/>
  <c r="L18" i="2" s="1"/>
  <c r="X16" i="2"/>
  <c r="X18" i="2" s="1"/>
  <c r="W20" i="2" l="1"/>
  <c r="W21" i="2" s="1"/>
  <c r="W28" i="2"/>
  <c r="AA15" i="2"/>
  <c r="Z25" i="2"/>
  <c r="AA9" i="2"/>
  <c r="Z10" i="2"/>
  <c r="Z11" i="2" s="1"/>
  <c r="M20" i="2"/>
  <c r="M21" i="2" s="1"/>
  <c r="M28" i="2"/>
  <c r="Y10" i="2"/>
  <c r="Y11" i="2" s="1"/>
  <c r="L20" i="2"/>
  <c r="L21" i="2" s="1"/>
  <c r="L28" i="2"/>
  <c r="K20" i="2"/>
  <c r="K21" i="2" s="1"/>
  <c r="K28" i="2"/>
  <c r="U20" i="2"/>
  <c r="U21" i="2" s="1"/>
  <c r="U28" i="2"/>
  <c r="X20" i="2"/>
  <c r="X28" i="2"/>
  <c r="Q19" i="2"/>
  <c r="Q28" i="2" s="1"/>
  <c r="R19" i="2"/>
  <c r="R28" i="2" s="1"/>
  <c r="P20" i="2"/>
  <c r="P21" i="2" s="1"/>
  <c r="O26" i="2"/>
  <c r="O16" i="2"/>
  <c r="O18" i="2" s="1"/>
  <c r="X21" i="2"/>
  <c r="X50" i="2"/>
  <c r="Z26" i="2" l="1"/>
  <c r="Z16" i="2"/>
  <c r="Z27" i="2" s="1"/>
  <c r="R20" i="2"/>
  <c r="R21" i="2" s="1"/>
  <c r="AB15" i="2"/>
  <c r="Y26" i="2"/>
  <c r="Y16" i="2"/>
  <c r="Y18" i="2" s="1"/>
  <c r="AB9" i="2"/>
  <c r="AA25" i="2"/>
  <c r="AA10" i="2"/>
  <c r="AA11" i="2"/>
  <c r="Q20" i="2"/>
  <c r="Q21" i="2" s="1"/>
  <c r="O19" i="2"/>
  <c r="AA26" i="2" l="1"/>
  <c r="AA16" i="2"/>
  <c r="AA27" i="2" s="1"/>
  <c r="O28" i="2"/>
  <c r="Y19" i="2"/>
  <c r="Y28" i="2" s="1"/>
  <c r="Y20" i="2"/>
  <c r="Y21" i="2" s="1"/>
  <c r="AC15" i="2"/>
  <c r="AB25" i="2"/>
  <c r="AB10" i="2"/>
  <c r="AB11" i="2"/>
  <c r="AC9" i="2"/>
  <c r="O20" i="2"/>
  <c r="AB26" i="2" l="1"/>
  <c r="AB16" i="2"/>
  <c r="AB27" i="2" s="1"/>
  <c r="AC25" i="2"/>
  <c r="AC10" i="2"/>
  <c r="AC11" i="2"/>
  <c r="AD9" i="2"/>
  <c r="O21" i="2"/>
  <c r="O30" i="2"/>
  <c r="P30" i="2" s="1"/>
  <c r="Q30" i="2" s="1"/>
  <c r="R30" i="2" s="1"/>
  <c r="Y30" i="2" s="1"/>
  <c r="AD15" i="2"/>
  <c r="AF15" i="2" l="1"/>
  <c r="AE15" i="2"/>
  <c r="Z17" i="2"/>
  <c r="Z18" i="2" s="1"/>
  <c r="AD25" i="2"/>
  <c r="AD10" i="2"/>
  <c r="AD11" i="2" s="1"/>
  <c r="AE9" i="2"/>
  <c r="AC26" i="2"/>
  <c r="AC16" i="2"/>
  <c r="AC27" i="2" s="1"/>
  <c r="AD26" i="2" l="1"/>
  <c r="AD16" i="2"/>
  <c r="AD27" i="2" s="1"/>
  <c r="AE25" i="2"/>
  <c r="AE10" i="2"/>
  <c r="AE11" i="2"/>
  <c r="AF9" i="2"/>
  <c r="Z19" i="2"/>
  <c r="Z28" i="2" s="1"/>
  <c r="Z20" i="2" l="1"/>
  <c r="AF10" i="2"/>
  <c r="AF11" i="2" s="1"/>
  <c r="AF25" i="2"/>
  <c r="AE16" i="2"/>
  <c r="AE27" i="2" s="1"/>
  <c r="AE26" i="2"/>
  <c r="AF26" i="2" l="1"/>
  <c r="AF16" i="2"/>
  <c r="AF27" i="2" s="1"/>
  <c r="Z21" i="2"/>
  <c r="Z30" i="2"/>
  <c r="AA17" i="2" l="1"/>
  <c r="AA18" i="2" s="1"/>
  <c r="AA19" i="2" l="1"/>
  <c r="AA28" i="2" s="1"/>
  <c r="AA20" i="2"/>
  <c r="AA21" i="2" l="1"/>
  <c r="AA30" i="2"/>
  <c r="AB17" i="2" l="1"/>
  <c r="AB18" i="2" s="1"/>
  <c r="AB19" i="2" l="1"/>
  <c r="AB28" i="2" s="1"/>
  <c r="AB20" i="2" l="1"/>
  <c r="AB21" i="2" l="1"/>
  <c r="AB30" i="2"/>
  <c r="AC17" i="2" l="1"/>
  <c r="AC18" i="2" s="1"/>
  <c r="AC19" i="2" l="1"/>
  <c r="AC28" i="2" s="1"/>
  <c r="AC20" i="2" l="1"/>
  <c r="AC21" i="2"/>
  <c r="AC30" i="2"/>
  <c r="AD17" i="2" l="1"/>
  <c r="AD18" i="2" s="1"/>
  <c r="AD19" i="2" l="1"/>
  <c r="AD28" i="2" s="1"/>
  <c r="AD20" i="2" l="1"/>
  <c r="AD21" i="2"/>
  <c r="AD30" i="2"/>
  <c r="AE17" i="2" l="1"/>
  <c r="AE18" i="2" s="1"/>
  <c r="AE19" i="2" l="1"/>
  <c r="AE28" i="2" s="1"/>
  <c r="AE20" i="2" l="1"/>
  <c r="AE21" i="2" l="1"/>
  <c r="AE30" i="2"/>
  <c r="AF17" i="2" l="1"/>
  <c r="AF18" i="2" s="1"/>
  <c r="AF19" i="2" l="1"/>
  <c r="AF28" i="2" s="1"/>
  <c r="AF20" i="2" l="1"/>
  <c r="AG20" i="2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AI33" i="2" s="1"/>
  <c r="AI34" i="2" s="1"/>
  <c r="AI35" i="2" s="1"/>
  <c r="AF21" i="2"/>
  <c r="AF30" i="2"/>
</calcChain>
</file>

<file path=xl/sharedStrings.xml><?xml version="1.0" encoding="utf-8"?>
<sst xmlns="http://schemas.openxmlformats.org/spreadsheetml/2006/main" count="99" uniqueCount="91">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</sst>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1" applyFont="1"/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0</xdr:row>
      <xdr:rowOff>57150</xdr:rowOff>
    </xdr:from>
    <xdr:to>
      <xdr:col>14</xdr:col>
      <xdr:colOff>38100</xdr:colOff>
      <xdr:row>65</xdr:row>
      <xdr:rowOff>149087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8983317" y="57150"/>
          <a:ext cx="0" cy="10528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43069</xdr:colOff>
      <xdr:row>0</xdr:row>
      <xdr:rowOff>0</xdr:rowOff>
    </xdr:from>
    <xdr:to>
      <xdr:col>24</xdr:col>
      <xdr:colOff>43069</xdr:colOff>
      <xdr:row>73</xdr:row>
      <xdr:rowOff>157370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15059439" y="0"/>
          <a:ext cx="0" cy="1224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Normal="100" zoomScaleSheetLayoutView="100" workbookViewId="0"/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F2" s="1" t="s">
        <v>0</v>
      </c>
      <c r="G2" s="2">
        <v>70.7</v>
      </c>
    </row>
    <row r="3" spans="2:8" x14ac:dyDescent="0.2">
      <c r="F3" s="1" t="s">
        <v>1</v>
      </c>
      <c r="G3" s="3">
        <v>2742</v>
      </c>
      <c r="H3" s="4" t="s">
        <v>6</v>
      </c>
    </row>
    <row r="4" spans="2:8" x14ac:dyDescent="0.2">
      <c r="F4" s="1" t="s">
        <v>2</v>
      </c>
      <c r="G4" s="3">
        <f>G3*G2</f>
        <v>193859.4</v>
      </c>
    </row>
    <row r="5" spans="2:8" x14ac:dyDescent="0.2">
      <c r="F5" s="1" t="s">
        <v>3</v>
      </c>
      <c r="G5" s="3">
        <f>21383+519</f>
        <v>21902</v>
      </c>
      <c r="H5" s="4" t="s">
        <v>6</v>
      </c>
    </row>
    <row r="6" spans="2:8" x14ac:dyDescent="0.2">
      <c r="F6" s="1" t="s">
        <v>4</v>
      </c>
      <c r="G6" s="3">
        <f>72110+3749</f>
        <v>75859</v>
      </c>
      <c r="H6" s="4" t="s">
        <v>6</v>
      </c>
    </row>
    <row r="7" spans="2:8" x14ac:dyDescent="0.2">
      <c r="F7" s="1" t="s">
        <v>5</v>
      </c>
      <c r="G7" s="3">
        <f>G4-G5+G6</f>
        <v>247816.4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Q63"/>
  <sheetViews>
    <sheetView tabSelected="1" zoomScaleNormal="100" zoomScaleSheetLayoutView="100" workbookViewId="0">
      <pane xSplit="2" ySplit="8" topLeftCell="W9" activePane="bottomRight" state="frozen"/>
      <selection pane="topRight" activeCell="E1" sqref="E1"/>
      <selection pane="bottomLeft" activeCell="A10" sqref="A10"/>
      <selection pane="bottomRight" activeCell="AG31" sqref="AG31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19" width="9" style="4" customWidth="1"/>
    <col min="20" max="20" width="8.5703125" style="1"/>
    <col min="21" max="22" width="8.5703125" style="4"/>
    <col min="23" max="24" width="9.5703125" style="4" customWidth="1"/>
    <col min="25" max="34" width="8.5703125" style="1"/>
    <col min="35" max="35" width="9.28515625" style="1" customWidth="1"/>
    <col min="36" max="16384" width="8.5703125" style="1"/>
  </cols>
  <sheetData>
    <row r="1" spans="1:32" x14ac:dyDescent="0.2">
      <c r="A1" s="10" t="s">
        <v>7</v>
      </c>
    </row>
    <row r="2" spans="1:32" s="3" customFormat="1" x14ac:dyDescent="0.2">
      <c r="B2" s="3" t="s">
        <v>33</v>
      </c>
      <c r="C2" s="5"/>
      <c r="D2" s="5"/>
      <c r="E2" s="5"/>
      <c r="F2" s="5"/>
      <c r="G2" s="5">
        <v>6947</v>
      </c>
      <c r="H2" s="5">
        <v>7112</v>
      </c>
      <c r="I2" s="5">
        <v>7252</v>
      </c>
      <c r="J2" s="5">
        <v>7389</v>
      </c>
      <c r="K2" s="5">
        <v>7371</v>
      </c>
      <c r="L2" s="5">
        <v>7554</v>
      </c>
      <c r="M2" s="5">
        <v>7637</v>
      </c>
      <c r="N2" s="5">
        <v>7612</v>
      </c>
      <c r="O2" s="5"/>
      <c r="P2" s="5"/>
      <c r="Q2" s="5"/>
      <c r="R2" s="5"/>
      <c r="S2" s="5"/>
      <c r="U2" s="5">
        <v>26707</v>
      </c>
      <c r="V2" s="5">
        <v>27392</v>
      </c>
      <c r="W2" s="5">
        <v>28700</v>
      </c>
      <c r="X2" s="5">
        <v>30174</v>
      </c>
    </row>
    <row r="3" spans="1:32" s="3" customFormat="1" x14ac:dyDescent="0.2">
      <c r="B3" s="3" t="s">
        <v>34</v>
      </c>
      <c r="C3" s="5"/>
      <c r="D3" s="5"/>
      <c r="E3" s="5"/>
      <c r="F3" s="5"/>
      <c r="G3" s="5">
        <v>886</v>
      </c>
      <c r="H3" s="5">
        <v>1092</v>
      </c>
      <c r="I3" s="5">
        <v>1276</v>
      </c>
      <c r="J3" s="5">
        <v>2144</v>
      </c>
      <c r="K3" s="5">
        <v>813</v>
      </c>
      <c r="L3" s="5">
        <v>1237</v>
      </c>
      <c r="M3" s="5">
        <v>1289</v>
      </c>
      <c r="N3" s="5">
        <v>2539</v>
      </c>
      <c r="O3" s="5"/>
      <c r="P3" s="5"/>
      <c r="Q3" s="5"/>
      <c r="R3" s="5"/>
      <c r="S3" s="5"/>
      <c r="U3" s="5">
        <v>5855</v>
      </c>
      <c r="V3" s="5">
        <v>5127</v>
      </c>
      <c r="W3" s="5">
        <v>5399</v>
      </c>
      <c r="X3" s="5">
        <v>5878</v>
      </c>
    </row>
    <row r="4" spans="1:32" s="3" customFormat="1" x14ac:dyDescent="0.2">
      <c r="B4" s="3" t="s">
        <v>35</v>
      </c>
      <c r="C4" s="5"/>
      <c r="D4" s="5"/>
      <c r="E4" s="5"/>
      <c r="F4" s="5"/>
      <c r="G4" s="5">
        <v>814</v>
      </c>
      <c r="H4" s="5">
        <v>844</v>
      </c>
      <c r="I4" s="5">
        <v>820</v>
      </c>
      <c r="J4" s="5">
        <v>882</v>
      </c>
      <c r="K4" s="5">
        <v>763</v>
      </c>
      <c r="L4" s="5">
        <v>767</v>
      </c>
      <c r="M4" s="5">
        <v>798</v>
      </c>
      <c r="N4" s="5">
        <v>856</v>
      </c>
      <c r="O4" s="5"/>
      <c r="P4" s="5"/>
      <c r="Q4" s="5"/>
      <c r="R4" s="5"/>
      <c r="S4" s="5"/>
      <c r="U4" s="5">
        <v>3704</v>
      </c>
      <c r="V4" s="5">
        <v>3443</v>
      </c>
      <c r="W4" s="5">
        <v>3359</v>
      </c>
      <c r="X4" s="5">
        <v>3183</v>
      </c>
    </row>
    <row r="5" spans="1:32" s="3" customFormat="1" x14ac:dyDescent="0.2">
      <c r="B5" s="3" t="s">
        <v>36</v>
      </c>
      <c r="C5" s="5"/>
      <c r="D5" s="5"/>
      <c r="E5" s="5"/>
      <c r="F5" s="5"/>
      <c r="G5" s="5">
        <v>720</v>
      </c>
      <c r="H5" s="5">
        <v>752</v>
      </c>
      <c r="I5" s="5">
        <v>737</v>
      </c>
      <c r="J5" s="5">
        <v>812</v>
      </c>
      <c r="K5" s="5">
        <v>781</v>
      </c>
      <c r="L5" s="5">
        <v>802</v>
      </c>
      <c r="M5" s="5">
        <v>789</v>
      </c>
      <c r="N5" s="5">
        <v>833</v>
      </c>
      <c r="O5" s="5"/>
      <c r="P5" s="5"/>
      <c r="Q5" s="5"/>
      <c r="R5" s="5"/>
      <c r="S5" s="5"/>
      <c r="U5" s="5">
        <v>3240</v>
      </c>
      <c r="V5" s="5">
        <v>3106</v>
      </c>
      <c r="W5" s="5">
        <v>3021</v>
      </c>
      <c r="X5" s="5">
        <v>3205</v>
      </c>
    </row>
    <row r="7" spans="1:32" s="11" customFormat="1" x14ac:dyDescent="0.2">
      <c r="C7" s="12"/>
      <c r="D7" s="12"/>
      <c r="E7" s="12"/>
      <c r="F7" s="12"/>
      <c r="G7" s="12">
        <v>44074</v>
      </c>
      <c r="H7" s="12">
        <v>44165</v>
      </c>
      <c r="I7" s="12">
        <v>44255</v>
      </c>
      <c r="J7" s="12">
        <v>44347</v>
      </c>
      <c r="K7" s="12">
        <v>44439</v>
      </c>
      <c r="L7" s="12">
        <v>44530</v>
      </c>
      <c r="M7" s="12">
        <v>44620</v>
      </c>
      <c r="N7" s="12">
        <v>44712</v>
      </c>
      <c r="O7" s="12">
        <f>+K7+365</f>
        <v>44804</v>
      </c>
      <c r="P7" s="12">
        <f t="shared" ref="P7:R7" si="0">+L7+365</f>
        <v>44895</v>
      </c>
      <c r="Q7" s="12">
        <f t="shared" si="0"/>
        <v>44985</v>
      </c>
      <c r="R7" s="12">
        <f t="shared" si="0"/>
        <v>45077</v>
      </c>
      <c r="S7" s="12"/>
      <c r="T7" s="12">
        <v>43251</v>
      </c>
      <c r="U7" s="12">
        <v>43616</v>
      </c>
      <c r="V7" s="12">
        <v>43982</v>
      </c>
      <c r="W7" s="12">
        <v>44347</v>
      </c>
      <c r="X7" s="12">
        <v>44712</v>
      </c>
      <c r="Y7" s="12">
        <f>X7+365</f>
        <v>45077</v>
      </c>
      <c r="Z7" s="12">
        <f>Y7+366</f>
        <v>45443</v>
      </c>
      <c r="AA7" s="12">
        <f t="shared" ref="AA7" si="1">Z7+365</f>
        <v>45808</v>
      </c>
      <c r="AB7" s="12">
        <f t="shared" ref="AB7:AC7" si="2">AA7+365</f>
        <v>46173</v>
      </c>
      <c r="AC7" s="12">
        <f t="shared" si="2"/>
        <v>46538</v>
      </c>
      <c r="AD7" s="12">
        <f>AC7+366</f>
        <v>46904</v>
      </c>
      <c r="AE7" s="12">
        <f t="shared" ref="AE7" si="3">AD7+365</f>
        <v>47269</v>
      </c>
      <c r="AF7" s="12">
        <f>AE7+365</f>
        <v>47634</v>
      </c>
    </row>
    <row r="8" spans="1:32" x14ac:dyDescent="0.2">
      <c r="C8" s="4" t="s">
        <v>46</v>
      </c>
      <c r="D8" s="4" t="s">
        <v>45</v>
      </c>
      <c r="E8" s="4" t="s">
        <v>44</v>
      </c>
      <c r="F8" s="4" t="s">
        <v>42</v>
      </c>
      <c r="G8" s="4" t="s">
        <v>13</v>
      </c>
      <c r="H8" s="4" t="s">
        <v>12</v>
      </c>
      <c r="I8" s="4" t="s">
        <v>11</v>
      </c>
      <c r="J8" s="4" t="s">
        <v>15</v>
      </c>
      <c r="K8" s="4" t="s">
        <v>6</v>
      </c>
      <c r="L8" s="4" t="s">
        <v>9</v>
      </c>
      <c r="M8" s="4" t="s">
        <v>10</v>
      </c>
      <c r="N8" s="4" t="s">
        <v>14</v>
      </c>
      <c r="O8" s="4" t="s">
        <v>37</v>
      </c>
      <c r="P8" s="4" t="s">
        <v>38</v>
      </c>
      <c r="Q8" s="4" t="s">
        <v>39</v>
      </c>
      <c r="R8" s="4" t="s">
        <v>40</v>
      </c>
      <c r="T8" s="4" t="s">
        <v>71</v>
      </c>
      <c r="U8" s="4" t="s">
        <v>47</v>
      </c>
      <c r="V8" s="4" t="s">
        <v>43</v>
      </c>
      <c r="W8" s="4" t="s">
        <v>30</v>
      </c>
      <c r="X8" s="4" t="s">
        <v>31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4" t="s">
        <v>55</v>
      </c>
    </row>
    <row r="9" spans="1:32" s="8" customFormat="1" x14ac:dyDescent="0.2">
      <c r="B9" s="8" t="s">
        <v>8</v>
      </c>
      <c r="C9" s="9"/>
      <c r="D9" s="9"/>
      <c r="E9" s="9"/>
      <c r="F9" s="9"/>
      <c r="G9" s="9">
        <f t="shared" ref="G9" si="4">SUM(G2:G5)</f>
        <v>9367</v>
      </c>
      <c r="H9" s="9">
        <f t="shared" ref="H9:M9" si="5">SUM(H2:H5)</f>
        <v>9800</v>
      </c>
      <c r="I9" s="9">
        <f t="shared" si="5"/>
        <v>10085</v>
      </c>
      <c r="J9" s="9">
        <f t="shared" si="5"/>
        <v>11227</v>
      </c>
      <c r="K9" s="9">
        <f t="shared" si="5"/>
        <v>9728</v>
      </c>
      <c r="L9" s="9">
        <f t="shared" si="5"/>
        <v>10360</v>
      </c>
      <c r="M9" s="9">
        <f t="shared" si="5"/>
        <v>10513</v>
      </c>
      <c r="N9" s="9">
        <f>SUM(N2:N5)</f>
        <v>11840</v>
      </c>
      <c r="O9" s="9">
        <f>+K9*1.03</f>
        <v>10019.84</v>
      </c>
      <c r="P9" s="9">
        <f t="shared" ref="P9:R9" si="6">+L9*1.03</f>
        <v>10670.800000000001</v>
      </c>
      <c r="Q9" s="9">
        <f t="shared" si="6"/>
        <v>10828.39</v>
      </c>
      <c r="R9" s="9">
        <f t="shared" si="6"/>
        <v>12195.2</v>
      </c>
      <c r="S9" s="9"/>
      <c r="T9" s="9">
        <f t="shared" ref="T9:X9" si="7">SUM(T2:T5)</f>
        <v>0</v>
      </c>
      <c r="U9" s="9">
        <f t="shared" si="7"/>
        <v>39506</v>
      </c>
      <c r="V9" s="9">
        <f t="shared" si="7"/>
        <v>39068</v>
      </c>
      <c r="W9" s="9">
        <f t="shared" si="7"/>
        <v>40479</v>
      </c>
      <c r="X9" s="9">
        <f>SUM(X2:X5)</f>
        <v>42440</v>
      </c>
      <c r="Y9" s="9">
        <f>SUM(O9:R9)</f>
        <v>43714.229999999996</v>
      </c>
      <c r="Z9" s="9">
        <f>Y9*1.03</f>
        <v>45025.656899999994</v>
      </c>
      <c r="AA9" s="9">
        <f t="shared" ref="AA9:AF9" si="8">Z9*1.03</f>
        <v>46376.426606999994</v>
      </c>
      <c r="AB9" s="9">
        <f t="shared" si="8"/>
        <v>47767.719405209995</v>
      </c>
      <c r="AC9" s="9">
        <f t="shared" si="8"/>
        <v>49200.750987366293</v>
      </c>
      <c r="AD9" s="9">
        <f t="shared" si="8"/>
        <v>50676.773516987283</v>
      </c>
      <c r="AE9" s="9">
        <f t="shared" si="8"/>
        <v>52197.076722496902</v>
      </c>
      <c r="AF9" s="9">
        <f t="shared" si="8"/>
        <v>53762.989024171809</v>
      </c>
    </row>
    <row r="10" spans="1:32" s="3" customFormat="1" x14ac:dyDescent="0.2">
      <c r="B10" s="3" t="s">
        <v>16</v>
      </c>
      <c r="C10" s="5"/>
      <c r="D10" s="5"/>
      <c r="E10" s="5"/>
      <c r="F10" s="5"/>
      <c r="G10" s="5">
        <f>1011+246+623</f>
        <v>1880</v>
      </c>
      <c r="H10" s="5">
        <f>1064+244+631</f>
        <v>1939</v>
      </c>
      <c r="I10" s="5">
        <f>1064+230+621</f>
        <v>1915</v>
      </c>
      <c r="J10" s="5">
        <f>(1214+253+655)</f>
        <v>2122</v>
      </c>
      <c r="K10" s="5">
        <f>1214+245+644</f>
        <v>2103</v>
      </c>
      <c r="L10" s="5">
        <f>1259+229+671</f>
        <v>2159</v>
      </c>
      <c r="M10" s="5">
        <f>1305+244+669</f>
        <v>2218</v>
      </c>
      <c r="N10" s="5">
        <f>1435+254+707</f>
        <v>2396</v>
      </c>
      <c r="O10" s="5">
        <f>O9-O11</f>
        <v>2003.9679999999998</v>
      </c>
      <c r="P10" s="5">
        <f t="shared" ref="P10:R10" si="9">P9-P11</f>
        <v>2134.16</v>
      </c>
      <c r="Q10" s="5">
        <f t="shared" si="9"/>
        <v>2165.6779999999999</v>
      </c>
      <c r="R10" s="5">
        <f t="shared" si="9"/>
        <v>2439.0399999999991</v>
      </c>
      <c r="S10" s="5"/>
      <c r="U10" s="5">
        <f>3782+1360+2853</f>
        <v>7995</v>
      </c>
      <c r="V10" s="5">
        <f>4006+1116+2816</f>
        <v>7938</v>
      </c>
      <c r="W10" s="5">
        <f>(4353+972+2530)</f>
        <v>7855</v>
      </c>
      <c r="X10" s="5">
        <f>(5213+972+2692)</f>
        <v>8877</v>
      </c>
      <c r="Y10" s="3">
        <f>SUM(O10:R10)</f>
        <v>8742.8459999999977</v>
      </c>
      <c r="Z10" s="3">
        <f>Z9*0.2</f>
        <v>9005.1313799999989</v>
      </c>
      <c r="AA10" s="3">
        <f t="shared" ref="AA10:AF10" si="10">AA9*0.2</f>
        <v>9275.2853213999988</v>
      </c>
      <c r="AB10" s="3">
        <f t="shared" si="10"/>
        <v>9553.5438810420001</v>
      </c>
      <c r="AC10" s="3">
        <f t="shared" si="10"/>
        <v>9840.1501974732601</v>
      </c>
      <c r="AD10" s="3">
        <f t="shared" si="10"/>
        <v>10135.354703397457</v>
      </c>
      <c r="AE10" s="3">
        <f t="shared" si="10"/>
        <v>10439.415344499381</v>
      </c>
      <c r="AF10" s="3">
        <f t="shared" si="10"/>
        <v>10752.597804834362</v>
      </c>
    </row>
    <row r="11" spans="1:32" s="3" customFormat="1" x14ac:dyDescent="0.2">
      <c r="B11" s="3" t="s">
        <v>17</v>
      </c>
      <c r="C11" s="5"/>
      <c r="D11" s="5"/>
      <c r="E11" s="5"/>
      <c r="F11" s="5"/>
      <c r="G11" s="5">
        <f t="shared" ref="G11" si="11">G9-G10</f>
        <v>7487</v>
      </c>
      <c r="H11" s="5">
        <f>H9-H10</f>
        <v>7861</v>
      </c>
      <c r="I11" s="5">
        <f>I9-I10</f>
        <v>8170</v>
      </c>
      <c r="J11" s="5">
        <f>J9-J10</f>
        <v>9105</v>
      </c>
      <c r="K11" s="5">
        <f t="shared" ref="K11:N11" si="12">K9-K10</f>
        <v>7625</v>
      </c>
      <c r="L11" s="5">
        <f t="shared" si="12"/>
        <v>8201</v>
      </c>
      <c r="M11" s="5">
        <f t="shared" si="12"/>
        <v>8295</v>
      </c>
      <c r="N11" s="5">
        <f t="shared" si="12"/>
        <v>9444</v>
      </c>
      <c r="O11" s="5">
        <f>O9*0.8</f>
        <v>8015.8720000000003</v>
      </c>
      <c r="P11" s="5">
        <f t="shared" ref="P11:R11" si="13">P9*0.8</f>
        <v>8536.6400000000012</v>
      </c>
      <c r="Q11" s="5">
        <f t="shared" si="13"/>
        <v>8662.7119999999995</v>
      </c>
      <c r="R11" s="5">
        <f t="shared" si="13"/>
        <v>9756.1600000000017</v>
      </c>
      <c r="S11" s="5"/>
      <c r="U11" s="5">
        <f t="shared" ref="U11" si="14">U9-U10</f>
        <v>31511</v>
      </c>
      <c r="V11" s="5">
        <f t="shared" ref="V11" si="15">V9-V10</f>
        <v>31130</v>
      </c>
      <c r="W11" s="5">
        <f>W9-W10</f>
        <v>32624</v>
      </c>
      <c r="X11" s="5">
        <f t="shared" ref="X11" si="16">X9-X10</f>
        <v>33563</v>
      </c>
      <c r="Y11" s="3">
        <f>Y9-Y10</f>
        <v>34971.383999999998</v>
      </c>
      <c r="Z11" s="3">
        <f t="shared" ref="Z11:AF11" si="17">Z9-Z10</f>
        <v>36020.525519999996</v>
      </c>
      <c r="AA11" s="3">
        <f t="shared" si="17"/>
        <v>37101.141285599995</v>
      </c>
      <c r="AB11" s="3">
        <f t="shared" si="17"/>
        <v>38214.175524167993</v>
      </c>
      <c r="AC11" s="3">
        <f t="shared" si="17"/>
        <v>39360.600789893033</v>
      </c>
      <c r="AD11" s="3">
        <f t="shared" si="17"/>
        <v>40541.418813589829</v>
      </c>
      <c r="AE11" s="3">
        <f t="shared" si="17"/>
        <v>41757.661377997523</v>
      </c>
      <c r="AF11" s="3">
        <f t="shared" si="17"/>
        <v>43010.391219337449</v>
      </c>
    </row>
    <row r="12" spans="1:32" s="3" customFormat="1" x14ac:dyDescent="0.2">
      <c r="B12" s="3" t="s">
        <v>19</v>
      </c>
      <c r="C12" s="5"/>
      <c r="D12" s="5"/>
      <c r="E12" s="5"/>
      <c r="F12" s="5"/>
      <c r="G12" s="5">
        <v>1854</v>
      </c>
      <c r="H12" s="5">
        <v>1836</v>
      </c>
      <c r="I12" s="5">
        <v>1915</v>
      </c>
      <c r="J12" s="5">
        <v>2077</v>
      </c>
      <c r="K12" s="5">
        <v>1854</v>
      </c>
      <c r="L12" s="5">
        <v>1954</v>
      </c>
      <c r="M12" s="5">
        <v>2004</v>
      </c>
      <c r="N12" s="5">
        <v>2238</v>
      </c>
      <c r="O12" s="5">
        <f>K12</f>
        <v>1854</v>
      </c>
      <c r="P12" s="5">
        <f t="shared" ref="P12:R12" si="18">L12</f>
        <v>1954</v>
      </c>
      <c r="Q12" s="5">
        <f t="shared" si="18"/>
        <v>2004</v>
      </c>
      <c r="R12" s="5">
        <f t="shared" si="18"/>
        <v>2238</v>
      </c>
      <c r="S12" s="5"/>
      <c r="U12" s="5">
        <v>8509</v>
      </c>
      <c r="V12" s="5">
        <v>8094</v>
      </c>
      <c r="W12" s="5">
        <v>7682</v>
      </c>
      <c r="X12" s="5">
        <v>8047</v>
      </c>
      <c r="Y12" s="3">
        <f t="shared" ref="Y12:Y14" si="19">SUM(O12:R12)</f>
        <v>8050</v>
      </c>
      <c r="Z12" s="3">
        <f>Y12*1.02</f>
        <v>8211</v>
      </c>
      <c r="AA12" s="3">
        <f t="shared" ref="AA12:AF12" si="20">Z12*1.02</f>
        <v>8375.2199999999993</v>
      </c>
      <c r="AB12" s="3">
        <f t="shared" si="20"/>
        <v>8542.7243999999992</v>
      </c>
      <c r="AC12" s="3">
        <f t="shared" si="20"/>
        <v>8713.578888</v>
      </c>
      <c r="AD12" s="3">
        <f t="shared" si="20"/>
        <v>8887.8504657600006</v>
      </c>
      <c r="AE12" s="3">
        <f t="shared" si="20"/>
        <v>9065.6074750752014</v>
      </c>
      <c r="AF12" s="3">
        <f t="shared" si="20"/>
        <v>9246.9196245767052</v>
      </c>
    </row>
    <row r="13" spans="1:32" s="3" customFormat="1" x14ac:dyDescent="0.2">
      <c r="B13" s="3" t="s">
        <v>20</v>
      </c>
      <c r="C13" s="5"/>
      <c r="D13" s="5"/>
      <c r="E13" s="5"/>
      <c r="F13" s="5"/>
      <c r="G13" s="5">
        <v>1589</v>
      </c>
      <c r="H13" s="5">
        <v>1601</v>
      </c>
      <c r="I13" s="5">
        <v>1621</v>
      </c>
      <c r="J13" s="5">
        <v>1715</v>
      </c>
      <c r="K13" s="5">
        <v>1684</v>
      </c>
      <c r="L13" s="5">
        <v>1754</v>
      </c>
      <c r="M13" s="5">
        <v>1816</v>
      </c>
      <c r="N13" s="5">
        <v>1965</v>
      </c>
      <c r="O13" s="5">
        <f t="shared" ref="O13:O14" si="21">K13</f>
        <v>1684</v>
      </c>
      <c r="P13" s="5">
        <f t="shared" ref="P13:P14" si="22">L13</f>
        <v>1754</v>
      </c>
      <c r="Q13" s="5">
        <f t="shared" ref="Q13:Q14" si="23">M13</f>
        <v>1816</v>
      </c>
      <c r="R13" s="5">
        <f t="shared" ref="R13:R14" si="24">N13</f>
        <v>1965</v>
      </c>
      <c r="S13" s="5"/>
      <c r="U13" s="5">
        <v>6026</v>
      </c>
      <c r="V13" s="5">
        <v>6067</v>
      </c>
      <c r="W13" s="5">
        <v>6527</v>
      </c>
      <c r="X13" s="5">
        <v>7219</v>
      </c>
      <c r="Y13" s="3">
        <f t="shared" si="19"/>
        <v>7219</v>
      </c>
      <c r="Z13" s="3">
        <f t="shared" ref="Z13:AF13" si="25">Y13*1.01</f>
        <v>7291.1900000000005</v>
      </c>
      <c r="AA13" s="3">
        <f t="shared" si="25"/>
        <v>7364.1019000000006</v>
      </c>
      <c r="AB13" s="3">
        <f t="shared" si="25"/>
        <v>7437.7429190000003</v>
      </c>
      <c r="AC13" s="3">
        <f t="shared" si="25"/>
        <v>7512.1203481900002</v>
      </c>
      <c r="AD13" s="3">
        <f t="shared" si="25"/>
        <v>7587.2415516719002</v>
      </c>
      <c r="AE13" s="3">
        <f t="shared" si="25"/>
        <v>7663.1139671886194</v>
      </c>
      <c r="AF13" s="3">
        <f t="shared" si="25"/>
        <v>7739.745106860506</v>
      </c>
    </row>
    <row r="14" spans="1:32" s="3" customFormat="1" x14ac:dyDescent="0.2">
      <c r="B14" s="3" t="s">
        <v>21</v>
      </c>
      <c r="C14" s="5"/>
      <c r="D14" s="5"/>
      <c r="E14" s="5"/>
      <c r="F14" s="5"/>
      <c r="G14" s="5">
        <v>295</v>
      </c>
      <c r="H14" s="5">
        <v>324</v>
      </c>
      <c r="I14" s="5">
        <v>330</v>
      </c>
      <c r="J14" s="5">
        <v>306</v>
      </c>
      <c r="K14" s="5">
        <v>298</v>
      </c>
      <c r="L14" s="5">
        <v>319</v>
      </c>
      <c r="M14" s="5">
        <v>335</v>
      </c>
      <c r="N14" s="5">
        <v>364</v>
      </c>
      <c r="O14" s="5">
        <f t="shared" si="21"/>
        <v>298</v>
      </c>
      <c r="P14" s="5">
        <f t="shared" si="22"/>
        <v>319</v>
      </c>
      <c r="Q14" s="5">
        <f t="shared" si="23"/>
        <v>335</v>
      </c>
      <c r="R14" s="5">
        <f t="shared" si="24"/>
        <v>364</v>
      </c>
      <c r="S14" s="5"/>
      <c r="U14" s="5">
        <v>1265</v>
      </c>
      <c r="V14" s="5">
        <v>1181</v>
      </c>
      <c r="W14" s="5">
        <v>1254</v>
      </c>
      <c r="X14" s="5">
        <v>1317</v>
      </c>
      <c r="Y14" s="3">
        <f t="shared" si="19"/>
        <v>1316</v>
      </c>
      <c r="Z14" s="3">
        <f t="shared" ref="Z14:AF14" si="26">Y14*1.01</f>
        <v>1329.16</v>
      </c>
      <c r="AA14" s="3">
        <f t="shared" si="26"/>
        <v>1342.4516000000001</v>
      </c>
      <c r="AB14" s="3">
        <f t="shared" si="26"/>
        <v>1355.8761160000001</v>
      </c>
      <c r="AC14" s="3">
        <f t="shared" si="26"/>
        <v>1369.43487716</v>
      </c>
      <c r="AD14" s="3">
        <f t="shared" si="26"/>
        <v>1383.1292259316001</v>
      </c>
      <c r="AE14" s="3">
        <f t="shared" si="26"/>
        <v>1396.9605181909162</v>
      </c>
      <c r="AF14" s="3">
        <f t="shared" si="26"/>
        <v>1410.9301233728254</v>
      </c>
    </row>
    <row r="15" spans="1:32" s="3" customFormat="1" x14ac:dyDescent="0.2">
      <c r="B15" s="3" t="s">
        <v>22</v>
      </c>
      <c r="C15" s="5">
        <f t="shared" ref="C15:M15" si="27">SUM(C12:C14)</f>
        <v>0</v>
      </c>
      <c r="D15" s="5">
        <f t="shared" si="27"/>
        <v>0</v>
      </c>
      <c r="E15" s="5">
        <f t="shared" si="27"/>
        <v>0</v>
      </c>
      <c r="F15" s="5">
        <f t="shared" si="27"/>
        <v>0</v>
      </c>
      <c r="G15" s="5">
        <f t="shared" ref="G15" si="28">SUM(G12:G14)</f>
        <v>3738</v>
      </c>
      <c r="H15" s="5">
        <f t="shared" si="27"/>
        <v>3761</v>
      </c>
      <c r="I15" s="5">
        <f t="shared" si="27"/>
        <v>3866</v>
      </c>
      <c r="J15" s="5">
        <f t="shared" si="27"/>
        <v>4098</v>
      </c>
      <c r="K15" s="5">
        <f t="shared" si="27"/>
        <v>3836</v>
      </c>
      <c r="L15" s="5">
        <f t="shared" si="27"/>
        <v>4027</v>
      </c>
      <c r="M15" s="5">
        <f t="shared" si="27"/>
        <v>4155</v>
      </c>
      <c r="N15" s="5">
        <f>SUM(N12:N14)</f>
        <v>4567</v>
      </c>
      <c r="O15" s="5">
        <f t="shared" ref="O15:R15" si="29">SUM(O12:O14)</f>
        <v>3836</v>
      </c>
      <c r="P15" s="5">
        <f t="shared" si="29"/>
        <v>4027</v>
      </c>
      <c r="Q15" s="5">
        <f t="shared" si="29"/>
        <v>4155</v>
      </c>
      <c r="R15" s="5">
        <f t="shared" si="29"/>
        <v>4567</v>
      </c>
      <c r="S15" s="5"/>
      <c r="U15" s="5">
        <f t="shared" ref="U15" si="30">SUM(U12:U14)</f>
        <v>15800</v>
      </c>
      <c r="V15" s="5">
        <f t="shared" ref="V15" si="31">SUM(V12:V14)</f>
        <v>15342</v>
      </c>
      <c r="W15" s="5">
        <f>SUM(W12:W14)</f>
        <v>15463</v>
      </c>
      <c r="X15" s="5">
        <f>SUM(X12:X14)</f>
        <v>16583</v>
      </c>
      <c r="Y15" s="5">
        <f t="shared" ref="Y15" si="32">SUM(Y12:Y14)</f>
        <v>16585</v>
      </c>
      <c r="Z15" s="5">
        <f t="shared" ref="Z15" si="33">SUM(Z12:Z14)</f>
        <v>16831.350000000002</v>
      </c>
      <c r="AA15" s="5">
        <f t="shared" ref="AA15" si="34">SUM(AA12:AA14)</f>
        <v>17081.773499999999</v>
      </c>
      <c r="AB15" s="5">
        <f t="shared" ref="AB15" si="35">SUM(AB12:AB14)</f>
        <v>17336.343434999999</v>
      </c>
      <c r="AC15" s="5">
        <f t="shared" ref="AC15" si="36">SUM(AC12:AC14)</f>
        <v>17595.134113350003</v>
      </c>
      <c r="AD15" s="5">
        <f t="shared" ref="AD15" si="37">SUM(AD12:AD14)</f>
        <v>17858.2212433635</v>
      </c>
      <c r="AE15" s="5">
        <f t="shared" ref="AE15" si="38">SUM(AE12:AE14)</f>
        <v>18125.681960454738</v>
      </c>
      <c r="AF15" s="5">
        <f t="shared" ref="AF15" si="39">SUM(AF12:AF14)</f>
        <v>18397.594854810035</v>
      </c>
    </row>
    <row r="16" spans="1:32" s="3" customFormat="1" x14ac:dyDescent="0.2">
      <c r="B16" s="3" t="s">
        <v>23</v>
      </c>
      <c r="C16" s="5">
        <f t="shared" ref="C16:M16" si="40">C11-C15</f>
        <v>0</v>
      </c>
      <c r="D16" s="5">
        <f t="shared" si="40"/>
        <v>0</v>
      </c>
      <c r="E16" s="5">
        <f t="shared" si="40"/>
        <v>0</v>
      </c>
      <c r="F16" s="5">
        <f t="shared" si="40"/>
        <v>0</v>
      </c>
      <c r="G16" s="5">
        <f t="shared" ref="G16" si="41">G11-G15</f>
        <v>3749</v>
      </c>
      <c r="H16" s="5">
        <f t="shared" si="40"/>
        <v>4100</v>
      </c>
      <c r="I16" s="5">
        <f t="shared" si="40"/>
        <v>4304</v>
      </c>
      <c r="J16" s="5">
        <f t="shared" si="40"/>
        <v>5007</v>
      </c>
      <c r="K16" s="5">
        <f t="shared" si="40"/>
        <v>3789</v>
      </c>
      <c r="L16" s="5">
        <f t="shared" si="40"/>
        <v>4174</v>
      </c>
      <c r="M16" s="5">
        <f t="shared" si="40"/>
        <v>4140</v>
      </c>
      <c r="N16" s="5">
        <f>N11-N15</f>
        <v>4877</v>
      </c>
      <c r="O16" s="5">
        <f t="shared" ref="O16:R16" si="42">O11-O15</f>
        <v>4179.8720000000003</v>
      </c>
      <c r="P16" s="5">
        <f t="shared" si="42"/>
        <v>4509.6400000000012</v>
      </c>
      <c r="Q16" s="5">
        <f t="shared" si="42"/>
        <v>4507.7119999999995</v>
      </c>
      <c r="R16" s="5">
        <f t="shared" si="42"/>
        <v>5189.1600000000017</v>
      </c>
      <c r="S16" s="5"/>
      <c r="U16" s="5">
        <f t="shared" ref="U16" si="43">U11-U15</f>
        <v>15711</v>
      </c>
      <c r="V16" s="5">
        <f t="shared" ref="V16" si="44">V11-V15</f>
        <v>15788</v>
      </c>
      <c r="W16" s="5">
        <f>W11-W15</f>
        <v>17161</v>
      </c>
      <c r="X16" s="5">
        <f>X11-X15</f>
        <v>16980</v>
      </c>
      <c r="Y16" s="5">
        <f t="shared" ref="Y16" si="45">Y11-Y15</f>
        <v>18386.383999999998</v>
      </c>
      <c r="Z16" s="5">
        <f t="shared" ref="Z16" si="46">Z11-Z15</f>
        <v>19189.175519999993</v>
      </c>
      <c r="AA16" s="5">
        <f t="shared" ref="AA16" si="47">AA11-AA15</f>
        <v>20019.367785599996</v>
      </c>
      <c r="AB16" s="5">
        <f t="shared" ref="AB16" si="48">AB11-AB15</f>
        <v>20877.832089167994</v>
      </c>
      <c r="AC16" s="5">
        <f t="shared" ref="AC16" si="49">AC11-AC15</f>
        <v>21765.46667654303</v>
      </c>
      <c r="AD16" s="5">
        <f t="shared" ref="AD16" si="50">AD11-AD15</f>
        <v>22683.19757022633</v>
      </c>
      <c r="AE16" s="5">
        <f t="shared" ref="AE16" si="51">AE11-AE15</f>
        <v>23631.979417542785</v>
      </c>
      <c r="AF16" s="5">
        <f t="shared" ref="AF16" si="52">AF11-AF15</f>
        <v>24612.796364527414</v>
      </c>
    </row>
    <row r="17" spans="2:121" s="3" customFormat="1" x14ac:dyDescent="0.2">
      <c r="B17" s="3" t="s">
        <v>24</v>
      </c>
      <c r="C17" s="5"/>
      <c r="D17" s="5"/>
      <c r="E17" s="5"/>
      <c r="F17" s="5"/>
      <c r="G17" s="5">
        <v>-614</v>
      </c>
      <c r="H17" s="5">
        <v>-600</v>
      </c>
      <c r="I17" s="5">
        <v>-585</v>
      </c>
      <c r="J17" s="5">
        <v>-697</v>
      </c>
      <c r="K17" s="5">
        <v>-705</v>
      </c>
      <c r="L17" s="5">
        <v>-679</v>
      </c>
      <c r="M17" s="5">
        <v>-667</v>
      </c>
      <c r="N17" s="5">
        <v>-704</v>
      </c>
      <c r="O17" s="5">
        <f>N17</f>
        <v>-704</v>
      </c>
      <c r="P17" s="5">
        <f t="shared" ref="P17:R17" si="53">O17</f>
        <v>-704</v>
      </c>
      <c r="Q17" s="5">
        <f t="shared" si="53"/>
        <v>-704</v>
      </c>
      <c r="R17" s="5">
        <f t="shared" si="53"/>
        <v>-704</v>
      </c>
      <c r="S17" s="5"/>
      <c r="U17" s="5">
        <v>-2082</v>
      </c>
      <c r="V17" s="5">
        <v>-1995</v>
      </c>
      <c r="W17" s="5">
        <v>-2496</v>
      </c>
      <c r="X17" s="5">
        <v>-2755</v>
      </c>
      <c r="Y17" s="3">
        <f t="shared" ref="Y17:Y19" si="54">SUM(O17:R17)</f>
        <v>-2816</v>
      </c>
      <c r="Z17" s="3">
        <f>Y30*$AI$31</f>
        <v>-407.22173599999996</v>
      </c>
      <c r="AA17" s="3">
        <f>Z30*$AI$31</f>
        <v>-247.575128836</v>
      </c>
      <c r="AB17" s="3">
        <f>AA30*$AI$31</f>
        <v>-79.514891253506036</v>
      </c>
      <c r="AC17" s="3">
        <f>AB30*$AI$31</f>
        <v>97.270804928767106</v>
      </c>
      <c r="AD17" s="3">
        <f>AC30*$AI$31</f>
        <v>283.10407352127737</v>
      </c>
      <c r="AE17" s="3">
        <f>AD30*$AI$31</f>
        <v>478.31763749313205</v>
      </c>
      <c r="AF17" s="3">
        <f>AE30*$AI$31</f>
        <v>683.2551624609373</v>
      </c>
    </row>
    <row r="18" spans="2:121" x14ac:dyDescent="0.2">
      <c r="B18" s="1" t="s">
        <v>25</v>
      </c>
      <c r="G18" s="5">
        <f t="shared" ref="G18" si="55">+G16+G17</f>
        <v>3135</v>
      </c>
      <c r="H18" s="5">
        <f t="shared" ref="H18:J18" si="56">+H16+H17</f>
        <v>3500</v>
      </c>
      <c r="I18" s="5">
        <f t="shared" si="56"/>
        <v>3719</v>
      </c>
      <c r="J18" s="5">
        <f t="shared" si="56"/>
        <v>4310</v>
      </c>
      <c r="K18" s="5">
        <f t="shared" ref="K18" si="57">+K16+K17</f>
        <v>3084</v>
      </c>
      <c r="L18" s="5">
        <f t="shared" ref="L18" si="58">+L16+L17</f>
        <v>3495</v>
      </c>
      <c r="M18" s="5">
        <f t="shared" ref="M18" si="59">+M16+M17</f>
        <v>3473</v>
      </c>
      <c r="N18" s="5">
        <f>+N16+N17</f>
        <v>4173</v>
      </c>
      <c r="O18" s="5">
        <f t="shared" ref="O18:R18" si="60">+O16+O17</f>
        <v>3475.8720000000003</v>
      </c>
      <c r="P18" s="5">
        <f t="shared" si="60"/>
        <v>3805.6400000000012</v>
      </c>
      <c r="Q18" s="5">
        <f t="shared" si="60"/>
        <v>3803.7119999999995</v>
      </c>
      <c r="R18" s="5">
        <f t="shared" si="60"/>
        <v>4485.1600000000017</v>
      </c>
      <c r="S18" s="5"/>
      <c r="T18" s="5"/>
      <c r="U18" s="5">
        <f t="shared" ref="U18:V18" si="61">+U16+U17</f>
        <v>13629</v>
      </c>
      <c r="V18" s="5">
        <f t="shared" ref="V18:W18" si="62">+V16+V17</f>
        <v>13793</v>
      </c>
      <c r="W18" s="5">
        <f t="shared" si="62"/>
        <v>14665</v>
      </c>
      <c r="X18" s="5">
        <f>+X16+X17</f>
        <v>14225</v>
      </c>
      <c r="Y18" s="5">
        <f t="shared" ref="Y18" si="63">+Y16+Y17</f>
        <v>15570.383999999998</v>
      </c>
      <c r="Z18" s="5">
        <f t="shared" ref="Z18" si="64">+Z16+Z17</f>
        <v>18781.953783999994</v>
      </c>
      <c r="AA18" s="5">
        <f t="shared" ref="AA18" si="65">+AA16+AA17</f>
        <v>19771.792656763995</v>
      </c>
      <c r="AB18" s="5">
        <f t="shared" ref="AB18" si="66">+AB16+AB17</f>
        <v>20798.317197914486</v>
      </c>
      <c r="AC18" s="5">
        <f t="shared" ref="AC18" si="67">+AC16+AC17</f>
        <v>21862.737481471799</v>
      </c>
      <c r="AD18" s="5">
        <f t="shared" ref="AD18" si="68">+AD16+AD17</f>
        <v>22966.301643747607</v>
      </c>
      <c r="AE18" s="5">
        <f t="shared" ref="AE18" si="69">+AE16+AE17</f>
        <v>24110.297055035917</v>
      </c>
      <c r="AF18" s="5">
        <f t="shared" ref="AF18" si="70">+AF16+AF17</f>
        <v>25296.051526988351</v>
      </c>
    </row>
    <row r="19" spans="2:121" x14ac:dyDescent="0.2">
      <c r="B19" s="1" t="s">
        <v>26</v>
      </c>
      <c r="G19" s="4">
        <v>344</v>
      </c>
      <c r="H19" s="4">
        <v>530</v>
      </c>
      <c r="I19" s="4">
        <v>0</v>
      </c>
      <c r="J19" s="5">
        <v>124</v>
      </c>
      <c r="K19" s="5">
        <v>224</v>
      </c>
      <c r="L19" s="5">
        <v>0</v>
      </c>
      <c r="M19" s="5">
        <v>521</v>
      </c>
      <c r="N19" s="5">
        <v>435</v>
      </c>
      <c r="O19" s="5">
        <f>O18*0.15</f>
        <v>521.38080000000002</v>
      </c>
      <c r="P19" s="5">
        <f t="shared" ref="P19:R19" si="71">P18*0.15</f>
        <v>570.84600000000012</v>
      </c>
      <c r="Q19" s="5">
        <f t="shared" si="71"/>
        <v>570.55679999999995</v>
      </c>
      <c r="R19" s="5">
        <f t="shared" si="71"/>
        <v>672.77400000000023</v>
      </c>
      <c r="U19" s="5">
        <v>1185</v>
      </c>
      <c r="V19" s="5">
        <v>1928</v>
      </c>
      <c r="W19" s="5">
        <v>0</v>
      </c>
      <c r="X19" s="5">
        <v>932</v>
      </c>
      <c r="Y19" s="3">
        <f t="shared" si="54"/>
        <v>2335.5576000000005</v>
      </c>
      <c r="Z19" s="3">
        <f>Z18*0.15</f>
        <v>2817.2930675999992</v>
      </c>
      <c r="AA19" s="3">
        <f>AA18*0.15</f>
        <v>2965.7688985145992</v>
      </c>
      <c r="AB19" s="3">
        <f>AB18*0.15</f>
        <v>3119.7475796871727</v>
      </c>
      <c r="AC19" s="3">
        <f t="shared" ref="AC19:AF19" si="72">AC18*0.15</f>
        <v>3279.4106222207697</v>
      </c>
      <c r="AD19" s="3">
        <f>AD18*0.15</f>
        <v>3444.9452465621412</v>
      </c>
      <c r="AE19" s="3">
        <f t="shared" si="72"/>
        <v>3616.5445582553875</v>
      </c>
      <c r="AF19" s="3">
        <f t="shared" si="72"/>
        <v>3794.4077290482523</v>
      </c>
    </row>
    <row r="20" spans="2:121" x14ac:dyDescent="0.2">
      <c r="B20" s="1" t="s">
        <v>27</v>
      </c>
      <c r="G20" s="5">
        <f t="shared" ref="G20" si="73">G18-G19</f>
        <v>2791</v>
      </c>
      <c r="H20" s="5">
        <f>H18-H19</f>
        <v>2970</v>
      </c>
      <c r="I20" s="5">
        <f>I18-I19</f>
        <v>3719</v>
      </c>
      <c r="J20" s="5">
        <f>J18-J19</f>
        <v>4186</v>
      </c>
      <c r="K20" s="5">
        <f t="shared" ref="K20:M20" si="74">K18-K19</f>
        <v>2860</v>
      </c>
      <c r="L20" s="5">
        <f t="shared" si="74"/>
        <v>3495</v>
      </c>
      <c r="M20" s="5">
        <f t="shared" si="74"/>
        <v>2952</v>
      </c>
      <c r="N20" s="5">
        <f>N18-N19</f>
        <v>3738</v>
      </c>
      <c r="O20" s="5">
        <f t="shared" ref="O20:R20" si="75">O18-O19</f>
        <v>2954.4912000000004</v>
      </c>
      <c r="P20" s="5">
        <f t="shared" si="75"/>
        <v>3234.7940000000012</v>
      </c>
      <c r="Q20" s="5">
        <f t="shared" si="75"/>
        <v>3233.1551999999997</v>
      </c>
      <c r="R20" s="5">
        <f t="shared" si="75"/>
        <v>3812.3860000000013</v>
      </c>
      <c r="U20" s="5">
        <f t="shared" ref="U20" si="76">U18-U19</f>
        <v>12444</v>
      </c>
      <c r="V20" s="5">
        <f t="shared" ref="V20" si="77">V18-V19</f>
        <v>11865</v>
      </c>
      <c r="W20" s="5">
        <f>W18-W19</f>
        <v>14665</v>
      </c>
      <c r="X20" s="5">
        <f>X18-X19</f>
        <v>13293</v>
      </c>
      <c r="Y20" s="5">
        <f t="shared" ref="Y20" si="78">Y18-Y19</f>
        <v>13234.826399999998</v>
      </c>
      <c r="Z20" s="5">
        <f t="shared" ref="Z20" si="79">Z18-Z19</f>
        <v>15964.660716399994</v>
      </c>
      <c r="AA20" s="5">
        <f t="shared" ref="AA20" si="80">AA18-AA19</f>
        <v>16806.023758249397</v>
      </c>
      <c r="AB20" s="5">
        <f t="shared" ref="AB20" si="81">AB18-AB19</f>
        <v>17678.569618227313</v>
      </c>
      <c r="AC20" s="5">
        <f t="shared" ref="AC20" si="82">AC18-AC19</f>
        <v>18583.326859251029</v>
      </c>
      <c r="AD20" s="5">
        <f t="shared" ref="AD20" si="83">AD18-AD19</f>
        <v>19521.356397185467</v>
      </c>
      <c r="AE20" s="5">
        <f t="shared" ref="AE20" si="84">AE18-AE19</f>
        <v>20493.752496780529</v>
      </c>
      <c r="AF20" s="5">
        <f t="shared" ref="AF20" si="85">AF18-AF19</f>
        <v>21501.643797940098</v>
      </c>
      <c r="AG20" s="3">
        <f>AF20*(1+$AI$30)</f>
        <v>21716.660235919499</v>
      </c>
      <c r="AH20" s="3">
        <f>AG20*(1+$AI$30)</f>
        <v>21933.826838278696</v>
      </c>
      <c r="AI20" s="3">
        <f>AH20*(1+$AI$30)</f>
        <v>22153.165106661483</v>
      </c>
      <c r="AJ20" s="3">
        <f>AI20*(1+$AI$30)</f>
        <v>22374.696757728099</v>
      </c>
      <c r="AK20" s="3">
        <f>AJ20*(1+$AI$30)</f>
        <v>22598.44372530538</v>
      </c>
      <c r="AL20" s="3">
        <f>AK20*(1+$AI$30)</f>
        <v>22824.428162558434</v>
      </c>
      <c r="AM20" s="3">
        <f>AL20*(1+$AI$30)</f>
        <v>23052.67244418402</v>
      </c>
      <c r="AN20" s="3">
        <f>AM20*(1+$AI$30)</f>
        <v>23283.199168625859</v>
      </c>
      <c r="AO20" s="3">
        <f>AN20*(1+$AI$30)</f>
        <v>23516.031160312119</v>
      </c>
      <c r="AP20" s="3">
        <f>AO20*(1+$AI$30)</f>
        <v>23751.191471915241</v>
      </c>
      <c r="AQ20" s="3">
        <f>AP20*(1+$AI$30)</f>
        <v>23988.703386634392</v>
      </c>
      <c r="AR20" s="3">
        <f>AQ20*(1+$AI$30)</f>
        <v>24228.590420500735</v>
      </c>
      <c r="AS20" s="3">
        <f>AR20*(1+$AI$30)</f>
        <v>24470.876324705743</v>
      </c>
      <c r="AT20" s="3">
        <f>AS20*(1+$AI$30)</f>
        <v>24715.585087952801</v>
      </c>
      <c r="AU20" s="3">
        <f>AT20*(1+$AI$30)</f>
        <v>24962.740938832329</v>
      </c>
      <c r="AV20" s="3">
        <f>AU20*(1+$AI$30)</f>
        <v>25212.368348220651</v>
      </c>
      <c r="AW20" s="3">
        <f>AV20*(1+$AI$30)</f>
        <v>25464.492031702859</v>
      </c>
      <c r="AX20" s="3">
        <f>AW20*(1+$AI$30)</f>
        <v>25719.13695201989</v>
      </c>
      <c r="AY20" s="3">
        <f>AX20*(1+$AI$30)</f>
        <v>25976.328321540088</v>
      </c>
      <c r="AZ20" s="3">
        <f>AY20*(1+$AI$30)</f>
        <v>26236.091604755489</v>
      </c>
      <c r="BA20" s="3">
        <f>AZ20*(1+$AI$30)</f>
        <v>26498.452520803043</v>
      </c>
      <c r="BB20" s="3">
        <f>BA20*(1+$AI$30)</f>
        <v>26763.437046011073</v>
      </c>
      <c r="BC20" s="3">
        <f>BB20*(1+$AI$30)</f>
        <v>27031.071416471183</v>
      </c>
      <c r="BD20" s="3">
        <f>BC20*(1+$AI$30)</f>
        <v>27301.382130635895</v>
      </c>
      <c r="BE20" s="3">
        <f>BD20*(1+$AI$30)</f>
        <v>27574.395951942253</v>
      </c>
      <c r="BF20" s="3">
        <f>BE20*(1+$AI$30)</f>
        <v>27850.139911461676</v>
      </c>
      <c r="BG20" s="3">
        <f>BF20*(1+$AI$30)</f>
        <v>28128.641310576291</v>
      </c>
      <c r="BH20" s="3">
        <f>BG20*(1+$AI$30)</f>
        <v>28409.927723682056</v>
      </c>
      <c r="BI20" s="3">
        <f>BH20*(1+$AI$30)</f>
        <v>28694.027000918875</v>
      </c>
      <c r="BJ20" s="3">
        <f>BI20*(1+$AI$30)</f>
        <v>28980.967270928064</v>
      </c>
      <c r="BK20" s="3">
        <f>BJ20*(1+$AI$30)</f>
        <v>29270.776943637346</v>
      </c>
      <c r="BL20" s="3">
        <f>BK20*(1+$AI$30)</f>
        <v>29563.484713073718</v>
      </c>
      <c r="BM20" s="3">
        <f>BL20*(1+$AI$30)</f>
        <v>29859.119560204457</v>
      </c>
      <c r="BN20" s="3">
        <f>BM20*(1+$AI$30)</f>
        <v>30157.710755806504</v>
      </c>
      <c r="BO20" s="3">
        <f>BN20*(1+$AI$30)</f>
        <v>30459.287863364571</v>
      </c>
      <c r="BP20" s="3">
        <f>BO20*(1+$AI$30)</f>
        <v>30763.880741998215</v>
      </c>
      <c r="BQ20" s="3">
        <f>BP20*(1+$AI$30)</f>
        <v>31071.519549418197</v>
      </c>
      <c r="BR20" s="3">
        <f>BQ20*(1+$AI$30)</f>
        <v>31382.234744912381</v>
      </c>
      <c r="BS20" s="3">
        <f>BR20*(1+$AI$30)</f>
        <v>31696.057092361505</v>
      </c>
      <c r="BT20" s="3">
        <f>BS20*(1+$AI$30)</f>
        <v>32013.017663285122</v>
      </c>
      <c r="BU20" s="3">
        <f>BT20*(1+$AI$30)</f>
        <v>32333.147839917972</v>
      </c>
      <c r="BV20" s="3">
        <f>BU20*(1+$AI$30)</f>
        <v>32656.479318317153</v>
      </c>
      <c r="BW20" s="3">
        <f>BV20*(1+$AI$30)</f>
        <v>32983.044111500327</v>
      </c>
      <c r="BX20" s="3">
        <f>BW20*(1+$AI$30)</f>
        <v>33312.874552615329</v>
      </c>
      <c r="BY20" s="3">
        <f>BX20*(1+$AI$30)</f>
        <v>33646.003298141484</v>
      </c>
      <c r="BZ20" s="3">
        <f>BY20*(1+$AI$30)</f>
        <v>33982.463331122897</v>
      </c>
      <c r="CA20" s="3">
        <f>BZ20*(1+$AI$30)</f>
        <v>34322.28796443413</v>
      </c>
      <c r="CB20" s="3">
        <f>CA20*(1+$AI$30)</f>
        <v>34665.510844078475</v>
      </c>
      <c r="CC20" s="3">
        <f>CB20*(1+$AI$30)</f>
        <v>35012.165952519259</v>
      </c>
      <c r="CD20" s="3">
        <f>CC20*(1+$AI$30)</f>
        <v>35362.287612044449</v>
      </c>
      <c r="CE20" s="3">
        <f>CD20*(1+$AI$30)</f>
        <v>35715.910488164896</v>
      </c>
      <c r="CF20" s="3">
        <f>CE20*(1+$AI$30)</f>
        <v>36073.069593046544</v>
      </c>
      <c r="CG20" s="3">
        <f>CF20*(1+$AI$30)</f>
        <v>36433.800288977007</v>
      </c>
      <c r="CH20" s="3">
        <f>CG20*(1+$AI$30)</f>
        <v>36798.13829186678</v>
      </c>
      <c r="CI20" s="3">
        <f>CH20*(1+$AI$30)</f>
        <v>37166.119674785448</v>
      </c>
      <c r="CJ20" s="3">
        <f>CI20*(1+$AI$30)</f>
        <v>37537.780871533301</v>
      </c>
      <c r="CK20" s="3">
        <f>CJ20*(1+$AI$30)</f>
        <v>37913.158680248634</v>
      </c>
      <c r="CL20" s="3">
        <f>CK20*(1+$AI$30)</f>
        <v>38292.290267051118</v>
      </c>
      <c r="CM20" s="3">
        <f>CL20*(1+$AI$30)</f>
        <v>38675.213169721632</v>
      </c>
      <c r="CN20" s="3">
        <f>CM20*(1+$AI$30)</f>
        <v>39061.965301418852</v>
      </c>
      <c r="CO20" s="3">
        <f>CN20*(1+$AI$30)</f>
        <v>39452.584954433041</v>
      </c>
      <c r="CP20" s="3">
        <f>CO20*(1+$AI$30)</f>
        <v>39847.110803977375</v>
      </c>
      <c r="CQ20" s="3">
        <f>CP20*(1+$AI$30)</f>
        <v>40245.581912017151</v>
      </c>
      <c r="CR20" s="3">
        <f>CQ20*(1+$AI$30)</f>
        <v>40648.037731137323</v>
      </c>
      <c r="CS20" s="3">
        <f>CR20*(1+$AI$30)</f>
        <v>41054.518108448698</v>
      </c>
      <c r="CT20" s="3">
        <f>CS20*(1+$AI$30)</f>
        <v>41465.063289533187</v>
      </c>
      <c r="CU20" s="3">
        <f>CT20*(1+$AI$30)</f>
        <v>41879.71392242852</v>
      </c>
      <c r="CV20" s="3">
        <f>CU20*(1+$AI$30)</f>
        <v>42298.511061652804</v>
      </c>
      <c r="CW20" s="3">
        <f>CV20*(1+$AI$30)</f>
        <v>42721.496172269333</v>
      </c>
      <c r="CX20" s="3">
        <f>CW20*(1+$AI$30)</f>
        <v>43148.71113399203</v>
      </c>
      <c r="CY20" s="3">
        <f>CX20*(1+$AI$30)</f>
        <v>43580.198245331951</v>
      </c>
      <c r="CZ20" s="3">
        <f>CY20*(1+$AI$30)</f>
        <v>44016.000227785269</v>
      </c>
      <c r="DA20" s="3">
        <f>CZ20*(1+$AI$30)</f>
        <v>44456.16023006312</v>
      </c>
      <c r="DB20" s="3">
        <f>DA20*(1+$AI$30)</f>
        <v>44900.72183236375</v>
      </c>
      <c r="DC20" s="3">
        <f>DB20*(1+$AI$30)</f>
        <v>45349.729050687391</v>
      </c>
      <c r="DD20" s="3">
        <f>DC20*(1+$AI$30)</f>
        <v>45803.226341194262</v>
      </c>
      <c r="DE20" s="3">
        <f>DD20*(1+$AI$30)</f>
        <v>46261.258604606206</v>
      </c>
      <c r="DF20" s="3">
        <f>DE20*(1+$AI$30)</f>
        <v>46723.871190652266</v>
      </c>
      <c r="DG20" s="3">
        <f>DF20*(1+$AI$30)</f>
        <v>47191.10990255879</v>
      </c>
      <c r="DH20" s="3">
        <f>DG20*(1+$AI$30)</f>
        <v>47663.021001584377</v>
      </c>
      <c r="DI20" s="3">
        <f>DH20*(1+$AI$30)</f>
        <v>48139.65121160022</v>
      </c>
      <c r="DJ20" s="3">
        <f>DI20*(1+$AI$30)</f>
        <v>48621.047723716219</v>
      </c>
      <c r="DK20" s="3">
        <f>DJ20*(1+$AI$30)</f>
        <v>49107.25820095338</v>
      </c>
      <c r="DL20" s="3">
        <f>DK20*(1+$AI$30)</f>
        <v>49598.330782962912</v>
      </c>
      <c r="DM20" s="3">
        <f>DL20*(1+$AI$30)</f>
        <v>50094.314090792541</v>
      </c>
      <c r="DN20" s="3">
        <f>DM20*(1+$AI$30)</f>
        <v>50595.257231700467</v>
      </c>
      <c r="DO20" s="3">
        <f>DN20*(1+$AI$30)</f>
        <v>51101.209804017475</v>
      </c>
      <c r="DP20" s="3">
        <f>DO20*(1+$AI$30)</f>
        <v>51612.221902057652</v>
      </c>
      <c r="DQ20" s="3">
        <f>DP20*(1+$AI$30)</f>
        <v>52128.344121078226</v>
      </c>
    </row>
    <row r="21" spans="2:121" x14ac:dyDescent="0.2">
      <c r="B21" s="1" t="s">
        <v>28</v>
      </c>
      <c r="G21" s="6">
        <f t="shared" ref="G21" si="86">G20/G22</f>
        <v>0.89829417444480208</v>
      </c>
      <c r="H21" s="6">
        <f>H20/H22</f>
        <v>0.97504924491135914</v>
      </c>
      <c r="I21" s="6">
        <f>I20/I22</f>
        <v>1.2421509686038743</v>
      </c>
      <c r="J21" s="6">
        <f>J20/J22</f>
        <v>1.4223581379544683</v>
      </c>
      <c r="K21" s="6">
        <f t="shared" ref="K21:R21" si="87">K20/K22</f>
        <v>0.99965047186298495</v>
      </c>
      <c r="L21" s="6">
        <f t="shared" si="87"/>
        <v>1.2973273942093542</v>
      </c>
      <c r="M21" s="6">
        <f t="shared" si="87"/>
        <v>1.0718954248366013</v>
      </c>
      <c r="N21" s="6">
        <f t="shared" si="87"/>
        <v>1.363238512035011</v>
      </c>
      <c r="O21" s="6">
        <f t="shared" si="87"/>
        <v>1.0774949671772431</v>
      </c>
      <c r="P21" s="6">
        <f t="shared" si="87"/>
        <v>1.1797206418672506</v>
      </c>
      <c r="Q21" s="6">
        <f t="shared" si="87"/>
        <v>1.1791229759299779</v>
      </c>
      <c r="R21" s="6">
        <f t="shared" si="87"/>
        <v>1.3903668854850479</v>
      </c>
      <c r="U21" s="6">
        <f t="shared" ref="U21" si="88">U20/U22</f>
        <v>3.334405144694534</v>
      </c>
      <c r="V21" s="6">
        <f t="shared" ref="V21" si="89">V20/V22</f>
        <v>3.6020036429872495</v>
      </c>
      <c r="W21" s="6">
        <f>W20/W22</f>
        <v>4.852746525479815</v>
      </c>
      <c r="X21" s="6">
        <f t="shared" ref="X21:Y21" si="90">X20/X22</f>
        <v>4.7713567839195976</v>
      </c>
      <c r="Y21" s="6">
        <f t="shared" si="90"/>
        <v>4.826705470459518</v>
      </c>
      <c r="Z21" s="6">
        <f t="shared" ref="Z21:AF21" si="91">Z20/Z22</f>
        <v>5.8222686784828568</v>
      </c>
      <c r="AA21" s="6">
        <f t="shared" si="91"/>
        <v>6.1291115092083874</v>
      </c>
      <c r="AB21" s="6">
        <f t="shared" si="91"/>
        <v>6.4473266295504423</v>
      </c>
      <c r="AC21" s="6">
        <f t="shared" si="91"/>
        <v>6.7772891536291135</v>
      </c>
      <c r="AD21" s="6">
        <f t="shared" si="91"/>
        <v>7.11938599459718</v>
      </c>
      <c r="AE21" s="6">
        <f t="shared" si="91"/>
        <v>7.4740162278557731</v>
      </c>
      <c r="AF21" s="6">
        <f t="shared" si="91"/>
        <v>7.8415914653319101</v>
      </c>
    </row>
    <row r="22" spans="2:121" s="3" customFormat="1" x14ac:dyDescent="0.2">
      <c r="B22" s="3" t="s">
        <v>1</v>
      </c>
      <c r="C22" s="5"/>
      <c r="D22" s="5"/>
      <c r="E22" s="5"/>
      <c r="F22" s="5"/>
      <c r="G22" s="5">
        <v>3107</v>
      </c>
      <c r="H22" s="5">
        <v>3046</v>
      </c>
      <c r="I22" s="5">
        <v>2994</v>
      </c>
      <c r="J22" s="5">
        <v>2943</v>
      </c>
      <c r="K22" s="5">
        <v>2861</v>
      </c>
      <c r="L22" s="5">
        <v>2694</v>
      </c>
      <c r="M22" s="5">
        <v>2754</v>
      </c>
      <c r="N22" s="5">
        <v>2742</v>
      </c>
      <c r="O22" s="5">
        <f>N22</f>
        <v>2742</v>
      </c>
      <c r="P22" s="5">
        <f t="shared" ref="P22:R22" si="92">O22</f>
        <v>2742</v>
      </c>
      <c r="Q22" s="5">
        <f t="shared" si="92"/>
        <v>2742</v>
      </c>
      <c r="R22" s="5">
        <f t="shared" si="92"/>
        <v>2742</v>
      </c>
      <c r="S22" s="5"/>
      <c r="U22" s="5">
        <v>3732</v>
      </c>
      <c r="V22" s="5">
        <v>3294</v>
      </c>
      <c r="W22" s="5">
        <v>3022</v>
      </c>
      <c r="X22" s="5">
        <v>2786</v>
      </c>
      <c r="Y22" s="3">
        <f>AVERAGE(O22:R22)</f>
        <v>2742</v>
      </c>
      <c r="Z22" s="3">
        <f>Y22</f>
        <v>2742</v>
      </c>
      <c r="AA22" s="3">
        <f t="shared" ref="AA22:AF22" si="93">Z22</f>
        <v>2742</v>
      </c>
      <c r="AB22" s="3">
        <f t="shared" si="93"/>
        <v>2742</v>
      </c>
      <c r="AC22" s="3">
        <f t="shared" si="93"/>
        <v>2742</v>
      </c>
      <c r="AD22" s="3">
        <f t="shared" si="93"/>
        <v>2742</v>
      </c>
      <c r="AE22" s="3">
        <f t="shared" si="93"/>
        <v>2742</v>
      </c>
      <c r="AF22" s="3">
        <f t="shared" si="93"/>
        <v>2742</v>
      </c>
    </row>
    <row r="23" spans="2:121" x14ac:dyDescent="0.2">
      <c r="B23" s="1" t="s">
        <v>29</v>
      </c>
      <c r="N23" s="4">
        <v>1.54</v>
      </c>
      <c r="X23" s="4">
        <v>1.54</v>
      </c>
    </row>
    <row r="25" spans="2:121" x14ac:dyDescent="0.2">
      <c r="B25" s="1" t="s">
        <v>32</v>
      </c>
      <c r="K25" s="7">
        <f>K9/G9-1</f>
        <v>3.8539553752535483E-2</v>
      </c>
      <c r="L25" s="7">
        <f>L9/H9-1</f>
        <v>5.7142857142857162E-2</v>
      </c>
      <c r="M25" s="7">
        <f>M9/I9-1</f>
        <v>4.2439266236985684E-2</v>
      </c>
      <c r="N25" s="7">
        <f>N9/J9-1</f>
        <v>5.4600516611739591E-2</v>
      </c>
      <c r="O25" s="7">
        <f t="shared" ref="O25:R25" si="94">O9/K9-1</f>
        <v>3.0000000000000027E-2</v>
      </c>
      <c r="P25" s="7">
        <f t="shared" si="94"/>
        <v>3.0000000000000027E-2</v>
      </c>
      <c r="Q25" s="7">
        <f t="shared" si="94"/>
        <v>3.0000000000000027E-2</v>
      </c>
      <c r="R25" s="7">
        <f t="shared" si="94"/>
        <v>3.0000000000000027E-2</v>
      </c>
      <c r="S25" s="7"/>
      <c r="U25" s="13"/>
      <c r="V25" s="13">
        <f t="shared" ref="U25:X25" si="95">V9/U9-1</f>
        <v>-1.108692350529028E-2</v>
      </c>
      <c r="W25" s="13">
        <f t="shared" si="95"/>
        <v>3.6116514794716892E-2</v>
      </c>
      <c r="X25" s="13">
        <f>X9/W9-1</f>
        <v>4.8444872650015958E-2</v>
      </c>
      <c r="Y25" s="13">
        <f t="shared" ref="Y25:AF25" si="96">Y9/X9-1</f>
        <v>3.0024269557021643E-2</v>
      </c>
      <c r="Z25" s="13">
        <f t="shared" si="96"/>
        <v>3.0000000000000027E-2</v>
      </c>
      <c r="AA25" s="13">
        <f t="shared" si="96"/>
        <v>3.0000000000000027E-2</v>
      </c>
      <c r="AB25" s="13">
        <f t="shared" si="96"/>
        <v>3.0000000000000027E-2</v>
      </c>
      <c r="AC25" s="13">
        <f t="shared" si="96"/>
        <v>3.0000000000000027E-2</v>
      </c>
      <c r="AD25" s="13">
        <f t="shared" si="96"/>
        <v>3.0000000000000027E-2</v>
      </c>
      <c r="AE25" s="13">
        <f t="shared" si="96"/>
        <v>3.0000000000000027E-2</v>
      </c>
      <c r="AF25" s="13">
        <f t="shared" si="96"/>
        <v>3.0000000000000027E-2</v>
      </c>
    </row>
    <row r="26" spans="2:121" x14ac:dyDescent="0.2">
      <c r="B26" s="1" t="s">
        <v>18</v>
      </c>
      <c r="G26" s="7">
        <f t="shared" ref="G26:M26" si="97">G11/G9</f>
        <v>0.79929539874025834</v>
      </c>
      <c r="H26" s="7">
        <f t="shared" si="97"/>
        <v>0.80214285714285716</v>
      </c>
      <c r="I26" s="7">
        <f t="shared" si="97"/>
        <v>0.8101140307387209</v>
      </c>
      <c r="J26" s="7">
        <f t="shared" si="97"/>
        <v>0.81099136011401085</v>
      </c>
      <c r="K26" s="7">
        <f t="shared" si="97"/>
        <v>0.78381990131578949</v>
      </c>
      <c r="L26" s="7">
        <f t="shared" si="97"/>
        <v>0.79160231660231661</v>
      </c>
      <c r="M26" s="7">
        <f t="shared" si="97"/>
        <v>0.78902311423951299</v>
      </c>
      <c r="N26" s="7">
        <f>N11/N9</f>
        <v>0.79763513513513518</v>
      </c>
      <c r="O26" s="7">
        <f t="shared" ref="O26:R26" si="98">O11/O9</f>
        <v>0.8</v>
      </c>
      <c r="P26" s="7">
        <f t="shared" si="98"/>
        <v>0.8</v>
      </c>
      <c r="Q26" s="7">
        <f t="shared" si="98"/>
        <v>0.8</v>
      </c>
      <c r="R26" s="7">
        <f t="shared" si="98"/>
        <v>0.8</v>
      </c>
      <c r="S26" s="7"/>
      <c r="T26" s="7"/>
      <c r="U26" s="7">
        <f t="shared" ref="T26:W26" si="99">U11/U9</f>
        <v>0.79762567711233734</v>
      </c>
      <c r="V26" s="7">
        <f t="shared" si="99"/>
        <v>0.79681580833418653</v>
      </c>
      <c r="W26" s="7">
        <f t="shared" si="99"/>
        <v>0.80594876355641198</v>
      </c>
      <c r="X26" s="7">
        <f>X11/X9</f>
        <v>0.79083411875589071</v>
      </c>
      <c r="Y26" s="7">
        <f t="shared" ref="Y26:AF26" si="100">Y11/Y9</f>
        <v>0.8</v>
      </c>
      <c r="Z26" s="7">
        <f t="shared" si="100"/>
        <v>0.8</v>
      </c>
      <c r="AA26" s="7">
        <f t="shared" si="100"/>
        <v>0.8</v>
      </c>
      <c r="AB26" s="7">
        <f t="shared" si="100"/>
        <v>0.79999999999999993</v>
      </c>
      <c r="AC26" s="7">
        <f t="shared" si="100"/>
        <v>0.79999999999999993</v>
      </c>
      <c r="AD26" s="7">
        <f t="shared" si="100"/>
        <v>0.8</v>
      </c>
      <c r="AE26" s="7">
        <f t="shared" si="100"/>
        <v>0.8</v>
      </c>
      <c r="AF26" s="7">
        <f t="shared" si="100"/>
        <v>0.8</v>
      </c>
    </row>
    <row r="27" spans="2:121" x14ac:dyDescent="0.2">
      <c r="B27" s="1" t="s">
        <v>90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>
        <f t="shared" ref="U27:X27" si="101">U16/U9</f>
        <v>0.39768642737811977</v>
      </c>
      <c r="V27" s="7">
        <f t="shared" si="101"/>
        <v>0.40411590048121226</v>
      </c>
      <c r="W27" s="7">
        <f t="shared" si="101"/>
        <v>0.42394822006472493</v>
      </c>
      <c r="X27" s="7">
        <f>X16/X9</f>
        <v>0.40009425070688032</v>
      </c>
      <c r="Y27" s="7">
        <f t="shared" ref="Y27:AF27" si="102">Y16/Y9</f>
        <v>0.42060409161959389</v>
      </c>
      <c r="Z27" s="7">
        <f t="shared" si="102"/>
        <v>0.42618313293281451</v>
      </c>
      <c r="AA27" s="7">
        <f t="shared" si="102"/>
        <v>0.43167120130334274</v>
      </c>
      <c r="AB27" s="7">
        <f t="shared" si="102"/>
        <v>0.43706989467223473</v>
      </c>
      <c r="AC27" s="7">
        <f t="shared" si="102"/>
        <v>0.44238078158871885</v>
      </c>
      <c r="AD27" s="7">
        <f t="shared" si="102"/>
        <v>0.44760540176502617</v>
      </c>
      <c r="AE27" s="7">
        <f t="shared" si="102"/>
        <v>0.45274526662060022</v>
      </c>
      <c r="AF27" s="7">
        <f t="shared" si="102"/>
        <v>0.45780185981589516</v>
      </c>
    </row>
    <row r="28" spans="2:121" x14ac:dyDescent="0.2">
      <c r="B28" s="1" t="s">
        <v>83</v>
      </c>
      <c r="G28" s="7"/>
      <c r="H28" s="7"/>
      <c r="I28" s="7"/>
      <c r="J28" s="7"/>
      <c r="K28" s="7">
        <f t="shared" ref="K28:O28" si="103">K19/K18</f>
        <v>7.2632944228274973E-2</v>
      </c>
      <c r="L28" s="7">
        <f t="shared" si="103"/>
        <v>0</v>
      </c>
      <c r="M28" s="7">
        <f t="shared" si="103"/>
        <v>0.15001439677512238</v>
      </c>
      <c r="N28" s="7">
        <f t="shared" si="103"/>
        <v>0.10424155283968368</v>
      </c>
      <c r="O28" s="7">
        <f>O19/O18</f>
        <v>0.15</v>
      </c>
      <c r="P28" s="7">
        <f t="shared" ref="P28:R28" si="104">P19/P18</f>
        <v>0.15</v>
      </c>
      <c r="Q28" s="7">
        <f t="shared" si="104"/>
        <v>0.15</v>
      </c>
      <c r="R28" s="7">
        <f t="shared" si="104"/>
        <v>0.15</v>
      </c>
      <c r="S28" s="7"/>
      <c r="T28" s="7"/>
      <c r="U28" s="7">
        <f t="shared" ref="U28:AF28" si="105">U19/U18</f>
        <v>8.6946951353731011E-2</v>
      </c>
      <c r="V28" s="7">
        <f t="shared" si="105"/>
        <v>0.13978104835786268</v>
      </c>
      <c r="W28" s="7">
        <f t="shared" si="105"/>
        <v>0</v>
      </c>
      <c r="X28" s="7">
        <f t="shared" si="105"/>
        <v>6.5518453427065027E-2</v>
      </c>
      <c r="Y28" s="7">
        <f t="shared" si="105"/>
        <v>0.15000000000000005</v>
      </c>
      <c r="Z28" s="7">
        <f t="shared" si="105"/>
        <v>0.15</v>
      </c>
      <c r="AA28" s="7">
        <f t="shared" si="105"/>
        <v>0.15</v>
      </c>
      <c r="AB28" s="7">
        <f t="shared" si="105"/>
        <v>0.15</v>
      </c>
      <c r="AC28" s="7">
        <f t="shared" si="105"/>
        <v>0.15</v>
      </c>
      <c r="AD28" s="7">
        <f t="shared" si="105"/>
        <v>0.15</v>
      </c>
      <c r="AE28" s="7">
        <f t="shared" si="105"/>
        <v>0.15</v>
      </c>
      <c r="AF28" s="7">
        <f t="shared" si="105"/>
        <v>0.15</v>
      </c>
    </row>
    <row r="30" spans="2:121" x14ac:dyDescent="0.2">
      <c r="B30" s="1" t="s">
        <v>70</v>
      </c>
      <c r="N30" s="5">
        <f>N31-N40</f>
        <v>-53957</v>
      </c>
      <c r="O30" s="5">
        <f>N30+O20</f>
        <v>-51002.508799999996</v>
      </c>
      <c r="P30" s="5">
        <f t="shared" ref="P30:R30" si="106">O30+P20</f>
        <v>-47767.714799999994</v>
      </c>
      <c r="Q30" s="5">
        <f t="shared" si="106"/>
        <v>-44534.559599999993</v>
      </c>
      <c r="R30" s="5">
        <f t="shared" si="106"/>
        <v>-40722.173599999995</v>
      </c>
      <c r="Y30" s="3">
        <f>R30</f>
        <v>-40722.173599999995</v>
      </c>
      <c r="Z30" s="3">
        <f>Y30+Z20</f>
        <v>-24757.5128836</v>
      </c>
      <c r="AA30" s="3">
        <f t="shared" ref="AA30:AF30" si="107">Z30+AA20</f>
        <v>-7951.489125350603</v>
      </c>
      <c r="AB30" s="3">
        <f t="shared" si="107"/>
        <v>9727.0804928767102</v>
      </c>
      <c r="AC30" s="3">
        <f t="shared" si="107"/>
        <v>28310.407352127739</v>
      </c>
      <c r="AD30" s="3">
        <f t="shared" si="107"/>
        <v>47831.763749313206</v>
      </c>
      <c r="AE30" s="3">
        <f t="shared" si="107"/>
        <v>68325.516246093728</v>
      </c>
      <c r="AF30" s="3">
        <f t="shared" si="107"/>
        <v>89827.160044033822</v>
      </c>
      <c r="AH30" s="1" t="s">
        <v>87</v>
      </c>
      <c r="AI30" s="14">
        <v>0.01</v>
      </c>
    </row>
    <row r="31" spans="2:121" s="3" customFormat="1" x14ac:dyDescent="0.2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f>21383+519</f>
        <v>21902</v>
      </c>
      <c r="O31" s="5"/>
      <c r="P31" s="5"/>
      <c r="Q31" s="5"/>
      <c r="R31" s="5"/>
      <c r="S31" s="5"/>
      <c r="U31" s="5"/>
      <c r="V31" s="5"/>
      <c r="W31" s="5"/>
      <c r="X31" s="5"/>
      <c r="AH31" s="1" t="s">
        <v>84</v>
      </c>
      <c r="AI31" s="14">
        <v>0.01</v>
      </c>
    </row>
    <row r="32" spans="2:121" s="3" customFormat="1" x14ac:dyDescent="0.2">
      <c r="B32" s="3" t="s">
        <v>57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5953</v>
      </c>
      <c r="O32" s="5"/>
      <c r="P32" s="5"/>
      <c r="Q32" s="5"/>
      <c r="R32" s="5"/>
      <c r="S32" s="5"/>
      <c r="U32" s="5"/>
      <c r="V32" s="5"/>
      <c r="W32" s="5"/>
      <c r="X32" s="5"/>
      <c r="AH32" s="1" t="s">
        <v>85</v>
      </c>
      <c r="AI32" s="14">
        <v>0.06</v>
      </c>
    </row>
    <row r="33" spans="2:35" s="3" customFormat="1" x14ac:dyDescent="0.2">
      <c r="B33" s="3" t="s">
        <v>58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3778</v>
      </c>
      <c r="O33" s="5"/>
      <c r="P33" s="5"/>
      <c r="Q33" s="5"/>
      <c r="R33" s="5"/>
      <c r="S33" s="5"/>
      <c r="U33" s="5"/>
      <c r="V33" s="5"/>
      <c r="W33" s="5"/>
      <c r="X33" s="5"/>
      <c r="AH33" s="1" t="s">
        <v>86</v>
      </c>
      <c r="AI33" s="3">
        <f>NPV(AI32,Z20:DQ20)+N30</f>
        <v>333897.31380777026</v>
      </c>
    </row>
    <row r="34" spans="2:35" s="3" customFormat="1" x14ac:dyDescent="0.2">
      <c r="B34" s="3" t="s">
        <v>59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9716</v>
      </c>
      <c r="O34" s="5"/>
      <c r="P34" s="5"/>
      <c r="Q34" s="5"/>
      <c r="R34" s="5"/>
      <c r="S34" s="5"/>
      <c r="U34" s="5"/>
      <c r="V34" s="5"/>
      <c r="W34" s="5"/>
      <c r="X34" s="5"/>
      <c r="AH34" s="1" t="s">
        <v>88</v>
      </c>
      <c r="AI34" s="15">
        <f>AI33/O22</f>
        <v>121.77144923696946</v>
      </c>
    </row>
    <row r="35" spans="2:35" s="3" customFormat="1" x14ac:dyDescent="0.2">
      <c r="B35" s="3" t="s">
        <v>60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f>1440+43811</f>
        <v>45251</v>
      </c>
      <c r="O35" s="5"/>
      <c r="P35" s="5"/>
      <c r="Q35" s="5"/>
      <c r="R35" s="5"/>
      <c r="S35" s="5"/>
      <c r="U35" s="5"/>
      <c r="V35" s="5"/>
      <c r="W35" s="5"/>
      <c r="X35" s="5"/>
      <c r="AH35" s="1" t="s">
        <v>89</v>
      </c>
      <c r="AI35" s="14">
        <f>AI34/Main!G2-1</f>
        <v>0.72236844748188767</v>
      </c>
    </row>
    <row r="36" spans="2:35" s="3" customFormat="1" x14ac:dyDescent="0.2">
      <c r="B36" s="3" t="s">
        <v>61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12782</v>
      </c>
      <c r="O36" s="5"/>
      <c r="P36" s="5"/>
      <c r="Q36" s="5"/>
      <c r="R36" s="5"/>
      <c r="S36" s="5"/>
      <c r="U36" s="5"/>
      <c r="V36" s="5"/>
      <c r="W36" s="5"/>
      <c r="X36" s="5"/>
    </row>
    <row r="37" spans="2:35" s="3" customFormat="1" x14ac:dyDescent="0.2">
      <c r="B37" s="3" t="s">
        <v>62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9915</v>
      </c>
      <c r="O37" s="5"/>
      <c r="P37" s="5"/>
      <c r="Q37" s="5"/>
      <c r="R37" s="5"/>
      <c r="S37" s="5"/>
      <c r="U37" s="5"/>
      <c r="V37" s="5"/>
      <c r="W37" s="5"/>
      <c r="X37" s="5"/>
    </row>
    <row r="38" spans="2:35" s="3" customFormat="1" x14ac:dyDescent="0.2">
      <c r="B38" s="3" t="s">
        <v>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f>SUM(N31:N37)</f>
        <v>109297</v>
      </c>
      <c r="O38" s="5"/>
      <c r="P38" s="5"/>
      <c r="Q38" s="5"/>
      <c r="R38" s="5"/>
      <c r="S38" s="5"/>
      <c r="U38" s="5"/>
      <c r="V38" s="5"/>
      <c r="W38" s="5"/>
      <c r="X38" s="5"/>
    </row>
    <row r="40" spans="2:35" s="3" customFormat="1" x14ac:dyDescent="0.2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3749+72110</f>
        <v>75859</v>
      </c>
      <c r="O40" s="5"/>
      <c r="P40" s="5"/>
      <c r="Q40" s="5"/>
      <c r="R40" s="5"/>
      <c r="S40" s="5"/>
      <c r="U40" s="5"/>
      <c r="V40" s="5"/>
      <c r="W40" s="5"/>
      <c r="X40" s="5"/>
    </row>
    <row r="41" spans="2:35" s="3" customFormat="1" x14ac:dyDescent="0.2">
      <c r="B41" s="3" t="s">
        <v>64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1317</v>
      </c>
      <c r="O41" s="5"/>
      <c r="P41" s="5"/>
      <c r="Q41" s="5"/>
      <c r="R41" s="5"/>
      <c r="S41" s="5"/>
      <c r="U41" s="5"/>
      <c r="V41" s="5"/>
      <c r="W41" s="5"/>
      <c r="X41" s="5"/>
    </row>
    <row r="42" spans="2:35" s="3" customFormat="1" x14ac:dyDescent="0.2">
      <c r="B42" s="3" t="s">
        <v>65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1944</v>
      </c>
      <c r="O42" s="5"/>
      <c r="P42" s="5"/>
      <c r="Q42" s="5"/>
      <c r="R42" s="5"/>
      <c r="S42" s="5"/>
      <c r="U42" s="5"/>
      <c r="V42" s="5"/>
      <c r="W42" s="5"/>
      <c r="X42" s="5"/>
    </row>
    <row r="43" spans="2:35" s="3" customFormat="1" x14ac:dyDescent="0.2">
      <c r="B43" s="3" t="s">
        <v>63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8357</v>
      </c>
      <c r="O43" s="5"/>
      <c r="P43" s="5"/>
      <c r="Q43" s="5"/>
      <c r="R43" s="5"/>
      <c r="S43" s="5"/>
      <c r="U43" s="5"/>
      <c r="V43" s="5"/>
      <c r="W43" s="5"/>
      <c r="X43" s="5"/>
    </row>
    <row r="44" spans="2:35" s="3" customFormat="1" x14ac:dyDescent="0.2">
      <c r="B44" s="3" t="s">
        <v>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4144</v>
      </c>
      <c r="O44" s="5"/>
      <c r="P44" s="5"/>
      <c r="Q44" s="5"/>
      <c r="R44" s="5"/>
      <c r="S44" s="5"/>
      <c r="U44" s="5"/>
      <c r="V44" s="5"/>
      <c r="W44" s="5"/>
      <c r="X44" s="5"/>
    </row>
    <row r="45" spans="2:35" s="3" customFormat="1" x14ac:dyDescent="0.2">
      <c r="B45" s="3" t="s">
        <v>61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12210+6031</f>
        <v>18241</v>
      </c>
      <c r="O45" s="5"/>
      <c r="P45" s="5"/>
      <c r="Q45" s="5"/>
      <c r="R45" s="5"/>
      <c r="S45" s="5"/>
      <c r="U45" s="5"/>
      <c r="V45" s="5"/>
      <c r="W45" s="5"/>
      <c r="X45" s="5"/>
    </row>
    <row r="46" spans="2:35" s="3" customFormat="1" x14ac:dyDescent="0.2">
      <c r="B46" s="3" t="s">
        <v>67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5203</v>
      </c>
      <c r="O46" s="5"/>
      <c r="P46" s="5"/>
      <c r="Q46" s="5"/>
      <c r="R46" s="5"/>
      <c r="S46" s="5"/>
      <c r="U46" s="5"/>
      <c r="V46" s="5"/>
      <c r="W46" s="5"/>
      <c r="X46" s="5"/>
    </row>
    <row r="47" spans="2:35" s="3" customFormat="1" x14ac:dyDescent="0.2">
      <c r="B47" s="3" t="s">
        <v>68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-5768</v>
      </c>
      <c r="O47" s="5"/>
      <c r="P47" s="5"/>
      <c r="Q47" s="5"/>
      <c r="R47" s="5"/>
      <c r="S47" s="5"/>
      <c r="U47" s="5"/>
      <c r="V47" s="5"/>
      <c r="W47" s="5"/>
      <c r="X47" s="5"/>
    </row>
    <row r="48" spans="2:35" s="3" customFormat="1" x14ac:dyDescent="0.2">
      <c r="B48" s="3" t="s">
        <v>69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>SUM(N40:N47)</f>
        <v>109297</v>
      </c>
      <c r="O48" s="5"/>
      <c r="P48" s="5"/>
      <c r="Q48" s="5"/>
      <c r="R48" s="5"/>
      <c r="S48" s="5"/>
      <c r="U48" s="5"/>
      <c r="V48" s="5"/>
      <c r="W48" s="5"/>
      <c r="X48" s="5"/>
    </row>
    <row r="50" spans="2:24" s="3" customFormat="1" x14ac:dyDescent="0.2">
      <c r="B50" s="3" t="s">
        <v>72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U50" s="5"/>
      <c r="V50" s="5"/>
      <c r="W50" s="5"/>
      <c r="X50" s="5">
        <f>+X20</f>
        <v>13293</v>
      </c>
    </row>
    <row r="51" spans="2:24" s="3" customFormat="1" x14ac:dyDescent="0.2">
      <c r="B51" s="3" t="s">
        <v>73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U51" s="5"/>
      <c r="V51" s="5"/>
      <c r="W51" s="5"/>
      <c r="X51" s="5">
        <v>6717</v>
      </c>
    </row>
    <row r="52" spans="2:24" s="3" customFormat="1" x14ac:dyDescent="0.2">
      <c r="B52" s="3" t="s">
        <v>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U52" s="5"/>
      <c r="V52" s="5"/>
      <c r="W52" s="5"/>
      <c r="X52" s="5">
        <v>1972</v>
      </c>
    </row>
    <row r="53" spans="2:24" s="3" customFormat="1" x14ac:dyDescent="0.2">
      <c r="B53" s="3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U53" s="5"/>
      <c r="V53" s="5"/>
      <c r="W53" s="5"/>
      <c r="X53" s="5">
        <v>1150</v>
      </c>
    </row>
    <row r="54" spans="2:24" s="3" customFormat="1" x14ac:dyDescent="0.2">
      <c r="B54" s="3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U54" s="5"/>
      <c r="V54" s="5"/>
      <c r="W54" s="5"/>
      <c r="X54" s="5">
        <v>-1146</v>
      </c>
    </row>
    <row r="55" spans="2:24" s="3" customFormat="1" x14ac:dyDescent="0.2">
      <c r="B55" s="3" t="s">
        <v>76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U55" s="5"/>
      <c r="V55" s="5"/>
      <c r="W55" s="5"/>
      <c r="X55" s="5">
        <v>2613</v>
      </c>
    </row>
    <row r="56" spans="2:24" s="3" customFormat="1" x14ac:dyDescent="0.2">
      <c r="B56" s="3" t="s">
        <v>77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U56" s="5"/>
      <c r="V56" s="5"/>
      <c r="W56" s="5"/>
      <c r="X56" s="5">
        <v>220</v>
      </c>
    </row>
    <row r="57" spans="2:24" s="3" customFormat="1" x14ac:dyDescent="0.2">
      <c r="B57" s="3" t="s">
        <v>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U57" s="5"/>
      <c r="V57" s="5"/>
      <c r="W57" s="5"/>
      <c r="X57" s="5">
        <f>-874+11-733-398+7</f>
        <v>-1987</v>
      </c>
    </row>
    <row r="58" spans="2:24" s="3" customFormat="1" x14ac:dyDescent="0.2">
      <c r="B58" s="3" t="s">
        <v>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U58" s="5"/>
      <c r="V58" s="5"/>
      <c r="W58" s="5"/>
      <c r="X58" s="5">
        <f>SUM(X51:X57)</f>
        <v>9539</v>
      </c>
    </row>
    <row r="60" spans="2:24" s="3" customFormat="1" x14ac:dyDescent="0.2">
      <c r="B60" s="3" t="s">
        <v>80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U60" s="5"/>
      <c r="V60" s="5"/>
      <c r="W60" s="5"/>
      <c r="X60" s="5">
        <v>-4511</v>
      </c>
    </row>
    <row r="61" spans="2:24" s="3" customFormat="1" x14ac:dyDescent="0.2">
      <c r="B61" s="3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U61" s="5"/>
      <c r="V61" s="5"/>
      <c r="W61" s="5"/>
      <c r="X61" s="5">
        <v>-148</v>
      </c>
    </row>
    <row r="62" spans="2:24" s="3" customFormat="1" x14ac:dyDescent="0.2">
      <c r="B62" s="3" t="s">
        <v>82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U62" s="5"/>
      <c r="V62" s="5"/>
      <c r="W62" s="5"/>
      <c r="X62" s="5">
        <f>-10272+19788+6363</f>
        <v>15879</v>
      </c>
    </row>
    <row r="63" spans="2:24" s="3" customForma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U63" s="5"/>
      <c r="V63" s="5"/>
      <c r="W63" s="5"/>
      <c r="X63" s="5">
        <f>SUM(X60:X62)</f>
        <v>11220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2022-07-02T18:54:14Z</dcterms:modified>
</cp:coreProperties>
</file>