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CB698DB-5BF0-43A0-9024-9F42044F1DB2}" xr6:coauthVersionLast="47" xr6:coauthVersionMax="47" xr10:uidLastSave="{00000000-0000-0000-0000-000000000000}"/>
  <bookViews>
    <workbookView xWindow="-31845" yWindow="0" windowWidth="31755" windowHeight="20985" xr2:uid="{E49AB4AD-3197-476A-9D12-79E256BF28A1}"/>
  </bookViews>
  <sheets>
    <sheet name="Main" sheetId="1" r:id="rId1"/>
    <sheet name="rusfertide" sheetId="4" r:id="rId2"/>
    <sheet name="JNJ-2113" sheetId="2" r:id="rId3"/>
    <sheet name="Mode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F14" i="3"/>
  <c r="G14" i="3" s="1"/>
  <c r="L8" i="3"/>
  <c r="K8" i="3"/>
  <c r="J8" i="3"/>
  <c r="I8" i="3"/>
  <c r="H8" i="3"/>
  <c r="L7" i="3"/>
  <c r="K7" i="3"/>
  <c r="J7" i="3"/>
  <c r="I7" i="3"/>
  <c r="H7" i="3"/>
  <c r="M6" i="3"/>
  <c r="N6" i="3" s="1"/>
  <c r="O6" i="3" l="1"/>
  <c r="N7" i="3"/>
  <c r="N8" i="3" s="1"/>
  <c r="H9" i="3"/>
  <c r="M7" i="3"/>
  <c r="M8" i="3" s="1"/>
  <c r="P6" i="3" l="1"/>
  <c r="O7" i="3"/>
  <c r="O8" i="3" s="1"/>
  <c r="Q6" i="3" l="1"/>
  <c r="P7" i="3"/>
  <c r="P8" i="3" s="1"/>
  <c r="R6" i="3" l="1"/>
  <c r="Q7" i="3"/>
  <c r="Q8" i="3" s="1"/>
  <c r="S6" i="3" l="1"/>
  <c r="S7" i="3" s="1"/>
  <c r="S8" i="3" s="1"/>
  <c r="R7" i="3"/>
  <c r="R8" i="3" s="1"/>
  <c r="O5" i="3" l="1"/>
  <c r="P5" i="3" s="1"/>
  <c r="Q5" i="3" s="1"/>
  <c r="R5" i="3" s="1"/>
  <c r="S5" i="3" s="1"/>
  <c r="N5" i="3"/>
  <c r="M5" i="3"/>
  <c r="L5" i="3"/>
  <c r="K5" i="3"/>
  <c r="J5" i="3"/>
  <c r="I5" i="3"/>
  <c r="H5" i="3"/>
  <c r="H10" i="3" s="1"/>
  <c r="H11" i="3" l="1"/>
  <c r="H12" i="3" s="1"/>
  <c r="H14" i="3" l="1"/>
  <c r="I9" i="3" s="1"/>
  <c r="I10" i="3" s="1"/>
  <c r="I11" i="3"/>
  <c r="I12" i="3"/>
  <c r="I14" i="3" s="1"/>
  <c r="J9" i="3" s="1"/>
  <c r="J10" i="3" s="1"/>
  <c r="J11" i="3" l="1"/>
  <c r="J12" i="3"/>
  <c r="J14" i="3" l="1"/>
  <c r="K9" i="3" s="1"/>
  <c r="K10" i="3" s="1"/>
  <c r="K11" i="3"/>
  <c r="K12" i="3"/>
  <c r="K14" i="3" s="1"/>
  <c r="L9" i="3" s="1"/>
  <c r="L10" i="3" s="1"/>
  <c r="L11" i="3" l="1"/>
  <c r="L12" i="3"/>
  <c r="L14" i="3" s="1"/>
  <c r="M9" i="3" s="1"/>
  <c r="M10" i="3" s="1"/>
  <c r="M11" i="3" l="1"/>
  <c r="M12" i="3"/>
  <c r="M14" i="3" s="1"/>
  <c r="N9" i="3" s="1"/>
  <c r="N10" i="3" s="1"/>
  <c r="N11" i="3" l="1"/>
  <c r="N12" i="3"/>
  <c r="N14" i="3" l="1"/>
  <c r="O9" i="3" s="1"/>
  <c r="O10" i="3" s="1"/>
  <c r="O11" i="3"/>
  <c r="O12" i="3"/>
  <c r="O14" i="3" s="1"/>
  <c r="P9" i="3" s="1"/>
  <c r="P10" i="3" s="1"/>
  <c r="P11" i="3" l="1"/>
  <c r="P12" i="3" s="1"/>
  <c r="P14" i="3" s="1"/>
  <c r="Q9" i="3" s="1"/>
  <c r="Q10" i="3" s="1"/>
  <c r="Q11" i="3" l="1"/>
  <c r="Q12" i="3"/>
  <c r="Q14" i="3" s="1"/>
  <c r="R9" i="3" s="1"/>
  <c r="R10" i="3" s="1"/>
  <c r="R11" i="3" l="1"/>
  <c r="R12" i="3" s="1"/>
  <c r="R14" i="3" s="1"/>
  <c r="S9" i="3" s="1"/>
  <c r="S10" i="3" s="1"/>
  <c r="S11" i="3" l="1"/>
  <c r="S12" i="3"/>
  <c r="S14" i="3" l="1"/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L5" i="1" l="1"/>
  <c r="L4" i="1"/>
  <c r="L7" i="1" s="1"/>
</calcChain>
</file>

<file path=xl/sharedStrings.xml><?xml version="1.0" encoding="utf-8"?>
<sst xmlns="http://schemas.openxmlformats.org/spreadsheetml/2006/main" count="108" uniqueCount="92">
  <si>
    <t>Price</t>
  </si>
  <si>
    <t>Shares</t>
  </si>
  <si>
    <t>MC</t>
  </si>
  <si>
    <t>Cash</t>
  </si>
  <si>
    <t>Debt</t>
  </si>
  <si>
    <t>EV</t>
  </si>
  <si>
    <t>Q224</t>
  </si>
  <si>
    <t>Brand</t>
  </si>
  <si>
    <t>JNJ-2113</t>
  </si>
  <si>
    <t>Indication</t>
  </si>
  <si>
    <t>Psoriasis, UC</t>
  </si>
  <si>
    <t>rusfertide</t>
  </si>
  <si>
    <t>PV</t>
  </si>
  <si>
    <t>JNJ-2113 (icotrokinra)</t>
  </si>
  <si>
    <t>Administration</t>
  </si>
  <si>
    <t>Oral</t>
  </si>
  <si>
    <t>MOA</t>
  </si>
  <si>
    <t>IL-23R</t>
  </si>
  <si>
    <t>Main</t>
  </si>
  <si>
    <t>Generic</t>
  </si>
  <si>
    <t>Icotrokinra</t>
  </si>
  <si>
    <t>Economics</t>
  </si>
  <si>
    <t>oral</t>
  </si>
  <si>
    <t>Molecule</t>
  </si>
  <si>
    <t>Peptidic, 2000 MW</t>
  </si>
  <si>
    <t>JNJ-77242113, a highly potent, selective peptide targeting the IL-23 receptor, provides robust IL-23 pathway inhibition upon oral dosing in rats and humans</t>
  </si>
  <si>
    <t>Papers</t>
  </si>
  <si>
    <t>Competition</t>
  </si>
  <si>
    <t>Tremfya (p19 IL-23 mab guselkumab) $3.1B 2023</t>
  </si>
  <si>
    <t>Stelara (p40 IL-12/IL-23 ustekinumab mab) $10.9B 2023</t>
  </si>
  <si>
    <t>Skyrizi (p19 IL-23 mab risankizumab) $7.8B 2023</t>
  </si>
  <si>
    <t>IL-23 receptor antagonist, 7pm</t>
  </si>
  <si>
    <t>PK</t>
  </si>
  <si>
    <t>9-16 hour T1/2</t>
  </si>
  <si>
    <t>https://pubmed.ncbi.nlm.nih.gov/27881076/</t>
  </si>
  <si>
    <t>Clinical Trials</t>
  </si>
  <si>
    <t>PE: PASI75</t>
  </si>
  <si>
    <t>25mg qd: 37%</t>
  </si>
  <si>
    <t>placebo: 9%</t>
  </si>
  <si>
    <t>25mg bid: 51%</t>
  </si>
  <si>
    <t>50mg qd: 58%</t>
  </si>
  <si>
    <t>100mg qd: 65%</t>
  </si>
  <si>
    <t>100mg bid: 79%</t>
  </si>
  <si>
    <t>PE: PASI90</t>
  </si>
  <si>
    <t>placebo: 2%</t>
  </si>
  <si>
    <t>25mg qd: 26%</t>
  </si>
  <si>
    <t>25mg bid: 27%</t>
  </si>
  <si>
    <t>50mg: 51%</t>
  </si>
  <si>
    <t>100mg: 47%</t>
  </si>
  <si>
    <t>100mg bid: 60%</t>
  </si>
  <si>
    <t>PE: PASI100</t>
  </si>
  <si>
    <t>placebo: 0%</t>
  </si>
  <si>
    <t>25mg qd: 12%</t>
  </si>
  <si>
    <t>25mg bid: 10%</t>
  </si>
  <si>
    <t>50mg: 26%</t>
  </si>
  <si>
    <t>100mg qd: 23%</t>
  </si>
  <si>
    <t>100mg bid: 41%</t>
  </si>
  <si>
    <t>Phase IIb "FRONTIER 1" - NCT05223868</t>
  </si>
  <si>
    <t>Results 7/4/23</t>
  </si>
  <si>
    <t>JNJ, double-digit tiered royalties</t>
  </si>
  <si>
    <t>Phase 3</t>
  </si>
  <si>
    <t>Phase I</t>
  </si>
  <si>
    <t>Phase 2</t>
  </si>
  <si>
    <t>File</t>
  </si>
  <si>
    <t>Royalty</t>
  </si>
  <si>
    <t>Royalties</t>
  </si>
  <si>
    <t>Hepcidin mimetic</t>
  </si>
  <si>
    <t>subcutaneous</t>
  </si>
  <si>
    <t>Phase IIb "ANTHEM" UC</t>
  </si>
  <si>
    <t>Phase III "ICONIC-TOTAL" psoriasis</t>
  </si>
  <si>
    <t>Phase III "ICONIC-LEAD" psoriasis</t>
  </si>
  <si>
    <t>Phase III "ICONIC-ADVANCE 1" psoriasis</t>
  </si>
  <si>
    <t>Phase III "ICONIC-ADVANCE 2" psoriasis</t>
  </si>
  <si>
    <t>Phase II "REVIVE"</t>
  </si>
  <si>
    <t>Takeda $300m upfront, 50/50 profit share in US</t>
  </si>
  <si>
    <t>Rusfertide</t>
  </si>
  <si>
    <t>Operating Margin</t>
  </si>
  <si>
    <t>Profit Split</t>
  </si>
  <si>
    <t>Interest</t>
  </si>
  <si>
    <t>Pretax</t>
  </si>
  <si>
    <t>Taxes</t>
  </si>
  <si>
    <t>Net Income</t>
  </si>
  <si>
    <t>ROIC</t>
  </si>
  <si>
    <t>Discount</t>
  </si>
  <si>
    <t>NPV</t>
  </si>
  <si>
    <t>Net Cash</t>
  </si>
  <si>
    <t>Share</t>
  </si>
  <si>
    <t>Phase III PHOENIX 12-week</t>
  </si>
  <si>
    <t>Phase III "ESTEEM" PASI75</t>
  </si>
  <si>
    <t>30mg BID: 33%</t>
  </si>
  <si>
    <t>Placebo: 5%</t>
  </si>
  <si>
    <t>37-42%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</si>
</sst>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1"/>
    <xf numFmtId="0" fontId="1" fillId="0" borderId="0" xfId="0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1" xfId="1" applyBorder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5721C4-9FAB-460C-BA81-85FB2A14FF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421050</xdr:colOff>
      <xdr:row>3</xdr:row>
      <xdr:rowOff>65897</xdr:rowOff>
    </xdr:from>
    <xdr:to>
      <xdr:col>23</xdr:col>
      <xdr:colOff>351522</xdr:colOff>
      <xdr:row>31</xdr:row>
      <xdr:rowOff>96356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DCC9DA-4D23-EF45-FAEB-AA968E1C5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6644" y="548100"/>
          <a:ext cx="7217097" cy="4531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310980</xdr:colOff>
      <xdr:row>33</xdr:row>
      <xdr:rowOff>6568</xdr:rowOff>
    </xdr:from>
    <xdr:to>
      <xdr:col>23</xdr:col>
      <xdr:colOff>134360</xdr:colOff>
      <xdr:row>47</xdr:row>
      <xdr:rowOff>1641</xdr:rowOff>
    </xdr:to>
    <xdr:pic>
      <xdr:nvPicPr>
        <xdr:cNvPr id="3" name="Picture 2" descr="Icotrokinra Structure">
          <a:extLst>
            <a:ext uri="{FF2B5EF4-FFF2-40B4-BE49-F238E27FC236}">
              <a16:creationId xmlns:a16="http://schemas.microsoft.com/office/drawing/2014/main" id="{C5C2AC18-1FC7-F50B-65A9-D14DBDF18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3557" y="5325914"/>
          <a:ext cx="2255918" cy="2251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383906</xdr:colOff>
      <xdr:row>31</xdr:row>
      <xdr:rowOff>39544</xdr:rowOff>
    </xdr:from>
    <xdr:to>
      <xdr:col>19</xdr:col>
      <xdr:colOff>2508</xdr:colOff>
      <xdr:row>43</xdr:row>
      <xdr:rowOff>95251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578B66-CC63-34D9-3450-1367E27C2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17844" y="5022310"/>
          <a:ext cx="6298008" cy="1984519"/>
        </a:xfrm>
        <a:prstGeom prst="rect">
          <a:avLst/>
        </a:prstGeom>
      </xdr:spPr>
    </xdr:pic>
    <xdr:clientData/>
  </xdr:twoCellAnchor>
  <xdr:twoCellAnchor editAs="oneCell">
    <xdr:from>
      <xdr:col>20</xdr:col>
      <xdr:colOff>140239</xdr:colOff>
      <xdr:row>2</xdr:row>
      <xdr:rowOff>157655</xdr:rowOff>
    </xdr:from>
    <xdr:to>
      <xdr:col>28</xdr:col>
      <xdr:colOff>586855</xdr:colOff>
      <xdr:row>29</xdr:row>
      <xdr:rowOff>62093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7FA086-BC69-2DD4-8C56-3FADD22E8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32239" y="486103"/>
          <a:ext cx="5333926" cy="4338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3351-904B-45B9-9BE5-F4E19BB0A4C4}">
  <dimension ref="B2:M8"/>
  <sheetViews>
    <sheetView tabSelected="1" zoomScale="205" zoomScaleNormal="205" workbookViewId="0">
      <selection activeCell="B4" sqref="B4"/>
    </sheetView>
  </sheetViews>
  <sheetFormatPr defaultRowHeight="12.75" x14ac:dyDescent="0.2"/>
  <cols>
    <col min="1" max="1" width="2.85546875" customWidth="1"/>
    <col min="2" max="2" width="19.42578125" customWidth="1"/>
    <col min="3" max="3" width="14.7109375" customWidth="1"/>
    <col min="4" max="4" width="14.42578125" customWidth="1"/>
    <col min="5" max="5" width="16.5703125" customWidth="1"/>
    <col min="6" max="9" width="7.140625" customWidth="1"/>
  </cols>
  <sheetData>
    <row r="2" spans="2:13" x14ac:dyDescent="0.2">
      <c r="B2" s="10" t="s">
        <v>7</v>
      </c>
      <c r="C2" s="11" t="s">
        <v>9</v>
      </c>
      <c r="D2" s="11" t="s">
        <v>14</v>
      </c>
      <c r="E2" s="11" t="s">
        <v>16</v>
      </c>
      <c r="F2" s="11"/>
      <c r="G2" s="11"/>
      <c r="H2" s="11"/>
      <c r="I2" s="12"/>
      <c r="K2" t="s">
        <v>0</v>
      </c>
      <c r="L2" s="1">
        <v>45.02</v>
      </c>
    </row>
    <row r="3" spans="2:13" x14ac:dyDescent="0.2">
      <c r="B3" s="21" t="s">
        <v>13</v>
      </c>
      <c r="C3" s="5" t="s">
        <v>10</v>
      </c>
      <c r="D3" s="5" t="s">
        <v>15</v>
      </c>
      <c r="E3" s="13" t="s">
        <v>17</v>
      </c>
      <c r="F3" s="5"/>
      <c r="G3" s="5"/>
      <c r="H3" s="5"/>
      <c r="I3" s="6"/>
      <c r="K3" t="s">
        <v>1</v>
      </c>
      <c r="L3" s="2">
        <v>58.904584999999997</v>
      </c>
      <c r="M3" s="3" t="s">
        <v>6</v>
      </c>
    </row>
    <row r="4" spans="2:13" x14ac:dyDescent="0.2">
      <c r="B4" s="21" t="s">
        <v>11</v>
      </c>
      <c r="C4" s="5" t="s">
        <v>12</v>
      </c>
      <c r="D4" s="5" t="s">
        <v>67</v>
      </c>
      <c r="E4" s="5" t="s">
        <v>66</v>
      </c>
      <c r="F4" s="5"/>
      <c r="G4" s="5"/>
      <c r="H4" s="5"/>
      <c r="I4" s="6"/>
      <c r="K4" t="s">
        <v>2</v>
      </c>
      <c r="L4" s="2">
        <f>+L2*L3</f>
        <v>2651.8844167000002</v>
      </c>
    </row>
    <row r="5" spans="2:13" x14ac:dyDescent="0.2">
      <c r="B5" s="4"/>
      <c r="C5" s="5"/>
      <c r="D5" s="5"/>
      <c r="E5" s="5"/>
      <c r="F5" s="5"/>
      <c r="G5" s="5"/>
      <c r="H5" s="5"/>
      <c r="I5" s="6"/>
      <c r="K5" t="s">
        <v>3</v>
      </c>
      <c r="L5" s="2">
        <f>355.643+208.354+31.447</f>
        <v>595.44399999999996</v>
      </c>
      <c r="M5" s="3" t="s">
        <v>6</v>
      </c>
    </row>
    <row r="6" spans="2:13" x14ac:dyDescent="0.2">
      <c r="B6" s="4"/>
      <c r="C6" s="5"/>
      <c r="D6" s="5"/>
      <c r="E6" s="5"/>
      <c r="F6" s="5"/>
      <c r="G6" s="5"/>
      <c r="H6" s="5"/>
      <c r="I6" s="6"/>
      <c r="K6" t="s">
        <v>4</v>
      </c>
      <c r="L6" s="2">
        <v>0</v>
      </c>
      <c r="M6" s="3" t="s">
        <v>6</v>
      </c>
    </row>
    <row r="7" spans="2:13" x14ac:dyDescent="0.2">
      <c r="B7" s="4"/>
      <c r="C7" s="5"/>
      <c r="D7" s="5"/>
      <c r="E7" s="5"/>
      <c r="F7" s="5"/>
      <c r="G7" s="5"/>
      <c r="H7" s="5"/>
      <c r="I7" s="6"/>
      <c r="K7" t="s">
        <v>5</v>
      </c>
      <c r="L7" s="2">
        <f>+L4-L5+L6</f>
        <v>2056.4404167000002</v>
      </c>
    </row>
    <row r="8" spans="2:13" x14ac:dyDescent="0.2">
      <c r="B8" s="7"/>
      <c r="C8" s="8"/>
      <c r="D8" s="8"/>
      <c r="E8" s="8"/>
      <c r="F8" s="8"/>
      <c r="G8" s="8"/>
      <c r="H8" s="8"/>
      <c r="I8" s="9"/>
    </row>
  </sheetData>
  <hyperlinks>
    <hyperlink ref="B3" location="'JNJ-2113'!A1" display="JNJ-2113 (icotrokinra)" xr:uid="{D8F25603-18BB-4536-A573-DFBFFD603CE9}"/>
    <hyperlink ref="B4" location="rusfertide!A1" display="rusfertide" xr:uid="{141C88F7-C588-4FE4-9EC7-EE6E3F75C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F7A3-7E97-4630-BCA7-8686A182D672}">
  <dimension ref="A1:C7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4" t="s">
        <v>18</v>
      </c>
    </row>
    <row r="2" spans="1:3" x14ac:dyDescent="0.2">
      <c r="B2" t="s">
        <v>7</v>
      </c>
    </row>
    <row r="3" spans="1:3" x14ac:dyDescent="0.2">
      <c r="B3" t="s">
        <v>19</v>
      </c>
      <c r="C3" t="s">
        <v>11</v>
      </c>
    </row>
    <row r="4" spans="1:3" x14ac:dyDescent="0.2">
      <c r="B4" t="s">
        <v>9</v>
      </c>
    </row>
    <row r="5" spans="1:3" x14ac:dyDescent="0.2">
      <c r="B5" t="s">
        <v>21</v>
      </c>
      <c r="C5" t="s">
        <v>74</v>
      </c>
    </row>
    <row r="6" spans="1:3" x14ac:dyDescent="0.2">
      <c r="B6" t="s">
        <v>35</v>
      </c>
    </row>
    <row r="7" spans="1:3" x14ac:dyDescent="0.2">
      <c r="C7" s="16" t="s">
        <v>73</v>
      </c>
    </row>
  </sheetData>
  <hyperlinks>
    <hyperlink ref="A1" location="Main!A1" display="Main" xr:uid="{CEADE976-1DA0-471D-89BB-C46529BAD8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5B9E-1E64-4355-9C41-8C295688A3F8}">
  <dimension ref="A1:K52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11" x14ac:dyDescent="0.2">
      <c r="A1" s="14" t="s">
        <v>18</v>
      </c>
    </row>
    <row r="2" spans="1:11" x14ac:dyDescent="0.2">
      <c r="B2" t="s">
        <v>7</v>
      </c>
      <c r="C2" t="s">
        <v>8</v>
      </c>
    </row>
    <row r="3" spans="1:11" x14ac:dyDescent="0.2">
      <c r="B3" t="s">
        <v>19</v>
      </c>
      <c r="C3" t="s">
        <v>20</v>
      </c>
    </row>
    <row r="4" spans="1:11" x14ac:dyDescent="0.2">
      <c r="B4" t="s">
        <v>21</v>
      </c>
      <c r="C4" t="s">
        <v>59</v>
      </c>
    </row>
    <row r="5" spans="1:11" x14ac:dyDescent="0.2">
      <c r="B5" t="s">
        <v>16</v>
      </c>
      <c r="C5" t="s">
        <v>31</v>
      </c>
    </row>
    <row r="6" spans="1:11" x14ac:dyDescent="0.2">
      <c r="B6" t="s">
        <v>14</v>
      </c>
      <c r="C6" t="s">
        <v>22</v>
      </c>
    </row>
    <row r="7" spans="1:11" x14ac:dyDescent="0.2">
      <c r="B7" t="s">
        <v>23</v>
      </c>
      <c r="C7" t="s">
        <v>24</v>
      </c>
    </row>
    <row r="8" spans="1:11" x14ac:dyDescent="0.2">
      <c r="B8" t="s">
        <v>27</v>
      </c>
      <c r="C8" t="s">
        <v>29</v>
      </c>
    </row>
    <row r="9" spans="1:11" x14ac:dyDescent="0.2">
      <c r="C9" t="s">
        <v>28</v>
      </c>
    </row>
    <row r="10" spans="1:11" x14ac:dyDescent="0.2">
      <c r="C10" t="s">
        <v>30</v>
      </c>
    </row>
    <row r="11" spans="1:11" x14ac:dyDescent="0.2">
      <c r="B11" t="s">
        <v>26</v>
      </c>
      <c r="C11" t="s">
        <v>25</v>
      </c>
    </row>
    <row r="12" spans="1:11" x14ac:dyDescent="0.2">
      <c r="C12" t="s">
        <v>34</v>
      </c>
    </row>
    <row r="13" spans="1:11" x14ac:dyDescent="0.2">
      <c r="B13" t="s">
        <v>32</v>
      </c>
      <c r="C13" t="s">
        <v>33</v>
      </c>
    </row>
    <row r="14" spans="1:11" x14ac:dyDescent="0.2">
      <c r="B14" t="s">
        <v>35</v>
      </c>
    </row>
    <row r="15" spans="1:11" x14ac:dyDescent="0.2">
      <c r="C15" s="16" t="s">
        <v>57</v>
      </c>
      <c r="H15" s="16" t="s">
        <v>87</v>
      </c>
      <c r="K15" s="16" t="s">
        <v>88</v>
      </c>
    </row>
    <row r="16" spans="1:11" x14ac:dyDescent="0.2">
      <c r="C16" s="17" t="s">
        <v>36</v>
      </c>
      <c r="E16" t="s">
        <v>58</v>
      </c>
      <c r="K16" s="15" t="s">
        <v>89</v>
      </c>
    </row>
    <row r="17" spans="3:11" x14ac:dyDescent="0.2">
      <c r="C17" s="15" t="s">
        <v>38</v>
      </c>
      <c r="K17" t="s">
        <v>90</v>
      </c>
    </row>
    <row r="18" spans="3:11" x14ac:dyDescent="0.2">
      <c r="C18" t="s">
        <v>37</v>
      </c>
    </row>
    <row r="19" spans="3:11" x14ac:dyDescent="0.2">
      <c r="C19" t="s">
        <v>39</v>
      </c>
    </row>
    <row r="20" spans="3:11" x14ac:dyDescent="0.2">
      <c r="C20" t="s">
        <v>40</v>
      </c>
    </row>
    <row r="21" spans="3:11" x14ac:dyDescent="0.2">
      <c r="C21" t="s">
        <v>41</v>
      </c>
    </row>
    <row r="22" spans="3:11" x14ac:dyDescent="0.2">
      <c r="C22" s="15" t="s">
        <v>42</v>
      </c>
    </row>
    <row r="24" spans="3:11" x14ac:dyDescent="0.2">
      <c r="C24" s="17" t="s">
        <v>43</v>
      </c>
    </row>
    <row r="25" spans="3:11" x14ac:dyDescent="0.2">
      <c r="C25" t="s">
        <v>44</v>
      </c>
      <c r="H25" t="s">
        <v>44</v>
      </c>
    </row>
    <row r="26" spans="3:11" x14ac:dyDescent="0.2">
      <c r="C26" t="s">
        <v>45</v>
      </c>
    </row>
    <row r="27" spans="3:11" x14ac:dyDescent="0.2">
      <c r="C27" t="s">
        <v>46</v>
      </c>
    </row>
    <row r="28" spans="3:11" x14ac:dyDescent="0.2">
      <c r="C28" t="s">
        <v>47</v>
      </c>
    </row>
    <row r="29" spans="3:11" x14ac:dyDescent="0.2">
      <c r="C29" t="s">
        <v>48</v>
      </c>
    </row>
    <row r="30" spans="3:11" x14ac:dyDescent="0.2">
      <c r="C30" s="15" t="s">
        <v>49</v>
      </c>
      <c r="H30" s="15" t="s">
        <v>91</v>
      </c>
    </row>
    <row r="32" spans="3:11" x14ac:dyDescent="0.2">
      <c r="C32" s="17" t="s">
        <v>50</v>
      </c>
    </row>
    <row r="33" spans="3:3" x14ac:dyDescent="0.2">
      <c r="C33" t="s">
        <v>51</v>
      </c>
    </row>
    <row r="34" spans="3:3" x14ac:dyDescent="0.2">
      <c r="C34" t="s">
        <v>52</v>
      </c>
    </row>
    <row r="35" spans="3:3" x14ac:dyDescent="0.2">
      <c r="C35" t="s">
        <v>53</v>
      </c>
    </row>
    <row r="36" spans="3:3" x14ac:dyDescent="0.2">
      <c r="C36" t="s">
        <v>54</v>
      </c>
    </row>
    <row r="37" spans="3:3" x14ac:dyDescent="0.2">
      <c r="C37" t="s">
        <v>55</v>
      </c>
    </row>
    <row r="38" spans="3:3" x14ac:dyDescent="0.2">
      <c r="C38" s="15" t="s">
        <v>56</v>
      </c>
    </row>
    <row r="41" spans="3:3" x14ac:dyDescent="0.2">
      <c r="C41" s="16" t="s">
        <v>70</v>
      </c>
    </row>
    <row r="44" spans="3:3" x14ac:dyDescent="0.2">
      <c r="C44" s="16" t="s">
        <v>69</v>
      </c>
    </row>
    <row r="47" spans="3:3" x14ac:dyDescent="0.2">
      <c r="C47" s="16" t="s">
        <v>68</v>
      </c>
    </row>
    <row r="50" spans="3:3" x14ac:dyDescent="0.2">
      <c r="C50" s="16" t="s">
        <v>71</v>
      </c>
    </row>
    <row r="52" spans="3:3" x14ac:dyDescent="0.2">
      <c r="C52" s="16" t="s">
        <v>72</v>
      </c>
    </row>
  </sheetData>
  <hyperlinks>
    <hyperlink ref="A1" location="Main!A1" display="Main" xr:uid="{CFDA073A-5998-4A97-8F37-64ABBA9483F9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0FEB-D0E0-45BE-9D2D-9D33993104C4}">
  <dimension ref="A1:U21"/>
  <sheetViews>
    <sheetView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2.75" x14ac:dyDescent="0.2"/>
  <cols>
    <col min="1" max="1" width="5" bestFit="1" customWidth="1"/>
    <col min="2" max="2" width="16" customWidth="1"/>
    <col min="3" max="3" width="9.85546875" style="3" bestFit="1" customWidth="1"/>
    <col min="4" max="5" width="9.140625" style="3"/>
    <col min="6" max="6" width="9.85546875" style="3" bestFit="1" customWidth="1"/>
    <col min="7" max="7" width="9.140625" style="3"/>
  </cols>
  <sheetData>
    <row r="1" spans="1:21" x14ac:dyDescent="0.2">
      <c r="A1" s="14" t="s">
        <v>18</v>
      </c>
    </row>
    <row r="2" spans="1:21" x14ac:dyDescent="0.2">
      <c r="C2" s="3">
        <v>2022</v>
      </c>
      <c r="D2" s="3">
        <f>+C2+1</f>
        <v>2023</v>
      </c>
      <c r="E2" s="3">
        <f t="shared" ref="E2:U2" si="0">+D2+1</f>
        <v>2024</v>
      </c>
      <c r="F2" s="3">
        <f t="shared" si="0"/>
        <v>2025</v>
      </c>
      <c r="G2" s="3">
        <f t="shared" si="0"/>
        <v>2026</v>
      </c>
      <c r="H2">
        <f t="shared" si="0"/>
        <v>2027</v>
      </c>
      <c r="I2">
        <f t="shared" si="0"/>
        <v>2028</v>
      </c>
      <c r="J2">
        <f t="shared" si="0"/>
        <v>2029</v>
      </c>
      <c r="K2">
        <f t="shared" si="0"/>
        <v>2030</v>
      </c>
      <c r="L2">
        <f t="shared" si="0"/>
        <v>2031</v>
      </c>
      <c r="M2">
        <f t="shared" si="0"/>
        <v>2032</v>
      </c>
      <c r="N2">
        <f t="shared" si="0"/>
        <v>2033</v>
      </c>
      <c r="O2">
        <f t="shared" si="0"/>
        <v>2034</v>
      </c>
      <c r="P2">
        <f t="shared" si="0"/>
        <v>2035</v>
      </c>
      <c r="Q2">
        <f t="shared" si="0"/>
        <v>2036</v>
      </c>
      <c r="R2">
        <f t="shared" si="0"/>
        <v>2037</v>
      </c>
      <c r="S2">
        <f t="shared" si="0"/>
        <v>2038</v>
      </c>
      <c r="T2">
        <f t="shared" si="0"/>
        <v>2039</v>
      </c>
      <c r="U2">
        <f t="shared" si="0"/>
        <v>2040</v>
      </c>
    </row>
    <row r="3" spans="1:21" x14ac:dyDescent="0.2">
      <c r="B3" t="s">
        <v>8</v>
      </c>
      <c r="C3" s="3" t="s">
        <v>61</v>
      </c>
      <c r="D3" s="20" t="s">
        <v>62</v>
      </c>
      <c r="E3" s="20" t="s">
        <v>60</v>
      </c>
      <c r="F3" s="20" t="s">
        <v>60</v>
      </c>
      <c r="G3" s="20" t="s">
        <v>63</v>
      </c>
      <c r="H3" s="2">
        <v>500</v>
      </c>
      <c r="I3" s="2">
        <v>1000</v>
      </c>
      <c r="J3" s="2">
        <v>1500</v>
      </c>
      <c r="K3" s="2">
        <v>2000</v>
      </c>
      <c r="L3" s="2">
        <v>2500</v>
      </c>
      <c r="M3" s="2">
        <v>3000</v>
      </c>
      <c r="N3" s="2">
        <v>3500</v>
      </c>
    </row>
    <row r="4" spans="1:21" x14ac:dyDescent="0.2">
      <c r="B4" t="s">
        <v>64</v>
      </c>
      <c r="H4" s="18">
        <v>0.1</v>
      </c>
      <c r="I4" s="18">
        <v>0.11</v>
      </c>
      <c r="J4" s="18">
        <v>0.12</v>
      </c>
      <c r="K4" s="18">
        <v>0.13</v>
      </c>
      <c r="L4" s="18">
        <v>0.13</v>
      </c>
      <c r="M4" s="18">
        <v>0.14000000000000001</v>
      </c>
      <c r="N4" s="18">
        <v>0.14000000000000001</v>
      </c>
    </row>
    <row r="5" spans="1:21" x14ac:dyDescent="0.2">
      <c r="B5" t="s">
        <v>65</v>
      </c>
      <c r="F5" s="3">
        <v>0</v>
      </c>
      <c r="G5" s="3">
        <v>0</v>
      </c>
      <c r="H5" s="2">
        <f>+H3*H4</f>
        <v>50</v>
      </c>
      <c r="I5" s="2">
        <f t="shared" ref="I5:N5" si="1">+I3*I4</f>
        <v>110</v>
      </c>
      <c r="J5" s="2">
        <f t="shared" si="1"/>
        <v>180</v>
      </c>
      <c r="K5" s="2">
        <f t="shared" si="1"/>
        <v>260</v>
      </c>
      <c r="L5" s="2">
        <f t="shared" si="1"/>
        <v>325</v>
      </c>
      <c r="M5" s="2">
        <f t="shared" si="1"/>
        <v>420.00000000000006</v>
      </c>
      <c r="N5" s="2">
        <f t="shared" si="1"/>
        <v>490.00000000000006</v>
      </c>
      <c r="O5" s="2">
        <f>+N5*1.01</f>
        <v>494.90000000000003</v>
      </c>
      <c r="P5" s="2">
        <f>+O5*1.01</f>
        <v>499.84900000000005</v>
      </c>
      <c r="Q5" s="2">
        <f>+P5*1.01</f>
        <v>504.84749000000005</v>
      </c>
      <c r="R5" s="2">
        <f>+Q5*1.01</f>
        <v>509.89596490000008</v>
      </c>
      <c r="S5" s="2">
        <f>+R5*1.01</f>
        <v>514.99492454900007</v>
      </c>
    </row>
    <row r="6" spans="1:21" x14ac:dyDescent="0.2">
      <c r="B6" t="s">
        <v>75</v>
      </c>
      <c r="H6" s="2">
        <v>50</v>
      </c>
      <c r="I6" s="2">
        <v>150</v>
      </c>
      <c r="J6" s="2">
        <v>300</v>
      </c>
      <c r="K6" s="2">
        <v>400</v>
      </c>
      <c r="L6" s="2">
        <v>500</v>
      </c>
      <c r="M6" s="2">
        <f>+L6*1.01</f>
        <v>505</v>
      </c>
      <c r="N6" s="2">
        <f t="shared" ref="N6:S6" si="2">+M6*1.01</f>
        <v>510.05</v>
      </c>
      <c r="O6" s="2">
        <f t="shared" si="2"/>
        <v>515.15049999999997</v>
      </c>
      <c r="P6" s="2">
        <f t="shared" si="2"/>
        <v>520.30200500000001</v>
      </c>
      <c r="Q6" s="2">
        <f t="shared" si="2"/>
        <v>525.50502504999997</v>
      </c>
      <c r="R6" s="2">
        <f t="shared" si="2"/>
        <v>530.76007530049992</v>
      </c>
      <c r="S6" s="2">
        <f t="shared" si="2"/>
        <v>536.0676760535049</v>
      </c>
    </row>
    <row r="7" spans="1:21" x14ac:dyDescent="0.2">
      <c r="B7" t="s">
        <v>76</v>
      </c>
      <c r="F7" s="20"/>
      <c r="H7" s="2">
        <f>+H6*0.7</f>
        <v>35</v>
      </c>
      <c r="I7" s="2">
        <f t="shared" ref="I7:S7" si="3">+I6*0.7</f>
        <v>105</v>
      </c>
      <c r="J7" s="2">
        <f t="shared" si="3"/>
        <v>210</v>
      </c>
      <c r="K7" s="2">
        <f t="shared" si="3"/>
        <v>280</v>
      </c>
      <c r="L7" s="2">
        <f t="shared" si="3"/>
        <v>350</v>
      </c>
      <c r="M7" s="2">
        <f t="shared" si="3"/>
        <v>353.5</v>
      </c>
      <c r="N7" s="2">
        <f t="shared" si="3"/>
        <v>357.03499999999997</v>
      </c>
      <c r="O7" s="2">
        <f t="shared" si="3"/>
        <v>360.60534999999993</v>
      </c>
      <c r="P7" s="2">
        <f t="shared" si="3"/>
        <v>364.21140349999996</v>
      </c>
      <c r="Q7" s="2">
        <f t="shared" si="3"/>
        <v>367.85351753499998</v>
      </c>
      <c r="R7" s="2">
        <f t="shared" si="3"/>
        <v>371.53205271034994</v>
      </c>
      <c r="S7" s="2">
        <f t="shared" si="3"/>
        <v>375.24737323745342</v>
      </c>
    </row>
    <row r="8" spans="1:21" x14ac:dyDescent="0.2">
      <c r="B8" t="s">
        <v>77</v>
      </c>
      <c r="H8" s="2">
        <f>+H7*0.5</f>
        <v>17.5</v>
      </c>
      <c r="I8" s="2">
        <f t="shared" ref="I8:S8" si="4">+I7*0.5</f>
        <v>52.5</v>
      </c>
      <c r="J8" s="2">
        <f t="shared" si="4"/>
        <v>105</v>
      </c>
      <c r="K8" s="2">
        <f t="shared" si="4"/>
        <v>140</v>
      </c>
      <c r="L8" s="2">
        <f t="shared" si="4"/>
        <v>175</v>
      </c>
      <c r="M8" s="2">
        <f t="shared" si="4"/>
        <v>176.75</v>
      </c>
      <c r="N8" s="2">
        <f t="shared" si="4"/>
        <v>178.51749999999998</v>
      </c>
      <c r="O8" s="2">
        <f t="shared" si="4"/>
        <v>180.30267499999997</v>
      </c>
      <c r="P8" s="2">
        <f t="shared" si="4"/>
        <v>182.10570174999998</v>
      </c>
      <c r="Q8" s="2">
        <f t="shared" si="4"/>
        <v>183.92675876749999</v>
      </c>
      <c r="R8" s="2">
        <f t="shared" si="4"/>
        <v>185.76602635517497</v>
      </c>
      <c r="S8" s="2">
        <f t="shared" si="4"/>
        <v>187.62368661872671</v>
      </c>
    </row>
    <row r="9" spans="1:21" x14ac:dyDescent="0.2">
      <c r="B9" t="s">
        <v>78</v>
      </c>
      <c r="H9" s="2">
        <f>+G14*$C$18</f>
        <v>15.8</v>
      </c>
      <c r="I9" s="2">
        <f t="shared" ref="I9:S9" si="5">+H14*$C$18</f>
        <v>18.465599999999998</v>
      </c>
      <c r="J9" s="2">
        <f t="shared" si="5"/>
        <v>24.2564992</v>
      </c>
      <c r="K9" s="2">
        <f t="shared" si="5"/>
        <v>34.1527071744</v>
      </c>
      <c r="L9" s="2">
        <f t="shared" si="5"/>
        <v>48.0455938039808</v>
      </c>
      <c r="M9" s="2">
        <f t="shared" si="5"/>
        <v>65.583052805708192</v>
      </c>
      <c r="N9" s="2">
        <f t="shared" si="5"/>
        <v>86.777710495490851</v>
      </c>
      <c r="O9" s="2">
        <f t="shared" si="5"/>
        <v>110.94715723134655</v>
      </c>
      <c r="P9" s="2">
        <f t="shared" si="5"/>
        <v>136.10395186274962</v>
      </c>
      <c r="Q9" s="2">
        <f t="shared" si="5"/>
        <v>162.28182877835764</v>
      </c>
      <c r="R9" s="2">
        <f t="shared" si="5"/>
        <v>189.51562325982508</v>
      </c>
      <c r="S9" s="2">
        <f t="shared" si="5"/>
        <v>217.84130692430512</v>
      </c>
    </row>
    <row r="10" spans="1:21" x14ac:dyDescent="0.2">
      <c r="B10" t="s">
        <v>79</v>
      </c>
      <c r="H10" s="2">
        <f>+H5+H8+H9</f>
        <v>83.3</v>
      </c>
      <c r="I10" s="2">
        <f t="shared" ref="I10:S10" si="6">+I5+I8+I9</f>
        <v>180.96559999999999</v>
      </c>
      <c r="J10" s="2">
        <f t="shared" si="6"/>
        <v>309.25649920000001</v>
      </c>
      <c r="K10" s="2">
        <f t="shared" si="6"/>
        <v>434.15270717440001</v>
      </c>
      <c r="L10" s="2">
        <f t="shared" si="6"/>
        <v>548.04559380398075</v>
      </c>
      <c r="M10" s="2">
        <f t="shared" si="6"/>
        <v>662.33305280570823</v>
      </c>
      <c r="N10" s="2">
        <f t="shared" si="6"/>
        <v>755.29521049549089</v>
      </c>
      <c r="O10" s="2">
        <f t="shared" si="6"/>
        <v>786.14983223134652</v>
      </c>
      <c r="P10" s="2">
        <f t="shared" si="6"/>
        <v>818.05865361274959</v>
      </c>
      <c r="Q10" s="2">
        <f t="shared" si="6"/>
        <v>851.05607754585765</v>
      </c>
      <c r="R10" s="2">
        <f t="shared" si="6"/>
        <v>885.17761451500019</v>
      </c>
      <c r="S10" s="2">
        <f t="shared" si="6"/>
        <v>920.45991809203201</v>
      </c>
    </row>
    <row r="11" spans="1:21" x14ac:dyDescent="0.2">
      <c r="B11" t="s">
        <v>80</v>
      </c>
      <c r="H11" s="2">
        <f>+H10*0.2</f>
        <v>16.66</v>
      </c>
      <c r="I11" s="2">
        <f t="shared" ref="I11:S11" si="7">+I10*0.2</f>
        <v>36.19312</v>
      </c>
      <c r="J11" s="2">
        <f t="shared" si="7"/>
        <v>61.851299840000003</v>
      </c>
      <c r="K11" s="2">
        <f t="shared" si="7"/>
        <v>86.830541434880004</v>
      </c>
      <c r="L11" s="2">
        <f t="shared" si="7"/>
        <v>109.60911876079615</v>
      </c>
      <c r="M11" s="2">
        <f t="shared" si="7"/>
        <v>132.46661056114166</v>
      </c>
      <c r="N11" s="2">
        <f t="shared" si="7"/>
        <v>151.05904209909818</v>
      </c>
      <c r="O11" s="2">
        <f t="shared" si="7"/>
        <v>157.22996644626932</v>
      </c>
      <c r="P11" s="2">
        <f t="shared" si="7"/>
        <v>163.61173072254994</v>
      </c>
      <c r="Q11" s="2">
        <f t="shared" si="7"/>
        <v>170.21121550917155</v>
      </c>
      <c r="R11" s="2">
        <f t="shared" si="7"/>
        <v>177.03552290300004</v>
      </c>
      <c r="S11" s="2">
        <f t="shared" si="7"/>
        <v>184.0919836184064</v>
      </c>
    </row>
    <row r="12" spans="1:21" x14ac:dyDescent="0.2">
      <c r="B12" t="s">
        <v>81</v>
      </c>
      <c r="F12" s="3">
        <v>-100</v>
      </c>
      <c r="G12" s="3">
        <v>-100</v>
      </c>
      <c r="H12" s="2">
        <f>+H10-H11</f>
        <v>66.64</v>
      </c>
      <c r="I12" s="2">
        <f t="shared" ref="I12:S12" si="8">+I10-I11</f>
        <v>144.77248</v>
      </c>
      <c r="J12" s="2">
        <f t="shared" si="8"/>
        <v>247.40519936000001</v>
      </c>
      <c r="K12" s="2">
        <f t="shared" si="8"/>
        <v>347.32216573952002</v>
      </c>
      <c r="L12" s="2">
        <f t="shared" si="8"/>
        <v>438.4364750431846</v>
      </c>
      <c r="M12" s="2">
        <f t="shared" si="8"/>
        <v>529.86644224456654</v>
      </c>
      <c r="N12" s="2">
        <f t="shared" si="8"/>
        <v>604.23616839639271</v>
      </c>
      <c r="O12" s="2">
        <f t="shared" si="8"/>
        <v>628.91986578507726</v>
      </c>
      <c r="P12" s="2">
        <f t="shared" si="8"/>
        <v>654.44692289019963</v>
      </c>
      <c r="Q12" s="2">
        <f t="shared" si="8"/>
        <v>680.8448620366861</v>
      </c>
      <c r="R12" s="2">
        <f t="shared" si="8"/>
        <v>708.14209161200017</v>
      </c>
      <c r="S12" s="2">
        <f t="shared" si="8"/>
        <v>736.36793447362561</v>
      </c>
    </row>
    <row r="13" spans="1:21" x14ac:dyDescent="0.2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21" x14ac:dyDescent="0.2">
      <c r="B14" t="s">
        <v>85</v>
      </c>
      <c r="E14" s="3">
        <v>595</v>
      </c>
      <c r="F14" s="3">
        <f>+E14-100</f>
        <v>495</v>
      </c>
      <c r="G14" s="3">
        <f>+F14-100</f>
        <v>395</v>
      </c>
      <c r="H14" s="2">
        <f>+G14+H12</f>
        <v>461.64</v>
      </c>
      <c r="I14" s="2">
        <f t="shared" ref="I14:S14" si="9">+H14+I12</f>
        <v>606.41247999999996</v>
      </c>
      <c r="J14" s="2">
        <f t="shared" si="9"/>
        <v>853.81767935999994</v>
      </c>
      <c r="K14" s="2">
        <f t="shared" si="9"/>
        <v>1201.13984509952</v>
      </c>
      <c r="L14" s="2">
        <f t="shared" si="9"/>
        <v>1639.5763201427046</v>
      </c>
      <c r="M14" s="2">
        <f t="shared" si="9"/>
        <v>2169.4427623872712</v>
      </c>
      <c r="N14" s="2">
        <f t="shared" si="9"/>
        <v>2773.6789307836639</v>
      </c>
      <c r="O14" s="2">
        <f t="shared" si="9"/>
        <v>3402.5987965687409</v>
      </c>
      <c r="P14" s="2">
        <f t="shared" si="9"/>
        <v>4057.0457194589408</v>
      </c>
      <c r="Q14" s="2">
        <f t="shared" si="9"/>
        <v>4737.890581495627</v>
      </c>
      <c r="R14" s="2">
        <f t="shared" si="9"/>
        <v>5446.0326731076275</v>
      </c>
      <c r="S14" s="2">
        <f t="shared" si="9"/>
        <v>6182.4006075812531</v>
      </c>
    </row>
    <row r="18" spans="2:3" x14ac:dyDescent="0.2">
      <c r="B18" t="s">
        <v>82</v>
      </c>
      <c r="C18" s="22">
        <v>0.04</v>
      </c>
    </row>
    <row r="19" spans="2:3" x14ac:dyDescent="0.2">
      <c r="B19" t="s">
        <v>83</v>
      </c>
      <c r="C19" s="22">
        <v>0.1</v>
      </c>
    </row>
    <row r="20" spans="2:3" x14ac:dyDescent="0.2">
      <c r="B20" t="s">
        <v>84</v>
      </c>
      <c r="C20" s="20">
        <f>NPV(C19,F12:S12)+E14</f>
        <v>2736.3237595416776</v>
      </c>
    </row>
    <row r="21" spans="2:3" x14ac:dyDescent="0.2">
      <c r="B21" t="s">
        <v>86</v>
      </c>
      <c r="C21" s="19">
        <f>C20/Main!L3</f>
        <v>46.453493553034583</v>
      </c>
    </row>
  </sheetData>
  <hyperlinks>
    <hyperlink ref="A1" location="Main!A1" display="Main" xr:uid="{8B01D235-FE3C-4AD1-B9B6-75C46DCD36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rusfertide</vt:lpstr>
      <vt:lpstr>JNJ-2113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2024-09-18T15:11:56Z</dcterms:created>
  <dcterms:modified xsi:type="dcterms:W3CDTF">2024-09-18T16:45:30Z</dcterms:modified>
</cp:coreProperties>
</file>