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F7F88BE0-BFC0-43C5-BC5F-27D195D00D46}" xr6:coauthVersionLast="47" xr6:coauthVersionMax="47" xr10:uidLastSave="{00000000-0000-0000-0000-000000000000}"/>
  <bookViews>
    <workbookView xWindow="-49125" yWindow="2745" windowWidth="32550" windowHeight="17250" firstSheet="4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7" l="1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5" i="10" l="1"/>
  <c r="H15" i="10"/>
  <c r="E15" i="10" s="1"/>
  <c r="G15" i="10" l="1"/>
  <c r="F17" i="10"/>
  <c r="H17" i="10"/>
  <c r="E17" i="10" s="1"/>
  <c r="G17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6" i="8"/>
  <c r="Z26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1" i="8"/>
  <c r="E21" i="8"/>
  <c r="G3" i="10" l="1"/>
  <c r="S3" i="10" s="1"/>
  <c r="G7" i="7"/>
  <c r="G21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4" i="10"/>
  <c r="H14" i="10"/>
  <c r="E14" i="10" s="1"/>
  <c r="F16" i="10"/>
  <c r="H16" i="10"/>
  <c r="E16" i="10" s="1"/>
  <c r="G16" i="10" l="1"/>
  <c r="G14" i="10"/>
  <c r="H12" i="10"/>
  <c r="F12" i="10"/>
  <c r="E12" i="10"/>
  <c r="H10" i="10"/>
  <c r="E10" i="10" s="1"/>
  <c r="H11" i="10"/>
  <c r="F11" i="10"/>
  <c r="E11" i="10"/>
  <c r="G12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2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<sst xmlns="http://schemas.openxmlformats.org/spreadsheetml/2006/main" count="1058" uniqueCount="649">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</sst>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7" fillId="0" borderId="0" applyNumberFormat="0" applyFill="0" applyBorder="0" applyAlignment="0" applyProtection="0"/>
  </cellStyleXfs>
  <cellXfs count="247">
    <xf numFmtId="0" fontId="0" fillId="0" borderId="0" xfId="0"/>
    <xf numFmtId="0" fontId="86" fillId="0" borderId="0" xfId="0" applyFont="1"/>
    <xf numFmtId="2" fontId="86" fillId="0" borderId="0" xfId="0" applyNumberFormat="1" applyFont="1" applyAlignment="1">
      <alignment horizontal="right"/>
    </xf>
    <xf numFmtId="3" fontId="86" fillId="0" borderId="0" xfId="0" applyNumberFormat="1" applyFont="1" applyAlignment="1">
      <alignment horizontal="right"/>
    </xf>
    <xf numFmtId="0" fontId="86" fillId="0" borderId="0" xfId="0" applyFont="1" applyAlignment="1">
      <alignment horizontal="right"/>
    </xf>
    <xf numFmtId="0" fontId="88" fillId="0" borderId="0" xfId="1" applyFont="1"/>
    <xf numFmtId="0" fontId="85" fillId="0" borderId="0" xfId="0" applyFont="1"/>
    <xf numFmtId="3" fontId="85" fillId="0" borderId="0" xfId="0" applyNumberFormat="1" applyFont="1" applyAlignment="1">
      <alignment horizontal="right"/>
    </xf>
    <xf numFmtId="0" fontId="84" fillId="0" borderId="0" xfId="0" applyFont="1"/>
    <xf numFmtId="3" fontId="89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3" xfId="0" applyFont="1" applyBorder="1"/>
    <xf numFmtId="0" fontId="80" fillId="0" borderId="4" xfId="0" applyFont="1" applyBorder="1"/>
    <xf numFmtId="2" fontId="80" fillId="0" borderId="4" xfId="0" applyNumberFormat="1" applyFont="1" applyBorder="1" applyAlignment="1">
      <alignment horizontal="right"/>
    </xf>
    <xf numFmtId="3" fontId="80" fillId="0" borderId="4" xfId="0" applyNumberFormat="1" applyFont="1" applyBorder="1" applyAlignment="1">
      <alignment horizontal="right"/>
    </xf>
    <xf numFmtId="0" fontId="80" fillId="0" borderId="4" xfId="0" applyFont="1" applyBorder="1" applyAlignment="1">
      <alignment horizontal="right"/>
    </xf>
    <xf numFmtId="0" fontId="80" fillId="0" borderId="4" xfId="0" applyFont="1" applyBorder="1" applyAlignment="1">
      <alignment horizontal="center"/>
    </xf>
    <xf numFmtId="0" fontId="80" fillId="0" borderId="5" xfId="0" applyFont="1" applyBorder="1" applyAlignment="1">
      <alignment horizontal="center"/>
    </xf>
    <xf numFmtId="0" fontId="80" fillId="0" borderId="0" xfId="0" applyFont="1"/>
    <xf numFmtId="2" fontId="80" fillId="0" borderId="0" xfId="0" applyNumberFormat="1" applyFont="1" applyAlignment="1">
      <alignment horizontal="right"/>
    </xf>
    <xf numFmtId="3" fontId="80" fillId="0" borderId="0" xfId="0" applyNumberFormat="1" applyFont="1" applyAlignment="1">
      <alignment horizontal="right"/>
    </xf>
    <xf numFmtId="0" fontId="80" fillId="0" borderId="0" xfId="0" applyFont="1" applyAlignment="1">
      <alignment horizontal="right"/>
    </xf>
    <xf numFmtId="0" fontId="80" fillId="0" borderId="0" xfId="0" applyFont="1" applyAlignment="1">
      <alignment horizontal="center"/>
    </xf>
    <xf numFmtId="0" fontId="80" fillId="0" borderId="1" xfId="0" applyFont="1" applyBorder="1" applyAlignment="1">
      <alignment horizontal="center"/>
    </xf>
    <xf numFmtId="0" fontId="80" fillId="0" borderId="2" xfId="0" applyFont="1" applyBorder="1" applyAlignment="1">
      <alignment horizontal="center"/>
    </xf>
    <xf numFmtId="4" fontId="80" fillId="0" borderId="0" xfId="0" applyNumberFormat="1" applyFont="1" applyAlignment="1">
      <alignment horizontal="center"/>
    </xf>
    <xf numFmtId="9" fontId="80" fillId="0" borderId="0" xfId="0" applyNumberFormat="1" applyFont="1" applyAlignment="1">
      <alignment horizontal="center"/>
    </xf>
    <xf numFmtId="164" fontId="80" fillId="0" borderId="1" xfId="0" applyNumberFormat="1" applyFont="1" applyBorder="1" applyAlignment="1">
      <alignment horizontal="center"/>
    </xf>
    <xf numFmtId="164" fontId="80" fillId="0" borderId="0" xfId="0" applyNumberFormat="1" applyFont="1" applyAlignment="1">
      <alignment horizontal="center"/>
    </xf>
    <xf numFmtId="164" fontId="80" fillId="0" borderId="2" xfId="0" applyNumberFormat="1" applyFont="1" applyBorder="1" applyAlignment="1">
      <alignment horizontal="center"/>
    </xf>
    <xf numFmtId="4" fontId="80" fillId="0" borderId="1" xfId="0" applyNumberFormat="1" applyFont="1" applyBorder="1" applyAlignment="1">
      <alignment horizontal="center"/>
    </xf>
    <xf numFmtId="4" fontId="80" fillId="0" borderId="2" xfId="0" applyNumberFormat="1" applyFont="1" applyBorder="1" applyAlignment="1">
      <alignment horizontal="center"/>
    </xf>
    <xf numFmtId="0" fontId="79" fillId="0" borderId="0" xfId="0" applyFont="1" applyAlignment="1">
      <alignment horizontal="right"/>
    </xf>
    <xf numFmtId="9" fontId="79" fillId="0" borderId="0" xfId="0" applyNumberFormat="1" applyFont="1" applyAlignment="1">
      <alignment horizontal="center"/>
    </xf>
    <xf numFmtId="164" fontId="80" fillId="0" borderId="6" xfId="0" applyNumberFormat="1" applyFont="1" applyBorder="1" applyAlignment="1">
      <alignment horizontal="center"/>
    </xf>
    <xf numFmtId="4" fontId="80" fillId="0" borderId="0" xfId="0" applyNumberFormat="1" applyFont="1" applyAlignment="1">
      <alignment horizontal="right"/>
    </xf>
    <xf numFmtId="0" fontId="78" fillId="0" borderId="4" xfId="0" applyFont="1" applyBorder="1" applyAlignment="1">
      <alignment horizontal="right"/>
    </xf>
    <xf numFmtId="14" fontId="80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7" fillId="0" borderId="4" xfId="0" applyFont="1" applyBorder="1" applyAlignment="1">
      <alignment horizontal="center"/>
    </xf>
    <xf numFmtId="0" fontId="80" fillId="0" borderId="5" xfId="0" applyFont="1" applyBorder="1"/>
    <xf numFmtId="3" fontId="83" fillId="0" borderId="0" xfId="0" applyNumberFormat="1" applyFont="1"/>
    <xf numFmtId="0" fontId="76" fillId="0" borderId="0" xfId="0" applyFont="1"/>
    <xf numFmtId="0" fontId="75" fillId="0" borderId="0" xfId="0" applyFont="1" applyAlignment="1">
      <alignment horizontal="right"/>
    </xf>
    <xf numFmtId="3" fontId="89" fillId="0" borderId="0" xfId="0" applyNumberFormat="1" applyFont="1"/>
    <xf numFmtId="4" fontId="89" fillId="0" borderId="0" xfId="0" applyNumberFormat="1" applyFont="1" applyAlignment="1">
      <alignment horizontal="right"/>
    </xf>
    <xf numFmtId="0" fontId="74" fillId="0" borderId="0" xfId="0" applyFont="1"/>
    <xf numFmtId="0" fontId="90" fillId="0" borderId="0" xfId="0" applyFont="1"/>
    <xf numFmtId="0" fontId="73" fillId="0" borderId="0" xfId="0" applyFont="1"/>
    <xf numFmtId="14" fontId="83" fillId="0" borderId="0" xfId="0" applyNumberFormat="1" applyFont="1"/>
    <xf numFmtId="0" fontId="83" fillId="0" borderId="0" xfId="0" applyFont="1" applyAlignment="1">
      <alignment horizontal="right"/>
    </xf>
    <xf numFmtId="3" fontId="72" fillId="0" borderId="0" xfId="0" applyNumberFormat="1" applyFont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3" xfId="0" applyFont="1" applyBorder="1" applyAlignment="1">
      <alignment horizontal="center"/>
    </xf>
    <xf numFmtId="0" fontId="72" fillId="0" borderId="6" xfId="0" applyFont="1" applyBorder="1" applyAlignment="1">
      <alignment horizontal="center"/>
    </xf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91" fillId="0" borderId="0" xfId="0" applyFont="1"/>
    <xf numFmtId="0" fontId="64" fillId="0" borderId="0" xfId="0" applyFont="1"/>
    <xf numFmtId="0" fontId="92" fillId="0" borderId="0" xfId="1" applyFont="1"/>
    <xf numFmtId="0" fontId="63" fillId="0" borderId="0" xfId="0" applyFont="1"/>
    <xf numFmtId="0" fontId="62" fillId="0" borderId="0" xfId="0" applyFont="1" applyAlignment="1">
      <alignment horizontal="right"/>
    </xf>
    <xf numFmtId="0" fontId="61" fillId="0" borderId="0" xfId="0" applyFont="1"/>
    <xf numFmtId="0" fontId="61" fillId="0" borderId="0" xfId="0" applyFont="1" applyAlignment="1">
      <alignment horizontal="right"/>
    </xf>
    <xf numFmtId="14" fontId="72" fillId="0" borderId="0" xfId="0" applyNumberFormat="1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88" fillId="0" borderId="1" xfId="1" applyFont="1" applyBorder="1"/>
    <xf numFmtId="9" fontId="80" fillId="0" borderId="2" xfId="0" applyNumberFormat="1" applyFont="1" applyBorder="1" applyAlignment="1">
      <alignment horizontal="center"/>
    </xf>
    <xf numFmtId="0" fontId="65" fillId="0" borderId="0" xfId="0" applyFont="1" applyAlignment="1">
      <alignment horizontal="right"/>
    </xf>
    <xf numFmtId="0" fontId="56" fillId="0" borderId="1" xfId="0" applyFont="1" applyBorder="1"/>
    <xf numFmtId="0" fontId="80" fillId="0" borderId="1" xfId="0" applyFont="1" applyBorder="1"/>
    <xf numFmtId="0" fontId="79" fillId="0" borderId="1" xfId="0" applyFont="1" applyBorder="1"/>
    <xf numFmtId="0" fontId="79" fillId="0" borderId="0" xfId="0" applyFont="1"/>
    <xf numFmtId="0" fontId="77" fillId="0" borderId="1" xfId="0" applyFont="1" applyBorder="1"/>
    <xf numFmtId="2" fontId="80" fillId="0" borderId="6" xfId="0" applyNumberFormat="1" applyFont="1" applyBorder="1" applyAlignment="1">
      <alignment horizontal="right"/>
    </xf>
    <xf numFmtId="3" fontId="80" fillId="0" borderId="6" xfId="0" applyNumberFormat="1" applyFont="1" applyBorder="1" applyAlignment="1">
      <alignment horizontal="right"/>
    </xf>
    <xf numFmtId="0" fontId="80" fillId="0" borderId="6" xfId="0" applyFont="1" applyBorder="1" applyAlignment="1">
      <alignment horizontal="right"/>
    </xf>
    <xf numFmtId="0" fontId="80" fillId="0" borderId="6" xfId="0" applyFont="1" applyBorder="1" applyAlignment="1">
      <alignment horizontal="center"/>
    </xf>
    <xf numFmtId="0" fontId="80" fillId="0" borderId="8" xfId="0" applyFont="1" applyBorder="1" applyAlignment="1">
      <alignment horizontal="center"/>
    </xf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88" fillId="0" borderId="0" xfId="1" applyFont="1" applyBorder="1"/>
    <xf numFmtId="0" fontId="47" fillId="0" borderId="0" xfId="0" applyFont="1"/>
    <xf numFmtId="0" fontId="46" fillId="0" borderId="0" xfId="0" applyFont="1" applyAlignment="1">
      <alignment horizontal="right"/>
    </xf>
    <xf numFmtId="0" fontId="45" fillId="0" borderId="0" xfId="0" applyFont="1"/>
    <xf numFmtId="0" fontId="45" fillId="0" borderId="0" xfId="0" applyFont="1" applyAlignment="1">
      <alignment horizontal="right"/>
    </xf>
    <xf numFmtId="3" fontId="45" fillId="0" borderId="0" xfId="0" applyNumberFormat="1" applyFont="1" applyAlignment="1">
      <alignment horizontal="right"/>
    </xf>
    <xf numFmtId="0" fontId="44" fillId="0" borderId="0" xfId="0" applyFont="1"/>
    <xf numFmtId="14" fontId="44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14" fontId="86" fillId="0" borderId="0" xfId="0" applyNumberFormat="1" applyFont="1"/>
    <xf numFmtId="0" fontId="42" fillId="0" borderId="0" xfId="0" applyFont="1"/>
    <xf numFmtId="165" fontId="80" fillId="0" borderId="0" xfId="0" applyNumberFormat="1" applyFont="1" applyAlignment="1">
      <alignment horizontal="right"/>
    </xf>
    <xf numFmtId="0" fontId="42" fillId="0" borderId="0" xfId="0" applyFont="1" applyAlignment="1">
      <alignment horizontal="right"/>
    </xf>
    <xf numFmtId="0" fontId="41" fillId="0" borderId="0" xfId="0" applyFont="1"/>
    <xf numFmtId="4" fontId="72" fillId="0" borderId="0" xfId="0" applyNumberFormat="1" applyFont="1"/>
    <xf numFmtId="0" fontId="40" fillId="0" borderId="0" xfId="0" applyFont="1"/>
    <xf numFmtId="0" fontId="39" fillId="0" borderId="1" xfId="0" applyFont="1" applyBorder="1"/>
    <xf numFmtId="0" fontId="39" fillId="0" borderId="0" xfId="0" applyFont="1"/>
    <xf numFmtId="0" fontId="38" fillId="0" borderId="0" xfId="0" applyFont="1"/>
    <xf numFmtId="3" fontId="93" fillId="0" borderId="0" xfId="0" applyNumberFormat="1" applyFont="1"/>
    <xf numFmtId="4" fontId="94" fillId="0" borderId="0" xfId="0" applyNumberFormat="1" applyFont="1" applyAlignment="1">
      <alignment horizontal="right"/>
    </xf>
    <xf numFmtId="3" fontId="93" fillId="0" borderId="0" xfId="0" applyNumberFormat="1" applyFont="1" applyAlignment="1">
      <alignment horizontal="right"/>
    </xf>
    <xf numFmtId="14" fontId="38" fillId="0" borderId="0" xfId="0" applyNumberFormat="1" applyFont="1" applyAlignment="1">
      <alignment horizontal="right"/>
    </xf>
    <xf numFmtId="3" fontId="74" fillId="0" borderId="0" xfId="0" applyNumberFormat="1" applyFont="1"/>
    <xf numFmtId="0" fontId="37" fillId="0" borderId="0" xfId="0" applyFont="1"/>
    <xf numFmtId="0" fontId="36" fillId="0" borderId="0" xfId="0" applyFont="1"/>
    <xf numFmtId="3" fontId="36" fillId="0" borderId="0" xfId="0" applyNumberFormat="1" applyFont="1"/>
    <xf numFmtId="3" fontId="36" fillId="2" borderId="0" xfId="0" applyNumberFormat="1" applyFont="1" applyFill="1"/>
    <xf numFmtId="0" fontId="35" fillId="0" borderId="0" xfId="0" applyFont="1" applyAlignment="1">
      <alignment horizontal="right"/>
    </xf>
    <xf numFmtId="0" fontId="35" fillId="0" borderId="0" xfId="0" applyFont="1"/>
    <xf numFmtId="3" fontId="35" fillId="0" borderId="0" xfId="0" applyNumberFormat="1" applyFont="1"/>
    <xf numFmtId="3" fontId="88" fillId="0" borderId="0" xfId="1" applyNumberFormat="1" applyFont="1"/>
    <xf numFmtId="0" fontId="34" fillId="0" borderId="0" xfId="0" applyFont="1"/>
    <xf numFmtId="4" fontId="80" fillId="0" borderId="0" xfId="0" applyNumberFormat="1" applyFont="1"/>
    <xf numFmtId="4" fontId="86" fillId="0" borderId="0" xfId="0" applyNumberFormat="1" applyFont="1"/>
    <xf numFmtId="0" fontId="33" fillId="0" borderId="1" xfId="0" applyFont="1" applyBorder="1"/>
    <xf numFmtId="0" fontId="33" fillId="0" borderId="0" xfId="0" applyFont="1"/>
    <xf numFmtId="0" fontId="32" fillId="0" borderId="0" xfId="0" applyFont="1"/>
    <xf numFmtId="0" fontId="91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6" fillId="0" borderId="1" xfId="0" applyFont="1" applyBorder="1"/>
    <xf numFmtId="0" fontId="26" fillId="0" borderId="3" xfId="0" applyFont="1" applyBorder="1"/>
    <xf numFmtId="0" fontId="26" fillId="0" borderId="4" xfId="0" applyFont="1" applyBorder="1"/>
    <xf numFmtId="2" fontId="26" fillId="0" borderId="4" xfId="0" applyNumberFormat="1" applyFont="1" applyBorder="1" applyAlignment="1">
      <alignment horizontal="right"/>
    </xf>
    <xf numFmtId="3" fontId="26" fillId="0" borderId="4" xfId="0" applyNumberFormat="1" applyFont="1" applyBorder="1" applyAlignment="1">
      <alignment horizontal="right"/>
    </xf>
    <xf numFmtId="0" fontId="26" fillId="0" borderId="4" xfId="0" applyFon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2" fontId="26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5" fillId="0" borderId="0" xfId="0" applyFont="1"/>
    <xf numFmtId="0" fontId="25" fillId="0" borderId="1" xfId="0" applyFont="1" applyBorder="1"/>
    <xf numFmtId="0" fontId="24" fillId="0" borderId="0" xfId="0" applyFont="1"/>
    <xf numFmtId="0" fontId="24" fillId="0" borderId="7" xfId="0" applyFont="1" applyBorder="1"/>
    <xf numFmtId="0" fontId="24" fillId="0" borderId="6" xfId="0" applyFont="1" applyBorder="1"/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1" fillId="0" borderId="0" xfId="0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166" fontId="83" fillId="0" borderId="0" xfId="0" applyNumberFormat="1" applyFont="1" applyAlignment="1">
      <alignment horizontal="center"/>
    </xf>
    <xf numFmtId="166" fontId="83" fillId="0" borderId="0" xfId="0" applyNumberFormat="1" applyFont="1"/>
    <xf numFmtId="166" fontId="80" fillId="0" borderId="0" xfId="0" applyNumberFormat="1" applyFont="1" applyAlignment="1">
      <alignment horizontal="center"/>
    </xf>
    <xf numFmtId="0" fontId="18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/>
    </xf>
    <xf numFmtId="0" fontId="14" fillId="0" borderId="1" xfId="0" applyFont="1" applyBorder="1"/>
    <xf numFmtId="0" fontId="14" fillId="0" borderId="0" xfId="0" applyFont="1"/>
    <xf numFmtId="2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3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/>
    <xf numFmtId="4" fontId="12" fillId="0" borderId="0" xfId="0" applyNumberFormat="1" applyFont="1" applyAlignment="1">
      <alignment horizontal="right"/>
    </xf>
    <xf numFmtId="0" fontId="86" fillId="0" borderId="0" xfId="0" quotePrefix="1" applyFont="1"/>
    <xf numFmtId="167" fontId="86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4" fontId="83" fillId="0" borderId="0" xfId="0" applyNumberFormat="1" applyFont="1" applyAlignment="1">
      <alignment horizontal="right"/>
    </xf>
    <xf numFmtId="0" fontId="9" fillId="0" borderId="0" xfId="0" applyFont="1"/>
    <xf numFmtId="0" fontId="9" fillId="0" borderId="1" xfId="0" applyFont="1" applyBorder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3" xfId="0" applyFont="1" applyBorder="1"/>
    <xf numFmtId="0" fontId="7" fillId="0" borderId="4" xfId="0" applyFont="1" applyBorder="1"/>
    <xf numFmtId="2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/>
    <xf numFmtId="3" fontId="7" fillId="0" borderId="0" xfId="0" applyNumberFormat="1" applyFont="1"/>
    <xf numFmtId="4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4" fontId="83" fillId="0" borderId="0" xfId="0" applyNumberFormat="1" applyFont="1"/>
    <xf numFmtId="0" fontId="6" fillId="0" borderId="0" xfId="0" applyFont="1" applyAlignment="1">
      <alignment horizontal="right"/>
    </xf>
    <xf numFmtId="3" fontId="6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4" fontId="74" fillId="0" borderId="0" xfId="0" applyNumberFormat="1" applyFont="1"/>
    <xf numFmtId="14" fontId="74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2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Relationship Id="rId9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27" sqref="G27"/>
    </sheetView>
  </sheetViews>
  <sheetFormatPr defaultColWidth="9.140625" defaultRowHeight="12.75" x14ac:dyDescent="0.2"/>
  <cols>
    <col min="1" max="1" width="5.42578125" style="148" bestFit="1" customWidth="1"/>
    <col min="2" max="2" width="18.28515625" style="148" bestFit="1" customWidth="1"/>
    <col min="3" max="16384" width="9.140625" style="148"/>
  </cols>
  <sheetData>
    <row r="1" spans="1:10" x14ac:dyDescent="0.2">
      <c r="A1" s="148" t="s">
        <v>142</v>
      </c>
    </row>
    <row r="2" spans="1:10" x14ac:dyDescent="0.2">
      <c r="D2" s="148" t="s">
        <v>450</v>
      </c>
    </row>
    <row r="3" spans="1:10" x14ac:dyDescent="0.2">
      <c r="B3" s="148" t="s">
        <v>454</v>
      </c>
      <c r="C3" s="148" t="s">
        <v>256</v>
      </c>
    </row>
    <row r="4" spans="1:10" x14ac:dyDescent="0.2">
      <c r="B4" s="148" t="s">
        <v>455</v>
      </c>
      <c r="C4" s="148" t="s">
        <v>456</v>
      </c>
    </row>
    <row r="5" spans="1:10" x14ac:dyDescent="0.2">
      <c r="B5" s="148" t="s">
        <v>414</v>
      </c>
      <c r="C5" s="148" t="s">
        <v>13</v>
      </c>
    </row>
    <row r="6" spans="1:10" x14ac:dyDescent="0.2">
      <c r="B6" s="148" t="s">
        <v>457</v>
      </c>
      <c r="C6" s="148" t="s">
        <v>13</v>
      </c>
    </row>
    <row r="7" spans="1:10" x14ac:dyDescent="0.2">
      <c r="B7" s="148" t="s">
        <v>458</v>
      </c>
      <c r="C7" s="148" t="s">
        <v>13</v>
      </c>
    </row>
    <row r="8" spans="1:10" x14ac:dyDescent="0.2">
      <c r="B8" s="148" t="s">
        <v>459</v>
      </c>
      <c r="C8" s="148" t="s">
        <v>460</v>
      </c>
      <c r="D8" s="148">
        <v>1999</v>
      </c>
    </row>
    <row r="9" spans="1:10" x14ac:dyDescent="0.2">
      <c r="B9" s="148" t="s">
        <v>461</v>
      </c>
      <c r="C9" s="148" t="s">
        <v>7</v>
      </c>
    </row>
    <row r="10" spans="1:10" x14ac:dyDescent="0.2">
      <c r="B10" s="151" t="s">
        <v>482</v>
      </c>
      <c r="C10" s="151" t="s">
        <v>256</v>
      </c>
      <c r="D10" s="148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2" bestFit="1" customWidth="1"/>
    <col min="2" max="16384" width="8.85546875" style="152"/>
  </cols>
  <sheetData>
    <row r="1" spans="1:4" x14ac:dyDescent="0.2">
      <c r="A1" s="5" t="s">
        <v>142</v>
      </c>
    </row>
    <row r="2" spans="1:4" x14ac:dyDescent="0.2">
      <c r="B2" s="152" t="s">
        <v>224</v>
      </c>
      <c r="C2" s="152" t="s">
        <v>485</v>
      </c>
      <c r="D2" s="152" t="s">
        <v>486</v>
      </c>
    </row>
    <row r="3" spans="1:4" x14ac:dyDescent="0.2">
      <c r="B3" s="152" t="s">
        <v>483</v>
      </c>
      <c r="C3" s="152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3" bestFit="1" customWidth="1"/>
    <col min="2" max="2" width="12.7109375" style="133" customWidth="1"/>
    <col min="3" max="16384" width="9.140625" style="133"/>
  </cols>
  <sheetData>
    <row r="1" spans="1:15" x14ac:dyDescent="0.2">
      <c r="A1" s="5" t="s">
        <v>142</v>
      </c>
    </row>
    <row r="2" spans="1:15" x14ac:dyDescent="0.2">
      <c r="B2" s="133" t="s">
        <v>0</v>
      </c>
      <c r="C2" s="133">
        <v>2010</v>
      </c>
      <c r="D2" s="133">
        <f>C2+1</f>
        <v>2011</v>
      </c>
      <c r="E2" s="133">
        <f t="shared" ref="E2:O2" si="0">D2+1</f>
        <v>2012</v>
      </c>
      <c r="F2" s="133">
        <f t="shared" si="0"/>
        <v>2013</v>
      </c>
      <c r="G2" s="133">
        <f t="shared" si="0"/>
        <v>2014</v>
      </c>
      <c r="H2" s="133">
        <f t="shared" si="0"/>
        <v>2015</v>
      </c>
      <c r="I2" s="133">
        <f t="shared" si="0"/>
        <v>2016</v>
      </c>
      <c r="J2" s="133">
        <f t="shared" si="0"/>
        <v>2017</v>
      </c>
      <c r="K2" s="133">
        <f t="shared" si="0"/>
        <v>2018</v>
      </c>
      <c r="L2" s="133">
        <f t="shared" si="0"/>
        <v>2019</v>
      </c>
      <c r="M2" s="133">
        <f t="shared" si="0"/>
        <v>2020</v>
      </c>
      <c r="N2" s="133">
        <f t="shared" si="0"/>
        <v>2021</v>
      </c>
      <c r="O2" s="133">
        <f t="shared" si="0"/>
        <v>2022</v>
      </c>
    </row>
    <row r="3" spans="1:15" x14ac:dyDescent="0.2">
      <c r="B3" s="137" t="s">
        <v>417</v>
      </c>
      <c r="C3" s="134">
        <f>SUM(C5:C25)</f>
        <v>62484</v>
      </c>
      <c r="D3" s="134">
        <f t="shared" ref="D3:O3" si="1">SUM(D5:D25)</f>
        <v>69943</v>
      </c>
      <c r="E3" s="134">
        <f t="shared" si="1"/>
        <v>119762</v>
      </c>
      <c r="F3" s="134">
        <f t="shared" si="1"/>
        <v>141240</v>
      </c>
      <c r="G3" s="134">
        <f t="shared" si="1"/>
        <v>169944</v>
      </c>
      <c r="H3" s="134">
        <f t="shared" si="1"/>
        <v>194377</v>
      </c>
      <c r="I3" s="134">
        <f t="shared" si="1"/>
        <v>253177</v>
      </c>
      <c r="J3" s="134">
        <f t="shared" si="1"/>
        <v>305432</v>
      </c>
      <c r="K3" s="134">
        <f t="shared" si="1"/>
        <v>371389</v>
      </c>
      <c r="L3" s="134">
        <f t="shared" si="1"/>
        <v>436330</v>
      </c>
      <c r="M3" s="134">
        <f t="shared" si="1"/>
        <v>503965</v>
      </c>
      <c r="N3" s="134">
        <f t="shared" si="1"/>
        <v>718643</v>
      </c>
      <c r="O3" s="138">
        <f t="shared" si="1"/>
        <v>825015.8</v>
      </c>
    </row>
    <row r="5" spans="1:15" x14ac:dyDescent="0.2">
      <c r="B5" s="133" t="s">
        <v>9</v>
      </c>
      <c r="E5" s="134">
        <v>46039</v>
      </c>
      <c r="F5" s="134">
        <v>55519</v>
      </c>
      <c r="G5" s="134">
        <v>66001</v>
      </c>
      <c r="H5" s="134">
        <v>74989</v>
      </c>
      <c r="I5" s="134">
        <v>90272</v>
      </c>
      <c r="J5" s="134">
        <v>110855</v>
      </c>
      <c r="K5" s="134">
        <v>136819</v>
      </c>
      <c r="L5" s="134">
        <v>161857</v>
      </c>
      <c r="M5" s="134">
        <v>182527</v>
      </c>
      <c r="N5" s="134">
        <v>257637</v>
      </c>
      <c r="O5" s="134">
        <v>282836</v>
      </c>
    </row>
    <row r="6" spans="1:15" x14ac:dyDescent="0.2">
      <c r="B6" s="133" t="s">
        <v>7</v>
      </c>
      <c r="C6" s="134">
        <v>62484</v>
      </c>
      <c r="D6" s="134">
        <v>69943</v>
      </c>
      <c r="E6" s="134">
        <v>73723</v>
      </c>
      <c r="F6" s="134">
        <v>77849</v>
      </c>
      <c r="G6" s="134">
        <v>86833</v>
      </c>
      <c r="H6" s="134">
        <v>93580</v>
      </c>
      <c r="I6" s="134">
        <v>85320</v>
      </c>
      <c r="J6" s="134">
        <v>96571</v>
      </c>
      <c r="K6" s="134">
        <v>110360</v>
      </c>
      <c r="L6" s="134">
        <v>125843</v>
      </c>
      <c r="M6" s="134">
        <v>143015</v>
      </c>
      <c r="N6" s="134">
        <v>184903</v>
      </c>
      <c r="O6" s="134">
        <v>204094</v>
      </c>
    </row>
    <row r="7" spans="1:15" x14ac:dyDescent="0.2">
      <c r="B7" s="133" t="s">
        <v>13</v>
      </c>
      <c r="F7" s="134">
        <v>7872</v>
      </c>
      <c r="G7" s="134">
        <v>12466</v>
      </c>
      <c r="H7" s="134">
        <v>17928</v>
      </c>
      <c r="I7" s="134">
        <v>27638</v>
      </c>
      <c r="J7" s="134">
        <v>40653</v>
      </c>
      <c r="K7" s="134">
        <v>55838</v>
      </c>
      <c r="L7" s="134">
        <v>70697</v>
      </c>
      <c r="M7" s="134">
        <v>85965</v>
      </c>
      <c r="N7" s="134">
        <v>117929</v>
      </c>
      <c r="O7" s="134">
        <v>116609</v>
      </c>
    </row>
    <row r="8" spans="1:15" x14ac:dyDescent="0.2">
      <c r="B8" s="133" t="s">
        <v>405</v>
      </c>
      <c r="G8" s="134">
        <v>4644</v>
      </c>
      <c r="H8" s="134">
        <v>7880</v>
      </c>
      <c r="I8" s="134">
        <v>12219</v>
      </c>
      <c r="J8" s="134">
        <v>17459</v>
      </c>
      <c r="K8" s="134">
        <v>25655</v>
      </c>
      <c r="L8" s="134">
        <v>35026</v>
      </c>
      <c r="M8" s="134">
        <v>45370</v>
      </c>
      <c r="N8" s="134">
        <v>62202</v>
      </c>
      <c r="O8" s="134">
        <v>80096</v>
      </c>
    </row>
    <row r="9" spans="1:15" x14ac:dyDescent="0.2">
      <c r="B9" s="133" t="s">
        <v>23</v>
      </c>
      <c r="I9" s="134">
        <v>37728</v>
      </c>
      <c r="J9" s="134">
        <v>39831</v>
      </c>
      <c r="K9" s="134">
        <v>39506</v>
      </c>
      <c r="L9" s="134">
        <v>39068</v>
      </c>
      <c r="M9" s="134">
        <v>40479</v>
      </c>
      <c r="N9" s="134">
        <v>42440</v>
      </c>
      <c r="O9" s="134">
        <v>46073</v>
      </c>
    </row>
    <row r="10" spans="1:15" x14ac:dyDescent="0.2">
      <c r="B10" s="133" t="s">
        <v>25</v>
      </c>
      <c r="N10" s="134">
        <v>27843</v>
      </c>
      <c r="O10" s="135">
        <f>N10*1.1</f>
        <v>30627.300000000003</v>
      </c>
    </row>
    <row r="11" spans="1:15" x14ac:dyDescent="0.2">
      <c r="B11" s="133" t="s">
        <v>21</v>
      </c>
      <c r="O11" s="135">
        <v>30294</v>
      </c>
    </row>
    <row r="12" spans="1:15" x14ac:dyDescent="0.2">
      <c r="B12" s="133" t="s">
        <v>19</v>
      </c>
      <c r="N12" s="134">
        <v>15785</v>
      </c>
      <c r="O12" s="135">
        <f>N12*1.1</f>
        <v>17363.5</v>
      </c>
    </row>
    <row r="13" spans="1:15" x14ac:dyDescent="0.2">
      <c r="B13" s="133" t="s">
        <v>406</v>
      </c>
      <c r="J13" s="134">
        <v>63</v>
      </c>
      <c r="K13" s="134">
        <v>150</v>
      </c>
      <c r="L13" s="134">
        <v>350</v>
      </c>
      <c r="M13" s="134">
        <v>2640</v>
      </c>
      <c r="N13" s="134">
        <v>4697</v>
      </c>
      <c r="O13" s="134">
        <v>9401</v>
      </c>
    </row>
    <row r="14" spans="1:15" x14ac:dyDescent="0.2">
      <c r="B14" s="133" t="s">
        <v>256</v>
      </c>
    </row>
    <row r="15" spans="1:15" x14ac:dyDescent="0.2">
      <c r="B15" s="133" t="s">
        <v>44</v>
      </c>
    </row>
    <row r="16" spans="1:15" x14ac:dyDescent="0.2">
      <c r="B16" s="133" t="s">
        <v>172</v>
      </c>
    </row>
    <row r="17" spans="2:15" x14ac:dyDescent="0.2">
      <c r="B17" s="133" t="s">
        <v>29</v>
      </c>
    </row>
    <row r="18" spans="2:15" x14ac:dyDescent="0.2">
      <c r="B18" s="133" t="s">
        <v>407</v>
      </c>
    </row>
    <row r="19" spans="2:15" x14ac:dyDescent="0.2">
      <c r="B19" s="137" t="s">
        <v>174</v>
      </c>
      <c r="K19" s="134">
        <v>3061</v>
      </c>
      <c r="L19" s="134">
        <v>3489</v>
      </c>
      <c r="M19" s="134">
        <v>3969</v>
      </c>
      <c r="N19" s="134">
        <v>5107</v>
      </c>
      <c r="O19" s="134">
        <v>6622</v>
      </c>
    </row>
    <row r="20" spans="2:15" x14ac:dyDescent="0.2">
      <c r="B20" s="133" t="s">
        <v>33</v>
      </c>
    </row>
    <row r="21" spans="2:15" x14ac:dyDescent="0.2">
      <c r="B21" s="133" t="s">
        <v>391</v>
      </c>
      <c r="N21" s="134">
        <v>100</v>
      </c>
      <c r="O21" s="134">
        <v>1000</v>
      </c>
    </row>
    <row r="22" spans="2:15" x14ac:dyDescent="0.2">
      <c r="B22" s="133" t="s">
        <v>40</v>
      </c>
    </row>
    <row r="23" spans="2:15" x14ac:dyDescent="0.2">
      <c r="B23" s="133" t="s">
        <v>50</v>
      </c>
    </row>
    <row r="24" spans="2:15" x14ac:dyDescent="0.2">
      <c r="B24" s="133" t="s">
        <v>52</v>
      </c>
    </row>
    <row r="25" spans="2:15" x14ac:dyDescent="0.2">
      <c r="B25" s="133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7" t="s">
        <v>415</v>
      </c>
    </row>
    <row r="3" spans="1:3" x14ac:dyDescent="0.2">
      <c r="A3" s="5"/>
      <c r="B3" s="137" t="s">
        <v>411</v>
      </c>
    </row>
    <row r="4" spans="1:3" x14ac:dyDescent="0.2">
      <c r="A4" s="5"/>
      <c r="B4" s="137" t="s">
        <v>414</v>
      </c>
    </row>
    <row r="5" spans="1:3" x14ac:dyDescent="0.2">
      <c r="A5" s="5"/>
      <c r="B5" s="137" t="s">
        <v>412</v>
      </c>
    </row>
    <row r="6" spans="1:3" x14ac:dyDescent="0.2">
      <c r="A6" s="5"/>
      <c r="B6" s="137" t="s">
        <v>416</v>
      </c>
    </row>
    <row r="7" spans="1:3" x14ac:dyDescent="0.2">
      <c r="A7" s="5"/>
      <c r="B7" s="137" t="s">
        <v>413</v>
      </c>
    </row>
    <row r="8" spans="1:3" x14ac:dyDescent="0.2">
      <c r="A8" s="5"/>
      <c r="B8" s="137"/>
    </row>
    <row r="9" spans="1:3" x14ac:dyDescent="0.2">
      <c r="A9" s="5"/>
      <c r="B9" s="137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3" t="s">
        <v>408</v>
      </c>
      <c r="C14" s="133" t="s">
        <v>409</v>
      </c>
    </row>
    <row r="15" spans="1:3" x14ac:dyDescent="0.2">
      <c r="B15" s="133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2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12" t="s">
        <v>616</v>
      </c>
      <c r="J4" s="130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4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2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6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1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4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2" t="s">
        <v>253</v>
      </c>
      <c r="B11" s="143" t="s">
        <v>421</v>
      </c>
      <c r="C11" s="144" t="s">
        <v>422</v>
      </c>
      <c r="D11" s="21">
        <v>547.96</v>
      </c>
      <c r="E11" s="22">
        <v>58644</v>
      </c>
      <c r="O11" s="26"/>
    </row>
    <row r="12" spans="1:24" x14ac:dyDescent="0.2">
      <c r="A12" s="152" t="s">
        <v>253</v>
      </c>
      <c r="B12" s="143" t="s">
        <v>423</v>
      </c>
      <c r="C12" s="144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2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2" t="s">
        <v>253</v>
      </c>
      <c r="B15" s="143" t="s">
        <v>442</v>
      </c>
      <c r="C15" s="144" t="s">
        <v>443</v>
      </c>
      <c r="D15" s="21">
        <v>34.99</v>
      </c>
      <c r="E15" s="22">
        <v>18901</v>
      </c>
      <c r="O15" s="26"/>
    </row>
    <row r="16" spans="1:24" x14ac:dyDescent="0.2">
      <c r="A16" s="152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2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2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2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2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2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2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2"/>
      <c r="B29" s="87" t="s">
        <v>333</v>
      </c>
      <c r="C29" s="177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8" t="s">
        <v>616</v>
      </c>
      <c r="J29" s="39">
        <v>45546</v>
      </c>
      <c r="O29" s="26"/>
    </row>
    <row r="30" spans="1:24" x14ac:dyDescent="0.2">
      <c r="A30" s="152" t="s">
        <v>253</v>
      </c>
      <c r="B30" s="153" t="s">
        <v>502</v>
      </c>
      <c r="C30" s="152" t="s">
        <v>503</v>
      </c>
      <c r="O30" s="26"/>
    </row>
    <row r="31" spans="1:24" x14ac:dyDescent="0.2">
      <c r="A31" s="152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2" t="s">
        <v>253</v>
      </c>
      <c r="B36" s="153" t="s">
        <v>492</v>
      </c>
      <c r="C36" s="152" t="s">
        <v>493</v>
      </c>
      <c r="O36" s="26"/>
    </row>
    <row r="37" spans="1:15" x14ac:dyDescent="0.2">
      <c r="A37" s="152" t="s">
        <v>253</v>
      </c>
      <c r="B37" s="153" t="s">
        <v>427</v>
      </c>
      <c r="C37" s="152" t="s">
        <v>428</v>
      </c>
      <c r="O37" s="26"/>
    </row>
    <row r="38" spans="1:15" x14ac:dyDescent="0.2">
      <c r="A38" s="152" t="s">
        <v>253</v>
      </c>
      <c r="B38" s="153" t="s">
        <v>525</v>
      </c>
      <c r="C38" s="152" t="s">
        <v>526</v>
      </c>
      <c r="O38" s="26"/>
    </row>
    <row r="39" spans="1:15" x14ac:dyDescent="0.2">
      <c r="A39" s="152"/>
      <c r="B39" s="210" t="s">
        <v>637</v>
      </c>
      <c r="C39" s="209" t="s">
        <v>636</v>
      </c>
      <c r="O39" s="26"/>
    </row>
    <row r="40" spans="1:15" x14ac:dyDescent="0.2">
      <c r="A40" s="152" t="s">
        <v>253</v>
      </c>
      <c r="B40" s="153" t="s">
        <v>529</v>
      </c>
      <c r="C40" s="152" t="s">
        <v>530</v>
      </c>
      <c r="O40" s="26"/>
    </row>
    <row r="41" spans="1:15" x14ac:dyDescent="0.2">
      <c r="A41" s="152" t="s">
        <v>253</v>
      </c>
      <c r="B41" s="153" t="s">
        <v>537</v>
      </c>
      <c r="C41" s="152" t="s">
        <v>538</v>
      </c>
      <c r="O41" s="26"/>
    </row>
    <row r="42" spans="1:15" x14ac:dyDescent="0.2">
      <c r="A42" s="165" t="s">
        <v>253</v>
      </c>
      <c r="B42" s="166" t="s">
        <v>545</v>
      </c>
      <c r="C42" s="165" t="s">
        <v>546</v>
      </c>
      <c r="O42" s="26"/>
    </row>
    <row r="43" spans="1:15" x14ac:dyDescent="0.2">
      <c r="A43" s="167" t="s">
        <v>253</v>
      </c>
      <c r="B43" s="168" t="s">
        <v>585</v>
      </c>
      <c r="C43" s="169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49" activePane="bottomRight" state="frozen"/>
      <selection pane="topRight" activeCell="C1" sqref="C1"/>
      <selection pane="bottomLeft" activeCell="A3" sqref="A3"/>
      <selection pane="bottomRight" activeCell="I63" sqref="I63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7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189.57</v>
      </c>
      <c r="E3" s="22">
        <f>+D3*[7]Main!$K$3</f>
        <v>1972784.3590615501</v>
      </c>
      <c r="F3" s="22">
        <f>[7]Main!$K$5-[7]Main!$K$6</f>
        <v>27440</v>
      </c>
      <c r="G3" s="22">
        <f>+E3-F3</f>
        <v>1945344.3590615501</v>
      </c>
      <c r="H3" s="22">
        <f>+[7]Main!$K$3</f>
        <v>10406.627415000001</v>
      </c>
      <c r="I3" s="171" t="s">
        <v>613</v>
      </c>
      <c r="J3" s="39">
        <v>45467</v>
      </c>
      <c r="K3" s="27">
        <f>+[7]Model!$BZ$49</f>
        <v>139.74223695214539</v>
      </c>
      <c r="L3" s="28">
        <f>K3/D3-1</f>
        <v>-0.26284624702144121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361.81196515577085</v>
      </c>
      <c r="Q3" s="30">
        <f>+($G3/$H3)/U3</f>
        <v>64.45740009696668</v>
      </c>
      <c r="R3" s="30">
        <f>+($G3/$H3)/V3</f>
        <v>68.041861578686976</v>
      </c>
      <c r="S3" s="31">
        <f>+($G3/$H3)/W3</f>
        <v>43.997484679554368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2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8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2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2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8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11" t="s">
        <v>616</v>
      </c>
      <c r="J7" s="81">
        <v>45565</v>
      </c>
      <c r="X7" s="57">
        <v>1911</v>
      </c>
    </row>
    <row r="8" spans="1:24" s="20" customFormat="1" x14ac:dyDescent="0.2">
      <c r="A8" s="152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11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2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70" t="s">
        <v>613</v>
      </c>
      <c r="J9" s="81">
        <v>45446</v>
      </c>
    </row>
    <row r="10" spans="1:24" x14ac:dyDescent="0.2">
      <c r="A10" s="152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11" t="s">
        <v>616</v>
      </c>
      <c r="J10" s="39">
        <v>45565</v>
      </c>
      <c r="X10" s="57">
        <v>2005</v>
      </c>
    </row>
    <row r="11" spans="1:24" x14ac:dyDescent="0.2">
      <c r="A11" s="152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11" t="s">
        <v>616</v>
      </c>
      <c r="J11" s="81">
        <v>45565</v>
      </c>
      <c r="X11" s="57">
        <v>2002</v>
      </c>
    </row>
    <row r="12" spans="1:24" x14ac:dyDescent="0.2">
      <c r="A12" s="152" t="s">
        <v>253</v>
      </c>
      <c r="B12" s="5" t="s">
        <v>44</v>
      </c>
      <c r="C12" s="20" t="s">
        <v>45</v>
      </c>
      <c r="D12" s="21">
        <v>109.1</v>
      </c>
      <c r="E12" s="22">
        <f>+D12*[16]Main!$M$3</f>
        <v>34296.785099999994</v>
      </c>
      <c r="F12" s="22">
        <f>+[16]Main!$M$5-[16]Main!$M$6</f>
        <v>5027.4579999999996</v>
      </c>
      <c r="G12" s="22">
        <f t="shared" si="1"/>
        <v>29269.327099999995</v>
      </c>
      <c r="H12" s="22">
        <f>+[16]Main!$M$3</f>
        <v>314.36099999999999</v>
      </c>
      <c r="I12" s="34" t="s">
        <v>14</v>
      </c>
      <c r="X12" s="57">
        <v>2012</v>
      </c>
    </row>
    <row r="13" spans="1:24" x14ac:dyDescent="0.2">
      <c r="A13" s="152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+[17]Main!$M$5-[17]Main!$M$6</f>
        <v>2838.5529999999999</v>
      </c>
      <c r="G13" s="22">
        <f t="shared" si="1"/>
        <v>26094.60988425</v>
      </c>
      <c r="H13" s="22">
        <f>+[17]Main!$M$3</f>
        <v>154.847005</v>
      </c>
      <c r="I13" s="48" t="s">
        <v>14</v>
      </c>
      <c r="J13" s="39">
        <v>45512</v>
      </c>
      <c r="X13" s="57">
        <v>2007</v>
      </c>
    </row>
    <row r="14" spans="1:24" x14ac:dyDescent="0.2">
      <c r="A14" s="152" t="s">
        <v>253</v>
      </c>
      <c r="B14" s="5" t="s">
        <v>52</v>
      </c>
      <c r="C14" s="20" t="s">
        <v>53</v>
      </c>
      <c r="D14" s="21">
        <v>112.31</v>
      </c>
      <c r="E14" s="22">
        <f>+D14*H14</f>
        <v>37865.572005250004</v>
      </c>
      <c r="F14" s="56">
        <f>+[18]Main!$O$5-[18]Main!$O$6</f>
        <v>970</v>
      </c>
      <c r="G14" s="22">
        <f t="shared" si="1"/>
        <v>36895.572005250004</v>
      </c>
      <c r="H14" s="56">
        <f>+[18]Main!$O$3</f>
        <v>337.15227500000003</v>
      </c>
      <c r="I14" s="80" t="s">
        <v>200</v>
      </c>
      <c r="J14" s="81">
        <v>45514</v>
      </c>
      <c r="X14" s="57">
        <v>2010</v>
      </c>
    </row>
    <row r="15" spans="1:24" s="20" customFormat="1" x14ac:dyDescent="0.2">
      <c r="A15" s="152" t="s">
        <v>253</v>
      </c>
      <c r="B15" s="5" t="s">
        <v>183</v>
      </c>
      <c r="C15" s="20" t="s">
        <v>184</v>
      </c>
      <c r="D15" s="21">
        <v>277.5</v>
      </c>
      <c r="E15" s="22">
        <f>+D15*H15</f>
        <v>20354.8178625</v>
      </c>
      <c r="F15" s="22">
        <f>+[19]Main!$J$5-[19]Main!$J$6</f>
        <v>930</v>
      </c>
      <c r="G15" s="22">
        <f>+E15-F15</f>
        <v>19424.8178625</v>
      </c>
      <c r="H15" s="22">
        <f>+[19]Main!$J$3</f>
        <v>73.350695000000002</v>
      </c>
      <c r="I15" s="188" t="s">
        <v>613</v>
      </c>
      <c r="J15" s="39">
        <v>45413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2007</v>
      </c>
    </row>
    <row r="16" spans="1:24" s="20" customFormat="1" x14ac:dyDescent="0.2">
      <c r="A16" s="152" t="s">
        <v>253</v>
      </c>
      <c r="B16" s="108" t="s">
        <v>191</v>
      </c>
      <c r="C16" s="20" t="s">
        <v>192</v>
      </c>
      <c r="D16" s="21">
        <v>89</v>
      </c>
      <c r="E16" s="22">
        <f>+D16*H16</f>
        <v>14972.145328000002</v>
      </c>
      <c r="F16" s="22">
        <f>+[20]Main!$K$5-[20]Main!$K$6</f>
        <v>1165</v>
      </c>
      <c r="G16" s="22">
        <f>+E16-F16</f>
        <v>13807.145328000002</v>
      </c>
      <c r="H16" s="22">
        <f>+[20]Main!$K$3</f>
        <v>168.22635200000002</v>
      </c>
      <c r="I16" s="78" t="s">
        <v>200</v>
      </c>
      <c r="J16" s="39">
        <v>45514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  <c r="X16" s="20">
        <v>2009</v>
      </c>
    </row>
    <row r="17" spans="1:24" x14ac:dyDescent="0.2">
      <c r="A17" s="152" t="s">
        <v>253</v>
      </c>
      <c r="B17" s="5" t="s">
        <v>295</v>
      </c>
      <c r="C17" s="82" t="s">
        <v>176</v>
      </c>
      <c r="D17" s="21">
        <v>66.94</v>
      </c>
      <c r="E17" s="22">
        <f>+D17*H17</f>
        <v>20603.4100521</v>
      </c>
      <c r="F17" s="22">
        <f>+[21]Main!$J$5-[21]Main!$J$6</f>
        <v>7958.5609999999997</v>
      </c>
      <c r="G17" s="22">
        <f>E17-F17</f>
        <v>12644.8490521</v>
      </c>
      <c r="H17" s="22">
        <f>+[21]Main!$J$3</f>
        <v>307.78921500000001</v>
      </c>
      <c r="I17" s="188" t="s">
        <v>616</v>
      </c>
      <c r="J17" s="39">
        <v>45555</v>
      </c>
      <c r="X17" s="57">
        <v>2011</v>
      </c>
    </row>
    <row r="18" spans="1:24" s="20" customFormat="1" x14ac:dyDescent="0.2">
      <c r="A18" s="152" t="s">
        <v>253</v>
      </c>
      <c r="B18" s="189" t="s">
        <v>68</v>
      </c>
      <c r="C18" s="190" t="s">
        <v>69</v>
      </c>
      <c r="D18" s="191">
        <v>472.5</v>
      </c>
      <c r="E18" s="192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s="20" customFormat="1" x14ac:dyDescent="0.2">
      <c r="A19" s="152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2" t="s">
        <v>253</v>
      </c>
      <c r="B20" s="125" t="s">
        <v>394</v>
      </c>
      <c r="C20" s="152" t="s">
        <v>501</v>
      </c>
      <c r="D20" s="21">
        <v>26</v>
      </c>
      <c r="E20" s="22">
        <v>7120</v>
      </c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2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2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2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2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2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2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2" t="s">
        <v>253</v>
      </c>
      <c r="B28" s="144" t="s">
        <v>429</v>
      </c>
      <c r="C28" s="144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2" t="s">
        <v>253</v>
      </c>
      <c r="B29" s="144" t="s">
        <v>427</v>
      </c>
      <c r="C29" s="144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2" t="s">
        <v>253</v>
      </c>
      <c r="B30" s="153" t="s">
        <v>506</v>
      </c>
      <c r="C30" s="152" t="s">
        <v>507</v>
      </c>
      <c r="D30" s="21"/>
      <c r="E30" s="22"/>
    </row>
    <row r="31" spans="1:24" x14ac:dyDescent="0.2">
      <c r="A31" s="152" t="s">
        <v>253</v>
      </c>
      <c r="B31" s="153" t="s">
        <v>499</v>
      </c>
      <c r="C31" s="152" t="s">
        <v>500</v>
      </c>
      <c r="D31" s="21"/>
      <c r="E31" s="22"/>
    </row>
    <row r="32" spans="1:24" x14ac:dyDescent="0.2">
      <c r="A32" s="152" t="s">
        <v>253</v>
      </c>
      <c r="B32" s="153" t="s">
        <v>508</v>
      </c>
      <c r="C32" s="152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2" t="s">
        <v>253</v>
      </c>
      <c r="B34" s="144" t="s">
        <v>435</v>
      </c>
      <c r="C34" s="144" t="s">
        <v>436</v>
      </c>
      <c r="D34" s="21"/>
      <c r="E34" s="22"/>
    </row>
    <row r="35" spans="1:24" x14ac:dyDescent="0.2">
      <c r="A35" s="167" t="s">
        <v>253</v>
      </c>
      <c r="B35" s="144" t="s">
        <v>437</v>
      </c>
      <c r="C35" s="144" t="s">
        <v>438</v>
      </c>
      <c r="D35" s="21"/>
      <c r="E35" s="22"/>
    </row>
    <row r="36" spans="1:24" x14ac:dyDescent="0.2">
      <c r="A36" s="152" t="s">
        <v>253</v>
      </c>
      <c r="B36" s="144" t="s">
        <v>439</v>
      </c>
      <c r="C36" s="144" t="s">
        <v>89</v>
      </c>
      <c r="D36" s="21"/>
      <c r="E36" s="22"/>
    </row>
    <row r="37" spans="1:24" x14ac:dyDescent="0.2">
      <c r="A37" s="152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2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2" t="s">
        <v>253</v>
      </c>
      <c r="B39" s="152" t="s">
        <v>490</v>
      </c>
      <c r="C39" s="152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2" t="s">
        <v>253</v>
      </c>
      <c r="B40" s="152" t="s">
        <v>494</v>
      </c>
      <c r="C40" s="152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7" t="s">
        <v>253</v>
      </c>
      <c r="B41" s="5" t="s">
        <v>579</v>
      </c>
      <c r="C41" s="167" t="s">
        <v>580</v>
      </c>
      <c r="D41" s="21">
        <v>32.659999999999997</v>
      </c>
      <c r="E41" s="22">
        <f>+D41*H41</f>
        <v>3319.1307980999995</v>
      </c>
      <c r="F41" s="22">
        <f>+[22]Main!$M$5-[22]Main!$M$6</f>
        <v>487.66099999999994</v>
      </c>
      <c r="G41" s="22">
        <f>+E41-F41</f>
        <v>2831.4697980999995</v>
      </c>
      <c r="H41" s="22">
        <f>+[22]Main!$M$3</f>
        <v>101.626785</v>
      </c>
      <c r="I41" s="206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7" t="s">
        <v>253</v>
      </c>
      <c r="B42" s="5" t="s">
        <v>563</v>
      </c>
      <c r="C42" s="167" t="s">
        <v>564</v>
      </c>
      <c r="D42" s="21">
        <v>11.1</v>
      </c>
      <c r="E42" s="22">
        <f>+D42*H42</f>
        <v>3353.2079243999997</v>
      </c>
      <c r="F42" s="22">
        <f>+[23]Main!$H$5-[23]Main!$H$6</f>
        <v>1019.114</v>
      </c>
      <c r="G42" s="22">
        <f>+E42-F42</f>
        <v>2334.0939243999997</v>
      </c>
      <c r="H42" s="22">
        <f>+[23]Main!$H$3</f>
        <v>302.09080399999999</v>
      </c>
      <c r="I42" s="206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7" t="s">
        <v>253</v>
      </c>
      <c r="B43" s="5" t="s">
        <v>581</v>
      </c>
      <c r="C43" s="167" t="s">
        <v>582</v>
      </c>
      <c r="D43" s="21">
        <v>27.26</v>
      </c>
      <c r="E43" s="22">
        <f>+D43*H43</f>
        <v>1998.6214199999999</v>
      </c>
      <c r="F43" s="22">
        <f>+[24]Main!$K$5-[24]Main!$K$6</f>
        <v>-11.827999999999975</v>
      </c>
      <c r="G43" s="22">
        <f>+E43-F43</f>
        <v>2010.4494199999999</v>
      </c>
      <c r="H43" s="22">
        <f>+[24]Main!$K$3</f>
        <v>73.316999999999993</v>
      </c>
      <c r="I43" s="215" t="s">
        <v>616</v>
      </c>
      <c r="J43" s="228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2"/>
      <c r="B44" s="5" t="s">
        <v>617</v>
      </c>
      <c r="C44" s="175" t="s">
        <v>617</v>
      </c>
      <c r="D44" s="21">
        <v>13.22</v>
      </c>
      <c r="E44" s="22">
        <f>+D44*H44</f>
        <v>5412.6671779000008</v>
      </c>
      <c r="F44" s="22">
        <f>+[25]Main!$J$5-[25]Main!$J$6</f>
        <v>4999</v>
      </c>
      <c r="G44" s="22">
        <f>+E44-F44</f>
        <v>413.66717790000075</v>
      </c>
      <c r="H44" s="22">
        <f>+[25]Main!$J$3</f>
        <v>409.43019500000003</v>
      </c>
      <c r="I44" s="176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2" t="s">
        <v>253</v>
      </c>
      <c r="B45" s="152" t="s">
        <v>495</v>
      </c>
      <c r="C45" s="152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2" t="s">
        <v>253</v>
      </c>
      <c r="B46" s="152" t="s">
        <v>498</v>
      </c>
      <c r="C46" s="152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2" t="s">
        <v>253</v>
      </c>
      <c r="B47" s="152" t="s">
        <v>512</v>
      </c>
      <c r="C47" s="152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2" t="s">
        <v>253</v>
      </c>
      <c r="B48" s="152" t="s">
        <v>515</v>
      </c>
      <c r="C48" s="152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2" t="s">
        <v>253</v>
      </c>
      <c r="B49" s="152" t="s">
        <v>521</v>
      </c>
      <c r="C49" s="152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2" t="s">
        <v>253</v>
      </c>
      <c r="B50" s="152" t="s">
        <v>523</v>
      </c>
      <c r="C50" s="152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2" t="s">
        <v>253</v>
      </c>
      <c r="B51" s="152" t="s">
        <v>527</v>
      </c>
      <c r="C51" s="152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2" t="s">
        <v>253</v>
      </c>
      <c r="B52" s="152" t="s">
        <v>541</v>
      </c>
      <c r="C52" s="152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5" t="s">
        <v>253</v>
      </c>
      <c r="B53" s="165" t="s">
        <v>547</v>
      </c>
      <c r="C53" s="165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5" t="s">
        <v>253</v>
      </c>
      <c r="B54" s="165" t="s">
        <v>549</v>
      </c>
      <c r="C54" s="165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7" t="s">
        <v>253</v>
      </c>
      <c r="B55" s="167" t="s">
        <v>565</v>
      </c>
      <c r="C55" s="167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7" t="s">
        <v>253</v>
      </c>
      <c r="B56" s="167" t="s">
        <v>567</v>
      </c>
      <c r="C56" s="167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7" t="s">
        <v>253</v>
      </c>
      <c r="B57" s="167" t="s">
        <v>569</v>
      </c>
      <c r="C57" s="167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7" t="s">
        <v>253</v>
      </c>
      <c r="B58" s="167" t="s">
        <v>575</v>
      </c>
      <c r="C58" s="167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7" t="s">
        <v>253</v>
      </c>
      <c r="B59" s="167" t="s">
        <v>577</v>
      </c>
      <c r="C59" s="167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7" t="s">
        <v>253</v>
      </c>
      <c r="B60" s="167" t="s">
        <v>583</v>
      </c>
      <c r="C60" s="167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7" t="s">
        <v>253</v>
      </c>
      <c r="B61" s="167" t="s">
        <v>589</v>
      </c>
      <c r="C61" s="167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7" t="s">
        <v>253</v>
      </c>
      <c r="B62" s="167" t="s">
        <v>591</v>
      </c>
      <c r="C62" s="167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7"/>
      <c r="B63" s="5" t="s">
        <v>622</v>
      </c>
      <c r="C63" s="186" t="s">
        <v>623</v>
      </c>
      <c r="D63" s="21">
        <v>4.6100000000000003</v>
      </c>
      <c r="E63" s="22"/>
      <c r="F63" s="23"/>
      <c r="G63" s="23"/>
      <c r="H63" s="22">
        <f>+[26]Main!$M$3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7" t="s">
        <v>253</v>
      </c>
      <c r="B64" s="167" t="s">
        <v>593</v>
      </c>
      <c r="C64" s="167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7" t="s">
        <v>253</v>
      </c>
      <c r="B65" s="167" t="s">
        <v>603</v>
      </c>
      <c r="C65" s="167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7" t="s">
        <v>253</v>
      </c>
      <c r="B66" s="167" t="s">
        <v>607</v>
      </c>
      <c r="C66" s="167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7" t="s">
        <v>253</v>
      </c>
      <c r="B67" s="167" t="s">
        <v>609</v>
      </c>
      <c r="C67" s="167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7" t="s">
        <v>253</v>
      </c>
      <c r="B68" s="167" t="s">
        <v>611</v>
      </c>
      <c r="C68" s="167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5"/>
      <c r="B69" s="165"/>
      <c r="C69" s="16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6" t="s">
        <v>214</v>
      </c>
    </row>
    <row r="71" spans="1:23" x14ac:dyDescent="0.2">
      <c r="B71" s="126" t="s">
        <v>395</v>
      </c>
      <c r="E71" s="57">
        <v>30000</v>
      </c>
      <c r="I71" s="147" t="s">
        <v>453</v>
      </c>
    </row>
    <row r="72" spans="1:23" x14ac:dyDescent="0.2">
      <c r="B72" s="126" t="s">
        <v>396</v>
      </c>
      <c r="E72" s="57">
        <v>10000</v>
      </c>
      <c r="F72" s="126" t="s">
        <v>398</v>
      </c>
      <c r="G72" s="126" t="s">
        <v>397</v>
      </c>
      <c r="H72" s="126" t="s">
        <v>399</v>
      </c>
      <c r="I72" s="57">
        <v>2013</v>
      </c>
    </row>
    <row r="73" spans="1:23" x14ac:dyDescent="0.2">
      <c r="B73" s="126" t="s">
        <v>120</v>
      </c>
      <c r="E73" s="57">
        <v>10000</v>
      </c>
      <c r="F73" s="126"/>
      <c r="G73" s="126"/>
      <c r="H73" s="126"/>
    </row>
    <row r="74" spans="1:23" x14ac:dyDescent="0.2">
      <c r="B74" s="144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2" r:id="rId7" xr:uid="{BF5095B8-6956-4116-AD45-B06C94DC5EDF}"/>
    <hyperlink ref="B16" r:id="rId8" xr:uid="{1147CFA9-6647-443A-9626-FE00F78AE9FF}"/>
    <hyperlink ref="B14" r:id="rId9" xr:uid="{EE794379-CBE0-4BE4-963F-4A3EB8F86626}"/>
    <hyperlink ref="B13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7" r:id="rId14" xr:uid="{7E0DDDDE-643F-4D04-A9C8-5DCDC34BD7D2}"/>
    <hyperlink ref="B15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</hyperlinks>
  <pageMargins left="0.7" right="0.7" top="0.75" bottom="0.75" header="0.3" footer="0.3"/>
  <pageSetup orientation="portrait" horizontalDpi="1200" verticalDpi="1200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40" t="s">
        <v>418</v>
      </c>
      <c r="Z2" s="140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+D3*[27]Main!$M$3</f>
        <v>1060619.4696</v>
      </c>
      <c r="F3" s="22">
        <f>+[27]Main!$M$5-[27]Main!$M$6</f>
        <v>38382</v>
      </c>
      <c r="G3" s="22">
        <f t="shared" ref="G3:G4" si="0">+E3-F3</f>
        <v>1022237.4696</v>
      </c>
      <c r="H3" s="22">
        <f>+[27]Main!$M$3</f>
        <v>2651.5486740000001</v>
      </c>
      <c r="I3" s="170" t="s">
        <v>613</v>
      </c>
      <c r="J3" s="39">
        <v>45409</v>
      </c>
      <c r="K3" s="27"/>
      <c r="L3" s="28">
        <f>K3/D3-1</f>
        <v>-1</v>
      </c>
      <c r="M3" s="28">
        <f>+[27]Model!$AX$50</f>
        <v>0.08</v>
      </c>
      <c r="N3" s="28">
        <f>+[27]Model!$AX$51</f>
        <v>-0.05</v>
      </c>
      <c r="O3" s="28">
        <f>+[27]Model!$AX$52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1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+D4*[28]Main!$L$3*1000/HKD</f>
        <v>341793.77818543144</v>
      </c>
      <c r="F4" s="22">
        <f>([28]Main!$L$5-[28]Main!$L$6)/HKD*1000</f>
        <v>81912.914978725574</v>
      </c>
      <c r="G4" s="22">
        <f t="shared" si="0"/>
        <v>259880.86320670586</v>
      </c>
      <c r="H4" s="22">
        <f>+[28]Main!$L$3*1000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+[29]Main!$L$5-[29]Main!$L$6</f>
        <v>688.14800000000014</v>
      </c>
      <c r="G8" s="22">
        <f>E8-F8</f>
        <v>18669.064852</v>
      </c>
      <c r="H8" s="22">
        <f>+[29]Main!$L$3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1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8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145" t="s">
        <v>321</v>
      </c>
      <c r="C13" s="238" t="s">
        <v>642</v>
      </c>
      <c r="D13" s="239">
        <v>70.06</v>
      </c>
      <c r="E13" s="131">
        <v>11000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8" t="s">
        <v>644</v>
      </c>
      <c r="D15" s="51">
        <v>23.43</v>
      </c>
      <c r="E15" s="131">
        <v>4600</v>
      </c>
    </row>
    <row r="16" spans="1:26" s="20" customFormat="1" x14ac:dyDescent="0.2">
      <c r="B16" s="5" t="s">
        <v>358</v>
      </c>
      <c r="C16" s="183" t="s">
        <v>621</v>
      </c>
      <c r="D16" s="21">
        <v>12.27</v>
      </c>
      <c r="E16" s="22">
        <f>+D16*H16</f>
        <v>2159.42446578</v>
      </c>
      <c r="F16" s="185">
        <f>+[30]Main!$K$5-[30]Main!$K$6</f>
        <v>-240.45199999999997</v>
      </c>
      <c r="G16" s="22">
        <f>+E16-F16</f>
        <v>2399.8764657799998</v>
      </c>
      <c r="H16" s="22">
        <f>+[30]Main!$K$3</f>
        <v>175.99221399999999</v>
      </c>
      <c r="I16" s="184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8" t="s">
        <v>643</v>
      </c>
      <c r="D17" s="239">
        <v>2.8</v>
      </c>
      <c r="E17" s="241">
        <f>+D17*H17</f>
        <v>269.08319199999994</v>
      </c>
      <c r="F17" s="131">
        <f>+[31]Main!$K$5-[31]Main!$K$6</f>
        <v>-41.52800000000002</v>
      </c>
      <c r="G17" s="22">
        <f>+E17-F17</f>
        <v>310.61119199999996</v>
      </c>
      <c r="H17" s="131">
        <f>+[31]Main!$K$3</f>
        <v>96.101139999999987</v>
      </c>
      <c r="I17" s="242" t="s">
        <v>616</v>
      </c>
      <c r="J17" s="240">
        <v>45575</v>
      </c>
    </row>
    <row r="18" spans="2:23" s="20" customFormat="1" x14ac:dyDescent="0.2">
      <c r="B18" s="177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7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6" t="s">
        <v>214</v>
      </c>
    </row>
    <row r="22" spans="2:23" x14ac:dyDescent="0.2">
      <c r="B22" s="75" t="s">
        <v>277</v>
      </c>
      <c r="E22" s="131">
        <v>400000</v>
      </c>
    </row>
    <row r="23" spans="2:23" x14ac:dyDescent="0.2">
      <c r="B23" s="51" t="s">
        <v>247</v>
      </c>
      <c r="E23" s="131">
        <v>30000</v>
      </c>
    </row>
    <row r="24" spans="2:23" x14ac:dyDescent="0.2">
      <c r="B24" s="187" t="s">
        <v>626</v>
      </c>
      <c r="C24" s="187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1">
        <v>14500</v>
      </c>
      <c r="F25" s="51">
        <v>2015</v>
      </c>
      <c r="H25" s="145" t="s">
        <v>448</v>
      </c>
    </row>
    <row r="26" spans="2:23" x14ac:dyDescent="0.2">
      <c r="B26" s="145" t="s">
        <v>446</v>
      </c>
      <c r="E26" s="131"/>
      <c r="F26" s="51">
        <v>2021</v>
      </c>
      <c r="H26" s="187" t="s">
        <v>627</v>
      </c>
    </row>
    <row r="27" spans="2:23" x14ac:dyDescent="0.2">
      <c r="B27" s="145" t="s">
        <v>447</v>
      </c>
      <c r="E27" s="51">
        <v>1000</v>
      </c>
      <c r="H27" s="145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2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7" t="s">
        <v>624</v>
      </c>
    </row>
    <row r="59" spans="2:2" x14ac:dyDescent="0.2">
      <c r="B59" s="187" t="s">
        <v>628</v>
      </c>
    </row>
    <row r="60" spans="2:2" x14ac:dyDescent="0.2">
      <c r="B60" s="187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94" bestFit="1" customWidth="1"/>
    <col min="2" max="2" width="15" style="194" customWidth="1"/>
    <col min="3" max="16384" width="9.140625" style="194"/>
  </cols>
  <sheetData>
    <row r="1" spans="1:24" x14ac:dyDescent="0.2">
      <c r="A1" s="5" t="s">
        <v>142</v>
      </c>
    </row>
    <row r="2" spans="1:24" x14ac:dyDescent="0.2">
      <c r="A2" s="5"/>
      <c r="B2" s="194" t="s">
        <v>0</v>
      </c>
      <c r="C2" s="194" t="s">
        <v>1</v>
      </c>
      <c r="D2" s="195" t="s">
        <v>2</v>
      </c>
      <c r="E2" s="196" t="s">
        <v>3</v>
      </c>
      <c r="F2" s="195" t="s">
        <v>385</v>
      </c>
      <c r="G2" s="195" t="s">
        <v>5</v>
      </c>
      <c r="H2" s="195" t="s">
        <v>213</v>
      </c>
      <c r="I2" s="195" t="s">
        <v>386</v>
      </c>
      <c r="J2" s="195" t="s">
        <v>224</v>
      </c>
    </row>
    <row r="3" spans="1:24" x14ac:dyDescent="0.2">
      <c r="A3" s="194" t="s">
        <v>253</v>
      </c>
      <c r="B3" s="5" t="s">
        <v>179</v>
      </c>
      <c r="C3" s="194" t="s">
        <v>180</v>
      </c>
      <c r="D3" s="197">
        <v>375.71</v>
      </c>
      <c r="E3" s="196">
        <f>+D3*H3</f>
        <v>57472.452251789997</v>
      </c>
      <c r="F3" s="196">
        <f>+[32]Main!$N$5-[32]Main!$N$6</f>
        <v>1696.7459999999999</v>
      </c>
      <c r="G3" s="196">
        <f t="shared" ref="G3:G8" si="0">E3-F3</f>
        <v>55775.706251789998</v>
      </c>
      <c r="H3" s="196">
        <f>+[32]Main!$N$3</f>
        <v>152.970249</v>
      </c>
      <c r="I3" s="195" t="s">
        <v>14</v>
      </c>
      <c r="J3" s="198">
        <v>44783</v>
      </c>
      <c r="K3" s="199"/>
      <c r="L3" s="199"/>
      <c r="M3" s="199"/>
      <c r="N3" s="199"/>
      <c r="O3" s="199"/>
      <c r="P3" s="200"/>
      <c r="Q3" s="199"/>
      <c r="R3" s="199"/>
      <c r="S3" s="201"/>
      <c r="T3" s="200"/>
      <c r="U3" s="199"/>
      <c r="V3" s="199"/>
      <c r="W3" s="201"/>
    </row>
    <row r="4" spans="1:24" x14ac:dyDescent="0.2">
      <c r="A4" s="194" t="s">
        <v>253</v>
      </c>
      <c r="B4" s="5" t="s">
        <v>177</v>
      </c>
      <c r="C4" s="194" t="s">
        <v>178</v>
      </c>
      <c r="D4" s="197">
        <v>39.74</v>
      </c>
      <c r="E4" s="196">
        <f>+D4*[33]Main!$L$3*EUR</f>
        <v>53089.738980000009</v>
      </c>
      <c r="F4" s="196">
        <f>+([33]Main!$L$5-[33]Main!$L$6)*EUR</f>
        <v>-490.25400000000008</v>
      </c>
      <c r="G4" s="196">
        <f t="shared" si="0"/>
        <v>53579.99298000001</v>
      </c>
      <c r="H4" s="196"/>
      <c r="I4" s="195" t="s">
        <v>200</v>
      </c>
      <c r="J4" s="195"/>
      <c r="K4" s="199"/>
      <c r="L4" s="199"/>
      <c r="M4" s="199"/>
      <c r="N4" s="199"/>
      <c r="O4" s="199"/>
      <c r="P4" s="200"/>
      <c r="Q4" s="199"/>
      <c r="R4" s="199"/>
      <c r="S4" s="201"/>
      <c r="T4" s="200"/>
      <c r="U4" s="199"/>
      <c r="V4" s="199"/>
      <c r="W4" s="201"/>
    </row>
    <row r="5" spans="1:24" x14ac:dyDescent="0.2">
      <c r="A5" s="194" t="s">
        <v>253</v>
      </c>
      <c r="B5" s="5" t="s">
        <v>48</v>
      </c>
      <c r="C5" s="194" t="s">
        <v>49</v>
      </c>
      <c r="D5" s="197">
        <v>186</v>
      </c>
      <c r="E5" s="196">
        <f>+D5*H5</f>
        <v>51584.495999999999</v>
      </c>
      <c r="F5" s="196">
        <f>+[34]Main!$K$5-[34]Main!$K$6</f>
        <v>741.35200000000009</v>
      </c>
      <c r="G5" s="196">
        <f t="shared" si="0"/>
        <v>50843.144</v>
      </c>
      <c r="H5" s="196">
        <f>+[34]Main!$K$3</f>
        <v>277.33600000000001</v>
      </c>
      <c r="I5" s="195" t="s">
        <v>221</v>
      </c>
      <c r="J5" s="195"/>
      <c r="K5" s="199"/>
      <c r="L5" s="199"/>
      <c r="M5" s="199"/>
      <c r="N5" s="199"/>
      <c r="O5" s="199"/>
      <c r="P5" s="200"/>
      <c r="Q5" s="199"/>
      <c r="R5" s="199"/>
      <c r="S5" s="201"/>
      <c r="T5" s="200"/>
      <c r="U5" s="199"/>
      <c r="V5" s="199"/>
      <c r="W5" s="201"/>
    </row>
    <row r="6" spans="1:24" x14ac:dyDescent="0.2">
      <c r="A6" s="194" t="s">
        <v>253</v>
      </c>
      <c r="B6" s="5" t="s">
        <v>46</v>
      </c>
      <c r="C6" s="194" t="s">
        <v>47</v>
      </c>
      <c r="D6" s="197">
        <v>203.73</v>
      </c>
      <c r="E6" s="196">
        <f>+D6*H6</f>
        <v>44264.86632465</v>
      </c>
      <c r="F6" s="196">
        <f>+[35]Main!$L$5-[35]Main!$L$6</f>
        <v>-1005</v>
      </c>
      <c r="G6" s="196">
        <f t="shared" si="0"/>
        <v>45269.86632465</v>
      </c>
      <c r="H6" s="196">
        <f>+[35]Main!$L$3</f>
        <v>217.27220500000001</v>
      </c>
      <c r="I6" s="195" t="s">
        <v>14</v>
      </c>
      <c r="J6" s="195"/>
      <c r="K6" s="199"/>
      <c r="L6" s="199"/>
      <c r="M6" s="199"/>
      <c r="N6" s="199"/>
      <c r="O6" s="199"/>
      <c r="P6" s="200"/>
      <c r="Q6" s="199"/>
      <c r="R6" s="199"/>
      <c r="S6" s="201"/>
      <c r="T6" s="200"/>
      <c r="U6" s="199"/>
      <c r="V6" s="199"/>
      <c r="W6" s="201"/>
      <c r="X6" s="194">
        <v>1982</v>
      </c>
    </row>
    <row r="7" spans="1:24" x14ac:dyDescent="0.2">
      <c r="A7" s="194" t="s">
        <v>253</v>
      </c>
      <c r="B7" s="5" t="s">
        <v>61</v>
      </c>
      <c r="C7" s="194" t="s">
        <v>62</v>
      </c>
      <c r="D7" s="197">
        <v>236.61</v>
      </c>
      <c r="E7" s="196">
        <f>+D7*H7</f>
        <v>20601.316825649999</v>
      </c>
      <c r="F7" s="196">
        <f>+[36]Main!$M$5-[36]Main!$M$6</f>
        <v>-235.76700000000005</v>
      </c>
      <c r="G7" s="196">
        <f t="shared" si="0"/>
        <v>20837.083825649999</v>
      </c>
      <c r="H7" s="196">
        <f>+[36]Main!$M$3</f>
        <v>87.068664999999996</v>
      </c>
      <c r="I7" s="195" t="s">
        <v>200</v>
      </c>
      <c r="J7" s="198">
        <v>44795</v>
      </c>
      <c r="K7" s="199"/>
      <c r="L7" s="199"/>
      <c r="M7" s="199"/>
      <c r="N7" s="199"/>
      <c r="O7" s="199"/>
      <c r="P7" s="200"/>
      <c r="Q7" s="199"/>
      <c r="R7" s="199"/>
      <c r="S7" s="201"/>
      <c r="T7" s="200"/>
      <c r="U7" s="199"/>
      <c r="V7" s="199"/>
      <c r="W7" s="201"/>
    </row>
    <row r="8" spans="1:24" x14ac:dyDescent="0.2">
      <c r="B8" s="87" t="s">
        <v>219</v>
      </c>
      <c r="C8" s="194" t="s">
        <v>220</v>
      </c>
      <c r="D8" s="197">
        <v>122.15</v>
      </c>
      <c r="E8" s="196">
        <f>D8*H8/SEK</f>
        <v>31958.952028771135</v>
      </c>
      <c r="F8" s="196">
        <f>([37]Main!$L$5-[37]Main!$L$6)*EUR</f>
        <v>-3389.8630000000003</v>
      </c>
      <c r="G8" s="196">
        <f t="shared" si="0"/>
        <v>35348.815028771132</v>
      </c>
      <c r="H8" s="196">
        <f>[37]Main!$L$3</f>
        <v>2706.2939999999999</v>
      </c>
      <c r="I8" s="195" t="s">
        <v>380</v>
      </c>
      <c r="J8" s="198">
        <v>45056</v>
      </c>
      <c r="K8" s="199"/>
      <c r="L8" s="199"/>
      <c r="M8" s="199"/>
      <c r="N8" s="199"/>
      <c r="O8" s="201"/>
      <c r="P8" s="200"/>
      <c r="Q8" s="199"/>
      <c r="R8" s="199"/>
      <c r="S8" s="201"/>
      <c r="T8" s="200"/>
      <c r="U8" s="199"/>
      <c r="V8" s="199"/>
      <c r="W8" s="201"/>
      <c r="X8" s="194">
        <v>1992</v>
      </c>
    </row>
    <row r="9" spans="1:24" x14ac:dyDescent="0.2">
      <c r="A9" s="194" t="s">
        <v>253</v>
      </c>
      <c r="B9" s="202" t="s">
        <v>92</v>
      </c>
      <c r="C9" s="194" t="s">
        <v>92</v>
      </c>
      <c r="D9" s="197">
        <v>115.52</v>
      </c>
      <c r="E9" s="196">
        <v>13640</v>
      </c>
    </row>
    <row r="10" spans="1:24" x14ac:dyDescent="0.2">
      <c r="B10" s="194" t="s">
        <v>222</v>
      </c>
      <c r="C10" s="194" t="s">
        <v>223</v>
      </c>
      <c r="D10" s="203">
        <v>31.44</v>
      </c>
      <c r="E10" s="196">
        <v>2220</v>
      </c>
      <c r="F10" s="195"/>
      <c r="G10" s="195"/>
      <c r="H10" s="195"/>
      <c r="I10" s="195"/>
      <c r="J10" s="195"/>
      <c r="K10" s="199"/>
      <c r="L10" s="199"/>
      <c r="M10" s="199"/>
      <c r="N10" s="199"/>
      <c r="O10" s="199"/>
      <c r="P10" s="200"/>
      <c r="Q10" s="199"/>
      <c r="R10" s="199"/>
      <c r="S10" s="201"/>
      <c r="T10" s="200"/>
      <c r="U10" s="199"/>
      <c r="V10" s="199"/>
      <c r="W10" s="201"/>
    </row>
    <row r="11" spans="1:24" x14ac:dyDescent="0.2">
      <c r="B11" s="194" t="s">
        <v>315</v>
      </c>
      <c r="C11" s="194" t="s">
        <v>372</v>
      </c>
      <c r="D11" s="195"/>
      <c r="E11" s="195"/>
      <c r="F11" s="195"/>
      <c r="G11" s="195"/>
      <c r="H11" s="195"/>
      <c r="I11" s="195"/>
      <c r="J11" s="195"/>
    </row>
    <row r="12" spans="1:24" x14ac:dyDescent="0.2">
      <c r="B12" s="194" t="s">
        <v>316</v>
      </c>
      <c r="D12" s="195"/>
      <c r="E12" s="195"/>
      <c r="F12" s="195"/>
      <c r="G12" s="195"/>
      <c r="H12" s="195"/>
      <c r="I12" s="195"/>
      <c r="J12" s="195"/>
    </row>
    <row r="13" spans="1:24" x14ac:dyDescent="0.2">
      <c r="A13" s="194" t="s">
        <v>253</v>
      </c>
      <c r="B13" s="194" t="s">
        <v>489</v>
      </c>
      <c r="C13" s="194" t="s">
        <v>107</v>
      </c>
    </row>
    <row r="14" spans="1:24" x14ac:dyDescent="0.2">
      <c r="A14" s="194" t="s">
        <v>253</v>
      </c>
      <c r="B14" s="202" t="s">
        <v>90</v>
      </c>
      <c r="C14" s="194" t="s">
        <v>91</v>
      </c>
      <c r="D14" s="197">
        <v>206.61</v>
      </c>
      <c r="E14" s="196">
        <v>13880</v>
      </c>
    </row>
    <row r="15" spans="1:24" x14ac:dyDescent="0.2">
      <c r="A15" s="194" t="s">
        <v>253</v>
      </c>
      <c r="B15" s="194" t="s">
        <v>441</v>
      </c>
      <c r="C15" s="194" t="s">
        <v>440</v>
      </c>
    </row>
    <row r="16" spans="1:24" x14ac:dyDescent="0.2">
      <c r="A16" s="194" t="s">
        <v>253</v>
      </c>
      <c r="B16" s="194" t="s">
        <v>517</v>
      </c>
      <c r="C16" s="194" t="s">
        <v>518</v>
      </c>
    </row>
    <row r="17" spans="1:5" x14ac:dyDescent="0.2">
      <c r="A17" s="194" t="s">
        <v>253</v>
      </c>
      <c r="B17" s="194" t="s">
        <v>535</v>
      </c>
      <c r="C17" s="194" t="s">
        <v>536</v>
      </c>
    </row>
    <row r="18" spans="1:5" x14ac:dyDescent="0.2">
      <c r="A18" s="194" t="s">
        <v>253</v>
      </c>
      <c r="B18" s="194" t="s">
        <v>551</v>
      </c>
      <c r="C18" s="194" t="s">
        <v>552</v>
      </c>
    </row>
    <row r="19" spans="1:5" x14ac:dyDescent="0.2">
      <c r="A19" s="194" t="s">
        <v>253</v>
      </c>
      <c r="B19" s="194" t="s">
        <v>555</v>
      </c>
      <c r="C19" s="194" t="s">
        <v>556</v>
      </c>
    </row>
    <row r="20" spans="1:5" x14ac:dyDescent="0.2">
      <c r="A20" s="194" t="s">
        <v>253</v>
      </c>
      <c r="B20" s="194" t="s">
        <v>559</v>
      </c>
      <c r="C20" s="194" t="s">
        <v>560</v>
      </c>
    </row>
    <row r="22" spans="1:5" x14ac:dyDescent="0.2">
      <c r="B22" s="74" t="s">
        <v>248</v>
      </c>
    </row>
    <row r="23" spans="1:5" x14ac:dyDescent="0.2">
      <c r="B23" s="194" t="s">
        <v>403</v>
      </c>
      <c r="E23" s="194">
        <v>2400</v>
      </c>
    </row>
    <row r="24" spans="1:5" x14ac:dyDescent="0.2">
      <c r="B24" s="194" t="s">
        <v>382</v>
      </c>
      <c r="E24" s="194">
        <v>1500</v>
      </c>
    </row>
    <row r="25" spans="1:5" x14ac:dyDescent="0.2">
      <c r="B25" s="194" t="s">
        <v>384</v>
      </c>
      <c r="E25" s="194">
        <v>1000</v>
      </c>
    </row>
    <row r="26" spans="1:5" x14ac:dyDescent="0.2">
      <c r="B26" s="194" t="s">
        <v>402</v>
      </c>
      <c r="E26" s="194">
        <v>1000</v>
      </c>
    </row>
    <row r="27" spans="1:5" x14ac:dyDescent="0.2">
      <c r="B27" s="194" t="s">
        <v>373</v>
      </c>
    </row>
    <row r="28" spans="1:5" x14ac:dyDescent="0.2">
      <c r="B28" s="194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40" t="s">
        <v>420</v>
      </c>
    </row>
    <row r="3" spans="1:27" x14ac:dyDescent="0.2">
      <c r="A3" s="152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9">
        <f>+[2]Model!$BT$48</f>
        <v>7.0000000000000007E-2</v>
      </c>
      <c r="AA3" s="149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+D4*[28]Main!$L$3*1000/HKD</f>
        <v>482256.9746999924</v>
      </c>
      <c r="F4" s="22">
        <f>([28]Main!$L$5-[28]Main!$L$6)/HKD*1000</f>
        <v>81912.914978725574</v>
      </c>
      <c r="G4" s="22">
        <f>+E4-F4</f>
        <v>400344.05972126685</v>
      </c>
      <c r="H4" s="22"/>
      <c r="I4" s="23" t="s">
        <v>14</v>
      </c>
      <c r="M4" s="180"/>
    </row>
    <row r="5" spans="1:27" s="20" customFormat="1" x14ac:dyDescent="0.2">
      <c r="A5" s="152" t="s">
        <v>253</v>
      </c>
      <c r="B5" s="5" t="s">
        <v>19</v>
      </c>
      <c r="C5" s="20" t="s">
        <v>20</v>
      </c>
      <c r="D5" s="21">
        <v>532</v>
      </c>
      <c r="E5" s="22">
        <f>+D5*[38]Main!$N$4</f>
        <v>238336</v>
      </c>
      <c r="F5" s="22">
        <f>+[38]Main!$N$6-[38]Main!$N$7</f>
        <v>1888</v>
      </c>
      <c r="G5" s="22">
        <f t="shared" ref="G5:G8" si="0">+E5-F5</f>
        <v>236448</v>
      </c>
      <c r="H5" s="22">
        <f>+[38]Main!$N$4</f>
        <v>448</v>
      </c>
      <c r="I5" s="182" t="s">
        <v>616</v>
      </c>
      <c r="J5" s="39">
        <v>45548</v>
      </c>
      <c r="K5" s="24"/>
      <c r="L5" s="24"/>
      <c r="M5" s="181">
        <f>+[38]Model!$AP$36</f>
        <v>0.08</v>
      </c>
      <c r="N5" s="28">
        <f>+[38]Model!$AP$34</f>
        <v>0.01</v>
      </c>
      <c r="O5" s="28">
        <f>+[38]Model!$AP$35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([39]Main!$O$7-[39]Main!$O$8)/JPY</f>
        <v>3147.411085956328</v>
      </c>
      <c r="G6" s="22">
        <f t="shared" si="0"/>
        <v>105608.27667421309</v>
      </c>
      <c r="H6" s="22">
        <f>[39]Main!$O$4</f>
        <v>1238.413</v>
      </c>
      <c r="I6" s="120" t="s">
        <v>380</v>
      </c>
      <c r="J6" s="39">
        <v>44994</v>
      </c>
      <c r="K6" s="24"/>
      <c r="L6" s="24"/>
      <c r="M6" s="18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([39]Main!$O$7-[39]Main!$O$8)/JPY</f>
        <v>3147.411085956328</v>
      </c>
      <c r="G7" s="22">
        <f t="shared" si="0"/>
        <v>105585.25031404367</v>
      </c>
      <c r="H7" s="22">
        <f>[39]Main!$O$4</f>
        <v>1238.413</v>
      </c>
      <c r="I7" s="120" t="s">
        <v>380</v>
      </c>
      <c r="J7" s="39">
        <v>44994</v>
      </c>
      <c r="K7" s="24"/>
      <c r="L7" s="24"/>
      <c r="M7" s="18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46"/>
      <c r="E10" s="46"/>
    </row>
    <row r="11" spans="1:27" x14ac:dyDescent="0.2">
      <c r="A11" s="77"/>
      <c r="B11" s="77" t="s">
        <v>284</v>
      </c>
      <c r="C11" s="77" t="s">
        <v>285</v>
      </c>
      <c r="D11" s="46"/>
      <c r="E11" s="46"/>
    </row>
    <row r="12" spans="1:27" x14ac:dyDescent="0.2">
      <c r="A12" s="77"/>
      <c r="B12" s="5" t="s">
        <v>165</v>
      </c>
      <c r="C12" s="10" t="s">
        <v>166</v>
      </c>
      <c r="D12" s="233">
        <v>142</v>
      </c>
      <c r="E12" s="46">
        <f>+D12*H12</f>
        <v>37516.390202000002</v>
      </c>
      <c r="F12" s="46">
        <f>+[40]Main!$N$5-[40]Main!$N$6</f>
        <v>884</v>
      </c>
      <c r="G12" s="46">
        <f>+E12-F12</f>
        <v>36632.390202000002</v>
      </c>
      <c r="H12" s="46">
        <f>+[40]Main!$N$3</f>
        <v>264.19993099999999</v>
      </c>
      <c r="I12" s="234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[41]Main!$L$5-[41]Main!$L$6</f>
        <v>2595.5510000000004</v>
      </c>
      <c r="G13" s="3">
        <f>+E13-F13</f>
        <v>20254.362459200001</v>
      </c>
      <c r="H13" s="3">
        <f>[41]Main!$L$3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2">
        <f>G13/Y13</f>
        <v>361.68504391428576</v>
      </c>
    </row>
    <row r="14" spans="1:27" s="1" customFormat="1" x14ac:dyDescent="0.2">
      <c r="B14" s="104" t="s">
        <v>330</v>
      </c>
      <c r="C14" s="1" t="s">
        <v>331</v>
      </c>
      <c r="D14" s="2"/>
      <c r="E14" s="3"/>
      <c r="F14" s="3"/>
      <c r="G14" s="3"/>
      <c r="H14" s="4"/>
      <c r="I14" s="4"/>
    </row>
    <row r="15" spans="1:27" x14ac:dyDescent="0.2">
      <c r="B15" s="10" t="s">
        <v>167</v>
      </c>
      <c r="C15" s="10" t="s">
        <v>168</v>
      </c>
      <c r="D15" s="10">
        <v>127.74</v>
      </c>
      <c r="E15" s="46">
        <v>21290</v>
      </c>
    </row>
    <row r="16" spans="1:27" s="1" customFormat="1" x14ac:dyDescent="0.2">
      <c r="A16" s="1" t="s">
        <v>253</v>
      </c>
      <c r="B16" s="1" t="s">
        <v>87</v>
      </c>
      <c r="C16" s="1" t="s">
        <v>88</v>
      </c>
      <c r="D16" s="2">
        <v>45.8</v>
      </c>
      <c r="E16" s="3">
        <v>14330</v>
      </c>
      <c r="F16" s="4"/>
      <c r="G16" s="4"/>
      <c r="H16" s="4"/>
    </row>
    <row r="17" spans="2:26" s="1" customFormat="1" x14ac:dyDescent="0.2">
      <c r="B17" s="1" t="s">
        <v>467</v>
      </c>
      <c r="C17" s="1" t="s">
        <v>468</v>
      </c>
      <c r="D17" s="2"/>
      <c r="E17" s="3"/>
      <c r="F17" s="4"/>
      <c r="G17" s="4"/>
      <c r="H17" s="4"/>
    </row>
    <row r="18" spans="2:26" s="1" customFormat="1" x14ac:dyDescent="0.2">
      <c r="B18" s="1" t="s">
        <v>473</v>
      </c>
      <c r="D18" s="2"/>
      <c r="E18" s="3"/>
      <c r="F18" s="4"/>
      <c r="G18" s="4"/>
      <c r="H18" s="4"/>
    </row>
    <row r="19" spans="2:26" s="1" customFormat="1" x14ac:dyDescent="0.2">
      <c r="B19" s="1" t="s">
        <v>475</v>
      </c>
      <c r="C19" s="1" t="s">
        <v>476</v>
      </c>
      <c r="D19" s="2"/>
      <c r="E19" s="3"/>
      <c r="F19" s="4"/>
      <c r="G19" s="4"/>
      <c r="H19" s="4"/>
    </row>
    <row r="20" spans="2:26" s="1" customFormat="1" x14ac:dyDescent="0.2">
      <c r="B20" s="1" t="s">
        <v>251</v>
      </c>
      <c r="C20" s="1" t="s">
        <v>252</v>
      </c>
      <c r="D20" s="2"/>
      <c r="E20" s="3"/>
      <c r="F20" s="4"/>
      <c r="G20" s="4"/>
      <c r="H20" s="4"/>
    </row>
    <row r="21" spans="2:26" s="20" customFormat="1" x14ac:dyDescent="0.2">
      <c r="B21" s="87" t="s">
        <v>74</v>
      </c>
      <c r="C21" s="20" t="s">
        <v>75</v>
      </c>
      <c r="D21" s="21">
        <v>102.23</v>
      </c>
      <c r="E21" s="22">
        <f>+D21*[42]Main!$K$3</f>
        <v>20147.20788088</v>
      </c>
      <c r="F21" s="22">
        <f>+[42]Main!$K$5-[42]Main!$K$6</f>
        <v>3155</v>
      </c>
      <c r="G21" s="22">
        <f>E21-F21</f>
        <v>16992.20788088</v>
      </c>
      <c r="H21" s="22"/>
      <c r="I21" s="23" t="s">
        <v>14</v>
      </c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</row>
    <row r="22" spans="2:26" s="20" customFormat="1" x14ac:dyDescent="0.2">
      <c r="B22" s="53" t="s">
        <v>250</v>
      </c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 x14ac:dyDescent="0.2">
      <c r="B23" s="150" t="s">
        <v>479</v>
      </c>
      <c r="C23" s="150" t="s">
        <v>480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x14ac:dyDescent="0.2">
      <c r="B26" s="1" t="s">
        <v>54</v>
      </c>
      <c r="C26" s="1"/>
      <c r="D26" s="2"/>
      <c r="E26" s="3">
        <v>31500</v>
      </c>
      <c r="G26" s="46">
        <f>E26</f>
        <v>31500</v>
      </c>
      <c r="Y26" s="10">
        <v>270</v>
      </c>
      <c r="Z26" s="142">
        <f>G26/Y26</f>
        <v>116.66666666666667</v>
      </c>
    </row>
    <row r="27" spans="2:26" s="20" customFormat="1" x14ac:dyDescent="0.2">
      <c r="B27" s="20" t="s">
        <v>57</v>
      </c>
      <c r="D27" s="21"/>
      <c r="E27" s="22">
        <v>27000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2:26" s="20" customFormat="1" x14ac:dyDescent="0.2">
      <c r="B28" s="20" t="s">
        <v>108</v>
      </c>
      <c r="D28" s="21"/>
      <c r="E28" s="22">
        <v>10000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x14ac:dyDescent="0.2">
      <c r="B29" s="51" t="s">
        <v>249</v>
      </c>
    </row>
    <row r="30" spans="2:26" x14ac:dyDescent="0.2">
      <c r="B30" s="126" t="s">
        <v>400</v>
      </c>
    </row>
    <row r="31" spans="2:26" x14ac:dyDescent="0.2">
      <c r="B31" s="149" t="s">
        <v>463</v>
      </c>
    </row>
    <row r="32" spans="2:26" x14ac:dyDescent="0.2">
      <c r="B32" s="145" t="s">
        <v>444</v>
      </c>
      <c r="E32" s="10">
        <v>100</v>
      </c>
      <c r="H32" s="145" t="s">
        <v>445</v>
      </c>
    </row>
    <row r="33" spans="2:10" x14ac:dyDescent="0.2">
      <c r="B33" s="149" t="s">
        <v>464</v>
      </c>
      <c r="H33" s="145"/>
      <c r="J33" s="149" t="s">
        <v>465</v>
      </c>
    </row>
    <row r="34" spans="2:10" x14ac:dyDescent="0.2">
      <c r="B34" s="149" t="s">
        <v>469</v>
      </c>
      <c r="H34" s="145"/>
      <c r="J34" s="149"/>
    </row>
    <row r="35" spans="2:10" x14ac:dyDescent="0.2">
      <c r="B35" s="149" t="s">
        <v>470</v>
      </c>
      <c r="H35" s="145"/>
      <c r="J35" s="149"/>
    </row>
    <row r="36" spans="2:10" x14ac:dyDescent="0.2">
      <c r="B36" s="149" t="s">
        <v>471</v>
      </c>
    </row>
    <row r="37" spans="2:10" x14ac:dyDescent="0.2">
      <c r="B37" s="149" t="s">
        <v>477</v>
      </c>
      <c r="J37" s="149" t="s">
        <v>478</v>
      </c>
    </row>
    <row r="38" spans="2:10" x14ac:dyDescent="0.2">
      <c r="B38" s="149" t="s">
        <v>472</v>
      </c>
    </row>
    <row r="39" spans="2:10" x14ac:dyDescent="0.2">
      <c r="B39" s="149" t="s">
        <v>474</v>
      </c>
    </row>
    <row r="40" spans="2:10" x14ac:dyDescent="0.2">
      <c r="B40" s="149"/>
    </row>
    <row r="41" spans="2:10" x14ac:dyDescent="0.2">
      <c r="B41" s="149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1" r:id="rId6" xr:uid="{B43B07AD-918B-4E3C-B6FF-2D0A1726D08C}"/>
    <hyperlink ref="B6" r:id="rId7" xr:uid="{C317DCAB-F486-4C03-A390-844EB230A084}"/>
    <hyperlink ref="B7" r:id="rId8" xr:uid="{B27274A8-24B6-4DB9-826D-7802A0C1EEB1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214" bestFit="1" customWidth="1"/>
    <col min="2" max="2" width="18.28515625" style="214" customWidth="1"/>
    <col min="3" max="3" width="10.42578125" style="214" bestFit="1" customWidth="1"/>
    <col min="4" max="9" width="9.140625" style="215"/>
    <col min="10" max="10" width="10.42578125" style="214" bestFit="1" customWidth="1"/>
    <col min="11" max="16384" width="9.140625" style="214"/>
  </cols>
  <sheetData>
    <row r="1" spans="1:24" x14ac:dyDescent="0.2">
      <c r="A1" s="5" t="s">
        <v>142</v>
      </c>
    </row>
    <row r="2" spans="1:24" x14ac:dyDescent="0.2">
      <c r="B2" s="216" t="s">
        <v>0</v>
      </c>
      <c r="C2" s="217" t="s">
        <v>1</v>
      </c>
      <c r="D2" s="218" t="s">
        <v>2</v>
      </c>
      <c r="E2" s="219" t="s">
        <v>3</v>
      </c>
      <c r="F2" s="220" t="s">
        <v>4</v>
      </c>
      <c r="G2" s="220" t="s">
        <v>5</v>
      </c>
      <c r="H2" s="220" t="s">
        <v>213</v>
      </c>
      <c r="I2" s="220" t="s">
        <v>6</v>
      </c>
      <c r="J2" s="220" t="s">
        <v>224</v>
      </c>
      <c r="K2" s="221" t="s">
        <v>208</v>
      </c>
      <c r="L2" s="221" t="s">
        <v>212</v>
      </c>
      <c r="M2" s="221" t="s">
        <v>209</v>
      </c>
      <c r="N2" s="221" t="s">
        <v>210</v>
      </c>
      <c r="O2" s="222" t="s">
        <v>211</v>
      </c>
      <c r="P2" s="223" t="s">
        <v>229</v>
      </c>
      <c r="Q2" s="221" t="s">
        <v>230</v>
      </c>
      <c r="R2" s="221" t="s">
        <v>231</v>
      </c>
      <c r="S2" s="222">
        <v>2025</v>
      </c>
      <c r="T2" s="223" t="s">
        <v>228</v>
      </c>
      <c r="U2" s="221">
        <v>2023</v>
      </c>
      <c r="V2" s="221">
        <v>2024</v>
      </c>
      <c r="W2" s="222">
        <v>2025</v>
      </c>
      <c r="X2" s="224" t="s">
        <v>214</v>
      </c>
    </row>
    <row r="3" spans="1:24" s="225" customFormat="1" x14ac:dyDescent="0.2">
      <c r="B3" s="139" t="s">
        <v>162</v>
      </c>
      <c r="C3" s="225" t="s">
        <v>163</v>
      </c>
      <c r="D3" s="226">
        <v>277</v>
      </c>
      <c r="E3" s="213">
        <v>524600</v>
      </c>
      <c r="F3" s="213">
        <f>+[43]Main!$K$5-[43]Main!$K$6</f>
        <v>675</v>
      </c>
      <c r="G3" s="213">
        <f>+E3-F3</f>
        <v>523925</v>
      </c>
      <c r="H3" s="213">
        <f>+[43]Main!$K$3</f>
        <v>1822.306223</v>
      </c>
      <c r="I3" s="244" t="s">
        <v>616</v>
      </c>
      <c r="J3" s="228">
        <v>45575</v>
      </c>
    </row>
    <row r="4" spans="1:24" s="225" customFormat="1" x14ac:dyDescent="0.2">
      <c r="B4" s="225" t="s">
        <v>164</v>
      </c>
      <c r="C4" s="225" t="s">
        <v>314</v>
      </c>
      <c r="D4" s="226">
        <v>340.89</v>
      </c>
      <c r="E4" s="213">
        <v>329430</v>
      </c>
      <c r="F4" s="213"/>
      <c r="G4" s="213"/>
      <c r="H4" s="213"/>
      <c r="I4" s="213"/>
    </row>
    <row r="5" spans="1:24" s="225" customFormat="1" x14ac:dyDescent="0.2">
      <c r="B5" s="225" t="s">
        <v>257</v>
      </c>
      <c r="C5" s="225" t="s">
        <v>258</v>
      </c>
      <c r="D5" s="226">
        <v>517</v>
      </c>
      <c r="E5" s="213"/>
      <c r="F5" s="213"/>
      <c r="G5" s="213"/>
      <c r="H5" s="213"/>
      <c r="I5" s="213"/>
      <c r="O5" s="214"/>
      <c r="P5" s="214"/>
    </row>
    <row r="6" spans="1:24" s="225" customFormat="1" x14ac:dyDescent="0.2">
      <c r="B6" s="225" t="s">
        <v>261</v>
      </c>
      <c r="C6" s="225" t="s">
        <v>262</v>
      </c>
      <c r="D6" s="226">
        <v>284</v>
      </c>
      <c r="E6" s="213"/>
      <c r="F6" s="213"/>
      <c r="G6" s="213"/>
      <c r="H6" s="213"/>
      <c r="I6" s="213"/>
      <c r="O6" s="214"/>
      <c r="P6" s="214"/>
    </row>
    <row r="7" spans="1:24" x14ac:dyDescent="0.2">
      <c r="A7" s="214" t="s">
        <v>253</v>
      </c>
      <c r="B7" s="108" t="s">
        <v>26</v>
      </c>
      <c r="C7" s="214" t="s">
        <v>27</v>
      </c>
      <c r="D7" s="227">
        <v>613</v>
      </c>
      <c r="E7" s="213">
        <f>+D7*H7</f>
        <v>171640</v>
      </c>
      <c r="F7" s="213">
        <f>[44]Main!$L$5-[44]Main!$L$6</f>
        <v>-1833</v>
      </c>
      <c r="G7" s="213">
        <f>E7-F7</f>
        <v>173473</v>
      </c>
      <c r="H7" s="213">
        <f>+[44]Main!$L$3</f>
        <v>280</v>
      </c>
      <c r="I7" s="236" t="s">
        <v>616</v>
      </c>
      <c r="J7" s="228">
        <v>45573</v>
      </c>
      <c r="K7" s="229"/>
      <c r="L7" s="229"/>
      <c r="M7" s="229"/>
      <c r="N7" s="229"/>
      <c r="Q7" s="229"/>
      <c r="R7" s="229"/>
      <c r="S7" s="230"/>
      <c r="T7" s="231"/>
      <c r="U7" s="229"/>
      <c r="V7" s="229"/>
      <c r="W7" s="230"/>
      <c r="X7" s="214">
        <v>1984</v>
      </c>
    </row>
    <row r="8" spans="1:24" s="225" customFormat="1" x14ac:dyDescent="0.2">
      <c r="B8" s="139" t="s">
        <v>31</v>
      </c>
      <c r="C8" s="225" t="s">
        <v>32</v>
      </c>
      <c r="D8" s="226">
        <v>72</v>
      </c>
      <c r="E8" s="213">
        <f>D8*H8</f>
        <v>75384</v>
      </c>
      <c r="F8" s="213">
        <f>[45]Main!$M$5-[45]Main!$M$6</f>
        <v>8542</v>
      </c>
      <c r="G8" s="213">
        <f>E8-F8</f>
        <v>66842</v>
      </c>
      <c r="H8" s="213">
        <f>[45]Main!$M$3</f>
        <v>1047</v>
      </c>
      <c r="I8" s="213" t="s">
        <v>616</v>
      </c>
      <c r="J8" s="228">
        <v>45566</v>
      </c>
      <c r="O8" s="214"/>
      <c r="P8" s="214"/>
    </row>
    <row r="9" spans="1:24" x14ac:dyDescent="0.2">
      <c r="B9" s="214" t="s">
        <v>265</v>
      </c>
      <c r="C9" s="237" t="s">
        <v>640</v>
      </c>
      <c r="D9" s="215">
        <v>188.13</v>
      </c>
    </row>
    <row r="10" spans="1:24" x14ac:dyDescent="0.2">
      <c r="B10" s="214" t="s">
        <v>268</v>
      </c>
      <c r="C10" s="214" t="s">
        <v>269</v>
      </c>
      <c r="D10" s="215">
        <v>161.51</v>
      </c>
    </row>
    <row r="11" spans="1:24" s="225" customFormat="1" x14ac:dyDescent="0.2">
      <c r="B11" s="225" t="s">
        <v>243</v>
      </c>
      <c r="C11" s="225" t="s">
        <v>161</v>
      </c>
      <c r="D11" s="226">
        <v>64.25</v>
      </c>
      <c r="E11" s="213">
        <v>41870</v>
      </c>
      <c r="F11" s="213"/>
      <c r="G11" s="213"/>
      <c r="H11" s="213"/>
      <c r="I11" s="213"/>
      <c r="O11" s="214"/>
      <c r="P11" s="214"/>
    </row>
    <row r="12" spans="1:24" s="225" customFormat="1" x14ac:dyDescent="0.2">
      <c r="B12" s="225" t="s">
        <v>270</v>
      </c>
      <c r="C12" s="225" t="s">
        <v>271</v>
      </c>
      <c r="D12" s="226">
        <v>138.08000000000001</v>
      </c>
      <c r="E12" s="213"/>
      <c r="F12" s="213"/>
      <c r="G12" s="213"/>
      <c r="H12" s="213"/>
      <c r="I12" s="213"/>
      <c r="O12" s="214"/>
      <c r="P12" s="214"/>
    </row>
    <row r="13" spans="1:24" s="225" customFormat="1" x14ac:dyDescent="0.2">
      <c r="B13" s="139" t="s">
        <v>632</v>
      </c>
      <c r="C13" s="225" t="s">
        <v>633</v>
      </c>
      <c r="D13" s="226">
        <v>22.7</v>
      </c>
      <c r="E13" s="213">
        <f>+D13*H13</f>
        <v>20079.375799999998</v>
      </c>
      <c r="F13" s="213">
        <f>+[46]Main!$L$5-[46]Main!$L$6</f>
        <v>7251</v>
      </c>
      <c r="G13" s="213">
        <f>+E13-F13</f>
        <v>12828.375799999998</v>
      </c>
      <c r="H13" s="213">
        <f>+[46]Main!$L$3</f>
        <v>884.55399999999997</v>
      </c>
      <c r="I13" s="213" t="s">
        <v>616</v>
      </c>
      <c r="J13" s="228">
        <v>45559</v>
      </c>
      <c r="O13" s="214"/>
      <c r="P13" s="214"/>
    </row>
    <row r="14" spans="1:24" s="225" customFormat="1" x14ac:dyDescent="0.2">
      <c r="B14" s="225" t="s">
        <v>272</v>
      </c>
      <c r="C14" s="225" t="s">
        <v>273</v>
      </c>
      <c r="D14" s="226"/>
      <c r="E14" s="213"/>
      <c r="F14" s="213"/>
      <c r="G14" s="213"/>
      <c r="H14" s="213"/>
      <c r="I14" s="213"/>
      <c r="O14" s="214"/>
      <c r="P14" s="214"/>
    </row>
    <row r="15" spans="1:24" s="225" customFormat="1" x14ac:dyDescent="0.2">
      <c r="B15" s="225" t="s">
        <v>288</v>
      </c>
      <c r="C15" s="225" t="s">
        <v>288</v>
      </c>
      <c r="D15" s="226">
        <v>590.69000000000005</v>
      </c>
      <c r="E15" s="213"/>
      <c r="F15" s="213"/>
      <c r="G15" s="213"/>
      <c r="H15" s="213"/>
      <c r="I15" s="213"/>
      <c r="O15" s="214"/>
      <c r="P15" s="214"/>
    </row>
    <row r="16" spans="1:24" s="225" customFormat="1" x14ac:dyDescent="0.2">
      <c r="B16" s="225" t="s">
        <v>289</v>
      </c>
      <c r="C16" s="225" t="s">
        <v>290</v>
      </c>
      <c r="D16" s="226">
        <v>98.94</v>
      </c>
      <c r="E16" s="213"/>
      <c r="F16" s="213"/>
      <c r="G16" s="213"/>
      <c r="H16" s="213"/>
      <c r="I16" s="213"/>
      <c r="O16" s="214"/>
      <c r="P16" s="214"/>
    </row>
    <row r="17" spans="1:23" s="225" customFormat="1" x14ac:dyDescent="0.2">
      <c r="B17" s="225" t="s">
        <v>293</v>
      </c>
      <c r="C17" s="225" t="s">
        <v>294</v>
      </c>
      <c r="D17" s="226"/>
      <c r="E17" s="213"/>
      <c r="F17" s="213"/>
      <c r="G17" s="213"/>
      <c r="H17" s="213"/>
      <c r="I17" s="213"/>
      <c r="O17" s="214"/>
      <c r="P17" s="214"/>
    </row>
    <row r="18" spans="1:23" s="225" customFormat="1" x14ac:dyDescent="0.2">
      <c r="B18" s="235" t="s">
        <v>638</v>
      </c>
      <c r="C18" s="235" t="s">
        <v>639</v>
      </c>
      <c r="D18" s="226">
        <v>27.5</v>
      </c>
      <c r="E18" s="213"/>
      <c r="F18" s="213"/>
      <c r="G18" s="213"/>
      <c r="H18" s="213"/>
      <c r="I18" s="213"/>
      <c r="O18" s="214"/>
      <c r="P18" s="214"/>
    </row>
    <row r="19" spans="1:23" s="225" customFormat="1" x14ac:dyDescent="0.2">
      <c r="B19" s="225" t="s">
        <v>296</v>
      </c>
      <c r="C19" s="225" t="s">
        <v>297</v>
      </c>
      <c r="D19" s="226">
        <v>142.76</v>
      </c>
      <c r="E19" s="213"/>
      <c r="F19" s="213"/>
      <c r="G19" s="213"/>
      <c r="H19" s="213"/>
      <c r="I19" s="213"/>
      <c r="O19" s="214"/>
      <c r="P19" s="214"/>
    </row>
    <row r="20" spans="1:23" s="225" customFormat="1" x14ac:dyDescent="0.2">
      <c r="B20" s="225" t="s">
        <v>306</v>
      </c>
      <c r="C20" s="225" t="s">
        <v>307</v>
      </c>
      <c r="D20" s="226">
        <v>72.069999999999993</v>
      </c>
      <c r="E20" s="213"/>
      <c r="F20" s="213"/>
      <c r="G20" s="213"/>
      <c r="H20" s="213"/>
      <c r="I20" s="213"/>
      <c r="O20" s="214"/>
      <c r="P20" s="214"/>
    </row>
    <row r="21" spans="1:23" s="225" customFormat="1" x14ac:dyDescent="0.2">
      <c r="B21" s="225" t="s">
        <v>70</v>
      </c>
      <c r="C21" s="225" t="s">
        <v>71</v>
      </c>
      <c r="D21" s="226">
        <v>68.930000000000007</v>
      </c>
      <c r="E21" s="213">
        <v>18053</v>
      </c>
      <c r="F21" s="213"/>
      <c r="G21" s="213"/>
      <c r="H21" s="213"/>
      <c r="I21" s="213"/>
      <c r="O21" s="214"/>
      <c r="P21" s="214"/>
    </row>
    <row r="22" spans="1:23" s="225" customFormat="1" x14ac:dyDescent="0.2">
      <c r="A22" s="225" t="s">
        <v>253</v>
      </c>
      <c r="B22" s="225" t="s">
        <v>82</v>
      </c>
      <c r="C22" s="225" t="s">
        <v>83</v>
      </c>
      <c r="D22" s="226">
        <v>58.75</v>
      </c>
      <c r="E22" s="213">
        <v>14980</v>
      </c>
      <c r="F22" s="213"/>
      <c r="G22" s="213"/>
      <c r="H22" s="213"/>
      <c r="I22" s="213"/>
      <c r="O22" s="214"/>
      <c r="P22" s="214"/>
    </row>
    <row r="23" spans="1:23" s="225" customFormat="1" x14ac:dyDescent="0.2">
      <c r="A23" s="225" t="s">
        <v>253</v>
      </c>
      <c r="B23" s="225" t="s">
        <v>103</v>
      </c>
      <c r="C23" s="225" t="s">
        <v>104</v>
      </c>
      <c r="D23" s="226">
        <v>184.44</v>
      </c>
      <c r="E23" s="213">
        <v>10400</v>
      </c>
      <c r="F23" s="213"/>
      <c r="G23" s="213"/>
      <c r="H23" s="213"/>
      <c r="I23" s="213"/>
      <c r="O23" s="214"/>
      <c r="P23" s="214"/>
    </row>
    <row r="24" spans="1:23" x14ac:dyDescent="0.2">
      <c r="B24" s="232" t="s">
        <v>300</v>
      </c>
      <c r="C24" s="214" t="s">
        <v>301</v>
      </c>
      <c r="D24" s="227">
        <v>175.2</v>
      </c>
      <c r="E24" s="213">
        <v>27500</v>
      </c>
      <c r="F24" s="213"/>
      <c r="G24" s="213"/>
      <c r="H24" s="213"/>
      <c r="J24" s="215"/>
      <c r="K24" s="229"/>
      <c r="L24" s="229"/>
      <c r="M24" s="229"/>
      <c r="N24" s="229"/>
      <c r="Q24" s="229"/>
      <c r="R24" s="229"/>
      <c r="S24" s="230"/>
      <c r="T24" s="231"/>
      <c r="U24" s="229"/>
      <c r="V24" s="229"/>
      <c r="W24" s="230"/>
    </row>
    <row r="25" spans="1:23" x14ac:dyDescent="0.2">
      <c r="A25" s="214" t="s">
        <v>253</v>
      </c>
      <c r="B25" s="232" t="s">
        <v>64</v>
      </c>
      <c r="C25" s="214" t="s">
        <v>65</v>
      </c>
      <c r="D25" s="227">
        <v>312</v>
      </c>
      <c r="E25" s="213">
        <v>19090</v>
      </c>
    </row>
    <row r="26" spans="1:23" x14ac:dyDescent="0.2">
      <c r="B26" s="243" t="s">
        <v>645</v>
      </c>
      <c r="C26" s="243" t="s">
        <v>646</v>
      </c>
      <c r="D26" s="227">
        <v>8.1300000000000008</v>
      </c>
      <c r="E26" s="213">
        <v>1700</v>
      </c>
    </row>
    <row r="27" spans="1:23" x14ac:dyDescent="0.2">
      <c r="A27" s="214" t="s">
        <v>253</v>
      </c>
      <c r="B27" s="214" t="s">
        <v>425</v>
      </c>
      <c r="C27" s="214" t="s">
        <v>426</v>
      </c>
    </row>
    <row r="28" spans="1:23" x14ac:dyDescent="0.2">
      <c r="A28" s="214" t="s">
        <v>253</v>
      </c>
      <c r="B28" s="214" t="s">
        <v>431</v>
      </c>
      <c r="C28" s="214" t="s">
        <v>432</v>
      </c>
    </row>
    <row r="29" spans="1:23" x14ac:dyDescent="0.2">
      <c r="A29" s="214" t="s">
        <v>253</v>
      </c>
      <c r="B29" s="214" t="s">
        <v>487</v>
      </c>
      <c r="C29" s="214" t="s">
        <v>488</v>
      </c>
    </row>
    <row r="30" spans="1:23" x14ac:dyDescent="0.2">
      <c r="A30" s="214" t="s">
        <v>253</v>
      </c>
      <c r="B30" s="214" t="s">
        <v>519</v>
      </c>
      <c r="C30" s="214" t="s">
        <v>520</v>
      </c>
    </row>
    <row r="31" spans="1:23" x14ac:dyDescent="0.2">
      <c r="A31" s="214" t="s">
        <v>253</v>
      </c>
      <c r="B31" s="214" t="s">
        <v>543</v>
      </c>
      <c r="C31" s="214" t="s">
        <v>544</v>
      </c>
    </row>
    <row r="32" spans="1:23" x14ac:dyDescent="0.2">
      <c r="A32" s="214" t="s">
        <v>253</v>
      </c>
      <c r="B32" s="214" t="s">
        <v>573</v>
      </c>
      <c r="C32" s="214" t="s">
        <v>574</v>
      </c>
    </row>
    <row r="33" spans="1:9" x14ac:dyDescent="0.2">
      <c r="A33" s="214" t="s">
        <v>253</v>
      </c>
      <c r="B33" s="214" t="s">
        <v>587</v>
      </c>
      <c r="C33" s="214" t="s">
        <v>588</v>
      </c>
    </row>
    <row r="34" spans="1:9" x14ac:dyDescent="0.2">
      <c r="A34" s="214" t="s">
        <v>253</v>
      </c>
      <c r="B34" s="214" t="s">
        <v>595</v>
      </c>
      <c r="C34" s="214" t="s">
        <v>596</v>
      </c>
    </row>
    <row r="35" spans="1:9" x14ac:dyDescent="0.2">
      <c r="A35" s="214" t="s">
        <v>253</v>
      </c>
      <c r="B35" s="214" t="s">
        <v>597</v>
      </c>
      <c r="C35" s="214" t="s">
        <v>598</v>
      </c>
    </row>
    <row r="36" spans="1:9" x14ac:dyDescent="0.2">
      <c r="A36" s="214" t="s">
        <v>253</v>
      </c>
      <c r="B36" s="214" t="s">
        <v>599</v>
      </c>
      <c r="C36" s="214" t="s">
        <v>600</v>
      </c>
    </row>
    <row r="37" spans="1:9" x14ac:dyDescent="0.2">
      <c r="A37" s="214" t="s">
        <v>253</v>
      </c>
      <c r="B37" s="214" t="s">
        <v>605</v>
      </c>
      <c r="C37" s="214" t="s">
        <v>606</v>
      </c>
    </row>
    <row r="39" spans="1:9" s="225" customFormat="1" x14ac:dyDescent="0.2">
      <c r="B39" s="49" t="s">
        <v>33</v>
      </c>
      <c r="C39" s="49" t="s">
        <v>150</v>
      </c>
      <c r="D39" s="50">
        <v>0</v>
      </c>
      <c r="E39" s="9">
        <v>100000</v>
      </c>
      <c r="F39" s="213"/>
      <c r="G39" s="213"/>
      <c r="H39" s="213"/>
      <c r="I39" s="213"/>
    </row>
    <row r="40" spans="1:9" x14ac:dyDescent="0.2">
      <c r="B40" s="127" t="s">
        <v>58</v>
      </c>
      <c r="C40" s="127"/>
      <c r="D40" s="128">
        <v>0</v>
      </c>
      <c r="E40" s="129">
        <v>26000</v>
      </c>
    </row>
    <row r="41" spans="1:9" x14ac:dyDescent="0.2">
      <c r="B41" s="225" t="s">
        <v>86</v>
      </c>
      <c r="C41" s="225"/>
      <c r="D41" s="50">
        <v>0</v>
      </c>
      <c r="E41" s="213">
        <v>15000</v>
      </c>
    </row>
    <row r="42" spans="1:9" x14ac:dyDescent="0.2">
      <c r="B42" s="214" t="s">
        <v>242</v>
      </c>
      <c r="D42" s="50">
        <v>0</v>
      </c>
      <c r="E42" s="215">
        <v>75</v>
      </c>
    </row>
    <row r="43" spans="1:9" x14ac:dyDescent="0.2">
      <c r="B43" s="214" t="s">
        <v>244</v>
      </c>
      <c r="D43" s="50">
        <v>0</v>
      </c>
    </row>
    <row r="44" spans="1:9" x14ac:dyDescent="0.2">
      <c r="B44" s="214" t="s">
        <v>274</v>
      </c>
      <c r="E44" s="215">
        <v>424</v>
      </c>
    </row>
    <row r="45" spans="1:9" x14ac:dyDescent="0.2">
      <c r="B45" s="214" t="s">
        <v>276</v>
      </c>
      <c r="E45" s="215">
        <v>159.5</v>
      </c>
    </row>
    <row r="46" spans="1:9" x14ac:dyDescent="0.2">
      <c r="B46" s="214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2" bestFit="1" customWidth="1"/>
    <col min="2" max="2" width="11.42578125" style="152" bestFit="1" customWidth="1"/>
    <col min="3" max="16384" width="9.140625" style="152"/>
  </cols>
  <sheetData>
    <row r="1" spans="1:24" x14ac:dyDescent="0.2">
      <c r="A1" s="152" t="s">
        <v>142</v>
      </c>
    </row>
    <row r="2" spans="1:24" x14ac:dyDescent="0.2">
      <c r="B2" s="154" t="s">
        <v>0</v>
      </c>
      <c r="C2" s="155" t="s">
        <v>1</v>
      </c>
      <c r="D2" s="156" t="s">
        <v>2</v>
      </c>
      <c r="E2" s="157" t="s">
        <v>3</v>
      </c>
      <c r="F2" s="158" t="s">
        <v>4</v>
      </c>
      <c r="G2" s="158" t="s">
        <v>5</v>
      </c>
      <c r="H2" s="158" t="s">
        <v>213</v>
      </c>
      <c r="I2" s="158" t="s">
        <v>6</v>
      </c>
      <c r="J2" s="158" t="s">
        <v>224</v>
      </c>
      <c r="K2" s="159" t="s">
        <v>208</v>
      </c>
      <c r="L2" s="159" t="s">
        <v>212</v>
      </c>
      <c r="M2" s="159" t="s">
        <v>209</v>
      </c>
      <c r="N2" s="159" t="s">
        <v>210</v>
      </c>
      <c r="O2" s="160" t="s">
        <v>211</v>
      </c>
      <c r="P2" s="161" t="s">
        <v>229</v>
      </c>
      <c r="Q2" s="162" t="s">
        <v>230</v>
      </c>
      <c r="R2" s="162" t="s">
        <v>231</v>
      </c>
      <c r="S2" s="160">
        <v>2025</v>
      </c>
      <c r="T2" s="161" t="s">
        <v>228</v>
      </c>
      <c r="U2" s="159">
        <v>2023</v>
      </c>
      <c r="V2" s="159">
        <v>2024</v>
      </c>
      <c r="W2" s="160">
        <v>2025</v>
      </c>
      <c r="X2" s="152" t="s">
        <v>214</v>
      </c>
    </row>
    <row r="3" spans="1:24" x14ac:dyDescent="0.2">
      <c r="B3" s="153" t="s">
        <v>143</v>
      </c>
      <c r="C3" s="152" t="s">
        <v>144</v>
      </c>
      <c r="D3" s="163">
        <v>26.99</v>
      </c>
      <c r="E3" s="164">
        <v>1400</v>
      </c>
    </row>
    <row r="4" spans="1:24" x14ac:dyDescent="0.2">
      <c r="A4" s="152" t="s">
        <v>253</v>
      </c>
      <c r="B4" s="153" t="s">
        <v>531</v>
      </c>
      <c r="C4" s="152" t="s">
        <v>532</v>
      </c>
      <c r="D4" s="163"/>
      <c r="E4" s="164"/>
    </row>
    <row r="5" spans="1:24" x14ac:dyDescent="0.2">
      <c r="A5" s="152" t="s">
        <v>253</v>
      </c>
      <c r="B5" s="124" t="s">
        <v>392</v>
      </c>
      <c r="C5" s="152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6"/>
  <sheetViews>
    <sheetView tabSelected="1" zoomScale="175" zoomScaleNormal="1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O19" sqref="O19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9.28515625" style="10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[7]Main!$K$5-[7]Main!$K$6</f>
        <v>27440</v>
      </c>
      <c r="G3" s="3">
        <f>+E3-F3</f>
        <v>1719832.7429785002</v>
      </c>
      <c r="H3" s="46">
        <f>+[7]Main!$K$3</f>
        <v>10406.627415000001</v>
      </c>
      <c r="I3" s="4" t="s">
        <v>613</v>
      </c>
      <c r="J3" s="54">
        <v>45506</v>
      </c>
    </row>
    <row r="4" spans="1:24" s="20" customFormat="1" x14ac:dyDescent="0.2">
      <c r="A4" s="172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([47]Main!$O$5-[47]Main!$O$6)/RMB</f>
        <v>121948.96142433234</v>
      </c>
      <c r="G4" s="22">
        <f>+E4-F4</f>
        <v>111256.03232566765</v>
      </c>
      <c r="H4" s="22">
        <f>+[47]Main!$L$3</f>
        <v>2449.375</v>
      </c>
      <c r="I4" s="195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2" t="s">
        <v>253</v>
      </c>
      <c r="B5" s="5" t="s">
        <v>17</v>
      </c>
      <c r="C5" s="204" t="s">
        <v>634</v>
      </c>
      <c r="D5" s="205">
        <v>92</v>
      </c>
      <c r="E5" s="3">
        <f>+D5*H5/HKD</f>
        <v>229654.2587072282</v>
      </c>
      <c r="F5" s="3" cm="1">
        <f t="array" ref="F5">([47]Main!$O$5-[47]Main!$O$6)/RMB</f>
        <v>121948.96142433234</v>
      </c>
      <c r="G5" s="3">
        <f>+E5-F5</f>
        <v>107705.29728289586</v>
      </c>
      <c r="H5" s="46">
        <f>+[47]Main!$O$3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2" t="s">
        <v>253</v>
      </c>
      <c r="B8" s="11" t="s">
        <v>198</v>
      </c>
      <c r="C8" s="11" t="s">
        <v>199</v>
      </c>
    </row>
    <row r="9" spans="1:24" x14ac:dyDescent="0.2">
      <c r="A9" s="172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+[48]Main!$L$5-[48]Main!$L$6</f>
        <v>7643.4470000000001</v>
      </c>
      <c r="G9" s="22">
        <f>E9-F9</f>
        <v>66071.040644859997</v>
      </c>
      <c r="H9" s="46">
        <f>+[48]Main!$L$3</f>
        <v>633.17718300000001</v>
      </c>
      <c r="I9" s="116" t="s">
        <v>349</v>
      </c>
      <c r="J9" s="54">
        <v>44971</v>
      </c>
    </row>
    <row r="10" spans="1:24" x14ac:dyDescent="0.2">
      <c r="A10" s="172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2" t="s">
        <v>253</v>
      </c>
      <c r="B12" s="10" t="s">
        <v>42</v>
      </c>
      <c r="C12" s="10" t="s">
        <v>43</v>
      </c>
    </row>
    <row r="13" spans="1:24" s="20" customFormat="1" x14ac:dyDescent="0.2">
      <c r="A13" s="152" t="s">
        <v>253</v>
      </c>
      <c r="B13" s="5" t="s">
        <v>36</v>
      </c>
      <c r="C13" s="20" t="s">
        <v>37</v>
      </c>
      <c r="D13" s="21">
        <v>36.71</v>
      </c>
      <c r="E13" s="22">
        <f>+D13*[49]Main!$M$3</f>
        <v>46254.6</v>
      </c>
      <c r="F13" s="22">
        <f>+[49]Main!$M$5-[49]Main!$M$6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+[50]Main!$K$5-[50]Main!$K$6</f>
        <v>-1163.2909999999999</v>
      </c>
      <c r="G24" s="46">
        <f>+E24-F24</f>
        <v>2126.8046414800001</v>
      </c>
      <c r="H24" s="46">
        <f>+[50]Main!$K$3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3" t="s">
        <v>631</v>
      </c>
      <c r="D25" s="10">
        <v>1.77</v>
      </c>
      <c r="E25" s="46">
        <f>+D25*H25</f>
        <v>183.49568582999999</v>
      </c>
      <c r="F25" s="46">
        <f>+[51]Main!$K$5-[51]Main!$K$6</f>
        <v>4.47199999999998</v>
      </c>
      <c r="G25" s="46">
        <f>+E25-F25</f>
        <v>179.02368583000001</v>
      </c>
      <c r="H25" s="46">
        <f>+[51]Main!$K$3</f>
        <v>103.66987899999999</v>
      </c>
      <c r="I25" s="245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152" t="s">
        <v>510</v>
      </c>
      <c r="C27" s="152" t="s">
        <v>511</v>
      </c>
    </row>
    <row r="28" spans="1:23" x14ac:dyDescent="0.2">
      <c r="B28" s="167" t="s">
        <v>553</v>
      </c>
      <c r="C28" s="167" t="s">
        <v>554</v>
      </c>
    </row>
    <row r="29" spans="1:23" x14ac:dyDescent="0.2">
      <c r="B29" s="167" t="s">
        <v>561</v>
      </c>
      <c r="C29" s="167" t="s">
        <v>562</v>
      </c>
    </row>
    <row r="30" spans="1:23" x14ac:dyDescent="0.2">
      <c r="B30" s="173" t="s">
        <v>615</v>
      </c>
      <c r="C30" s="173" t="s">
        <v>614</v>
      </c>
    </row>
    <row r="31" spans="1:23" x14ac:dyDescent="0.2">
      <c r="B31" s="5" t="s">
        <v>647</v>
      </c>
      <c r="C31" s="246" t="s">
        <v>648</v>
      </c>
      <c r="D31" s="233">
        <v>41.16</v>
      </c>
    </row>
    <row r="33" spans="2:12" x14ac:dyDescent="0.2">
      <c r="B33" s="1" t="s">
        <v>115</v>
      </c>
      <c r="C33" s="1"/>
      <c r="D33" s="2"/>
      <c r="E33" s="3">
        <v>8333</v>
      </c>
    </row>
    <row r="34" spans="2:12" x14ac:dyDescent="0.2">
      <c r="B34" s="20" t="s">
        <v>63</v>
      </c>
      <c r="C34" s="20"/>
      <c r="D34" s="21"/>
      <c r="E34" s="22">
        <v>22000</v>
      </c>
    </row>
    <row r="35" spans="2:12" x14ac:dyDescent="0.2">
      <c r="B35" s="20" t="s">
        <v>55</v>
      </c>
      <c r="C35" s="20"/>
      <c r="D35" s="21"/>
      <c r="E35" s="22">
        <v>30000</v>
      </c>
    </row>
    <row r="36" spans="2:12" x14ac:dyDescent="0.2">
      <c r="B36" s="147" t="s">
        <v>451</v>
      </c>
      <c r="L36" s="147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1" r:id="rId8" xr:uid="{B9AD6732-3E45-4F0C-8171-C60C9015033B}"/>
  </hyperlinks>
  <pageMargins left="0.7" right="0.7" top="0.75" bottom="0.75" header="0.3" footer="0.3"/>
  <pageSetup orientation="portrait" r:id="rId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2" t="s">
        <v>253</v>
      </c>
      <c r="B4" s="10" t="s">
        <v>156</v>
      </c>
      <c r="C4" s="10" t="s">
        <v>155</v>
      </c>
    </row>
    <row r="5" spans="1:24" x14ac:dyDescent="0.2">
      <c r="A5" s="152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2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2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+[52]Main!$N$5-[52]Main!$N$6</f>
        <v>472.05500000000006</v>
      </c>
      <c r="G9" s="46">
        <f>+E9-F9</f>
        <v>28022.535988259999</v>
      </c>
      <c r="H9" s="46">
        <f>+[52]Main!$N$3</f>
        <v>341.70273399999996</v>
      </c>
      <c r="I9" s="207" t="s">
        <v>616</v>
      </c>
      <c r="J9" s="208">
        <v>45561</v>
      </c>
    </row>
    <row r="10" spans="1:24" x14ac:dyDescent="0.2">
      <c r="A10" s="152" t="s">
        <v>253</v>
      </c>
      <c r="B10" s="144" t="s">
        <v>433</v>
      </c>
      <c r="C10" s="144" t="s">
        <v>434</v>
      </c>
    </row>
    <row r="11" spans="1:24" x14ac:dyDescent="0.2">
      <c r="A11" s="152" t="s">
        <v>253</v>
      </c>
      <c r="B11" s="152" t="s">
        <v>94</v>
      </c>
      <c r="C11" s="152" t="s">
        <v>95</v>
      </c>
    </row>
    <row r="12" spans="1:24" x14ac:dyDescent="0.2">
      <c r="A12" s="152" t="s">
        <v>253</v>
      </c>
      <c r="B12" s="152" t="s">
        <v>504</v>
      </c>
      <c r="C12" s="152" t="s">
        <v>505</v>
      </c>
    </row>
    <row r="13" spans="1:24" x14ac:dyDescent="0.2">
      <c r="A13" s="152" t="s">
        <v>253</v>
      </c>
      <c r="B13" s="152" t="s">
        <v>533</v>
      </c>
      <c r="C13" s="152" t="s">
        <v>534</v>
      </c>
    </row>
    <row r="14" spans="1:24" x14ac:dyDescent="0.2">
      <c r="A14" s="152" t="s">
        <v>253</v>
      </c>
      <c r="B14" s="152" t="s">
        <v>539</v>
      </c>
      <c r="C14" s="152" t="s">
        <v>540</v>
      </c>
    </row>
    <row r="15" spans="1:24" x14ac:dyDescent="0.2">
      <c r="A15" s="167" t="s">
        <v>253</v>
      </c>
      <c r="B15" s="167" t="s">
        <v>557</v>
      </c>
      <c r="C15" s="167" t="s">
        <v>558</v>
      </c>
    </row>
    <row r="16" spans="1:24" x14ac:dyDescent="0.2">
      <c r="A16" s="167" t="s">
        <v>253</v>
      </c>
      <c r="B16" s="167" t="s">
        <v>571</v>
      </c>
      <c r="C16" s="167" t="s">
        <v>572</v>
      </c>
    </row>
    <row r="17" spans="1:3" x14ac:dyDescent="0.2">
      <c r="A17" s="167" t="s">
        <v>253</v>
      </c>
      <c r="B17" s="167" t="s">
        <v>601</v>
      </c>
      <c r="C17" s="167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40">
        <v>10.3437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2024-10-12T17:10:02Z</dcterms:modified>
  <cp:category/>
  <cp:contentStatus/>
</cp:coreProperties>
</file>