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427"/>
  <workbookPr defaultThemeVersion="124226"/>
  <mc:AlternateContent xmlns:mc="http://schemas.openxmlformats.org/markup-compatibility/2006">
    <mc:Choice Requires="x15">
      <x15ac:absPath xmlns:x15ac="http://schemas.microsoft.com/office/spreadsheetml/2010/11/ac" url="C:\Users\Martin\code\models\"/>
    </mc:Choice>
  </mc:AlternateContent>
  <xr:revisionPtr revIDLastSave="0" documentId="13_ncr:1_{7A101A64-9FD2-4364-9939-5BA887035E49}" xr6:coauthVersionLast="47" xr6:coauthVersionMax="47" xr10:uidLastSave="{00000000-0000-0000-0000-000000000000}"/>
  <bookViews>
    <workbookView xWindow="7650" yWindow="4470" windowWidth="19260" windowHeight="10590" firstSheet="2" activeTab="1" xr2:uid="{00000000-000D-0000-FFFF-FFFF00000000}"/>
  </bookViews>
  <sheets>
    <sheet name="Main" sheetId="1" r:id="rId1"/>
    <sheet name="Monkeypox" sheetId="8" r:id="rId2"/>
    <sheet name="Model" sheetId="3" r:id="rId3"/>
    <sheet name="Potential award" sheetId="4" r:id="rId4"/>
    <sheet name="TPOXX" sheetId="2" r:id="rId5"/>
    <sheet name="Legal" sheetId="6" r:id="rId6"/>
    <sheet name="Pipeline" sheetId="7" r:id="rId7"/>
  </sheets>
  <definedNames>
    <definedName name="_xlnm.Print_Area" localSheetId="0">Main!$B$2:$M$21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4" i="8" l="1"/>
  <c r="E4" i="8"/>
  <c r="O55" i="8"/>
  <c r="O54" i="8"/>
  <c r="O53" i="8"/>
  <c r="O52" i="8"/>
  <c r="O51" i="8"/>
  <c r="O50" i="8"/>
  <c r="O49" i="8"/>
  <c r="O48" i="8"/>
  <c r="O47" i="8"/>
  <c r="O46" i="8"/>
  <c r="O45" i="8"/>
  <c r="O44" i="8"/>
  <c r="O43" i="8"/>
  <c r="O42" i="8"/>
  <c r="O41" i="8"/>
  <c r="O40" i="8"/>
  <c r="O39" i="8"/>
  <c r="O38" i="8"/>
  <c r="O82" i="8"/>
  <c r="O81" i="8"/>
  <c r="O80" i="8"/>
  <c r="O79" i="8"/>
  <c r="O78" i="8"/>
  <c r="O77" i="8"/>
  <c r="O76" i="8"/>
  <c r="O75" i="8"/>
  <c r="O74" i="8"/>
  <c r="O73" i="8"/>
  <c r="O72" i="8"/>
  <c r="O71" i="8"/>
  <c r="O70" i="8"/>
  <c r="O69" i="8"/>
  <c r="O68" i="8"/>
  <c r="O67" i="8"/>
  <c r="O66" i="8"/>
  <c r="O65" i="8"/>
  <c r="O64" i="8"/>
  <c r="O63" i="8"/>
  <c r="O62" i="8"/>
  <c r="O61" i="8"/>
  <c r="O60" i="8"/>
  <c r="O59" i="8"/>
  <c r="O58" i="8"/>
  <c r="O57" i="8"/>
  <c r="O56" i="8"/>
  <c r="O83" i="8"/>
  <c r="N6" i="8"/>
  <c r="N7" i="8" s="1"/>
  <c r="N8" i="8" s="1"/>
  <c r="N9" i="8" s="1"/>
  <c r="N10" i="8" s="1"/>
  <c r="N11" i="8" s="1"/>
  <c r="N12" i="8" s="1"/>
  <c r="N13" i="8" s="1"/>
  <c r="N14" i="8" s="1"/>
  <c r="N15" i="8" s="1"/>
  <c r="N16" i="8" s="1"/>
  <c r="N17" i="8" s="1"/>
  <c r="N18" i="8" s="1"/>
  <c r="N19" i="8" s="1"/>
  <c r="N20" i="8" s="1"/>
  <c r="N21" i="8" s="1"/>
  <c r="N22" i="8" s="1"/>
  <c r="N23" i="8" s="1"/>
  <c r="N24" i="8" s="1"/>
  <c r="N25" i="8" s="1"/>
  <c r="N26" i="8" s="1"/>
  <c r="N27" i="8" s="1"/>
  <c r="N28" i="8" s="1"/>
  <c r="N29" i="8" s="1"/>
  <c r="N30" i="8" s="1"/>
  <c r="N31" i="8" s="1"/>
  <c r="N32" i="8" s="1"/>
  <c r="N33" i="8" s="1"/>
  <c r="N34" i="8" s="1"/>
  <c r="N35" i="8" s="1"/>
  <c r="N36" i="8" s="1"/>
  <c r="N37" i="8" s="1"/>
  <c r="N38" i="8" s="1"/>
  <c r="N39" i="8" s="1"/>
  <c r="N40" i="8" s="1"/>
  <c r="N41" i="8" s="1"/>
  <c r="N42" i="8" s="1"/>
  <c r="N43" i="8" s="1"/>
  <c r="N44" i="8" s="1"/>
  <c r="N45" i="8" s="1"/>
  <c r="N46" i="8" s="1"/>
  <c r="N47" i="8" s="1"/>
  <c r="N48" i="8" s="1"/>
  <c r="N49" i="8" s="1"/>
  <c r="N50" i="8" s="1"/>
  <c r="N51" i="8" s="1"/>
  <c r="N52" i="8" s="1"/>
  <c r="N53" i="8" s="1"/>
  <c r="N54" i="8" s="1"/>
  <c r="N55" i="8" s="1"/>
  <c r="N56" i="8" s="1"/>
  <c r="N57" i="8" s="1"/>
  <c r="N58" i="8" s="1"/>
  <c r="N59" i="8" s="1"/>
  <c r="N60" i="8" s="1"/>
  <c r="N61" i="8" s="1"/>
  <c r="N62" i="8" s="1"/>
  <c r="N63" i="8" s="1"/>
  <c r="N64" i="8" s="1"/>
  <c r="N65" i="8" s="1"/>
  <c r="N66" i="8" s="1"/>
  <c r="N67" i="8" s="1"/>
  <c r="N68" i="8" s="1"/>
  <c r="N69" i="8" s="1"/>
  <c r="N70" i="8" s="1"/>
  <c r="N71" i="8" s="1"/>
  <c r="N72" i="8" s="1"/>
  <c r="N73" i="8" s="1"/>
  <c r="N74" i="8" s="1"/>
  <c r="N75" i="8" s="1"/>
  <c r="N76" i="8" s="1"/>
  <c r="N77" i="8" s="1"/>
  <c r="N78" i="8" s="1"/>
  <c r="N79" i="8" s="1"/>
  <c r="N80" i="8" s="1"/>
  <c r="N81" i="8" s="1"/>
  <c r="N82" i="8" s="1"/>
  <c r="N83" i="8" s="1"/>
  <c r="N5" i="8"/>
  <c r="H7" i="8"/>
  <c r="H6" i="8"/>
  <c r="G82" i="8"/>
  <c r="D4" i="8"/>
  <c r="C4" i="8"/>
  <c r="K70" i="8"/>
  <c r="K69" i="8"/>
  <c r="K68" i="8"/>
  <c r="K67" i="8"/>
  <c r="K66" i="8"/>
  <c r="K65" i="8"/>
  <c r="K64" i="8"/>
  <c r="K63" i="8"/>
  <c r="K62" i="8"/>
  <c r="K61" i="8"/>
  <c r="K60" i="8"/>
  <c r="K59" i="8"/>
  <c r="K58" i="8"/>
  <c r="K57" i="8"/>
  <c r="K56" i="8"/>
  <c r="K55" i="8"/>
  <c r="K54" i="8"/>
  <c r="K53" i="8"/>
  <c r="K52" i="8"/>
  <c r="K51" i="8"/>
  <c r="K50" i="8"/>
  <c r="K49" i="8"/>
  <c r="K48" i="8"/>
  <c r="K47" i="8"/>
  <c r="K46" i="8"/>
  <c r="K45" i="8"/>
  <c r="K44" i="8"/>
  <c r="K43" i="8"/>
  <c r="K42" i="8"/>
  <c r="K41" i="8"/>
  <c r="K40" i="8"/>
  <c r="K39" i="8"/>
  <c r="K38" i="8"/>
  <c r="K37" i="8"/>
  <c r="K36" i="8"/>
  <c r="K35" i="8"/>
  <c r="K34" i="8"/>
  <c r="K33" i="8"/>
  <c r="K32" i="8"/>
  <c r="K31" i="8"/>
  <c r="K30" i="8"/>
  <c r="K29" i="8"/>
  <c r="K28" i="8"/>
  <c r="K27" i="8"/>
  <c r="K26" i="8"/>
  <c r="K25" i="8"/>
  <c r="K24" i="8"/>
  <c r="K23" i="8"/>
  <c r="K22" i="8"/>
  <c r="K21" i="8"/>
  <c r="K20" i="8"/>
  <c r="K19" i="8"/>
  <c r="K18" i="8"/>
  <c r="K17" i="8"/>
  <c r="K16" i="8"/>
  <c r="K15" i="8"/>
  <c r="K14" i="8"/>
  <c r="K13" i="8"/>
  <c r="J5" i="8"/>
  <c r="J6" i="8" s="1"/>
  <c r="J7" i="8" s="1"/>
  <c r="J8" i="8" s="1"/>
  <c r="H26" i="4"/>
  <c r="I26" i="4" s="1"/>
  <c r="G26" i="4"/>
  <c r="G25" i="4"/>
  <c r="G27" i="4" s="1"/>
  <c r="H25" i="4"/>
  <c r="H27" i="4" s="1"/>
  <c r="I25" i="4"/>
  <c r="J25" i="4"/>
  <c r="F25" i="4"/>
  <c r="F27" i="4" s="1"/>
  <c r="C21" i="4"/>
  <c r="D24" i="4"/>
  <c r="E24" i="4" s="1"/>
  <c r="F24" i="4" s="1"/>
  <c r="G24" i="4" s="1"/>
  <c r="H24" i="4" s="1"/>
  <c r="I24" i="4" s="1"/>
  <c r="J24" i="4" s="1"/>
  <c r="K24" i="4" s="1"/>
  <c r="J9" i="8" l="1"/>
  <c r="J10" i="8" s="1"/>
  <c r="J11" i="8" s="1"/>
  <c r="J12" i="8" s="1"/>
  <c r="J13" i="8" s="1"/>
  <c r="J14" i="8" s="1"/>
  <c r="J15" i="8" s="1"/>
  <c r="J16" i="8" s="1"/>
  <c r="J17" i="8" s="1"/>
  <c r="J18" i="8" s="1"/>
  <c r="J19" i="8" s="1"/>
  <c r="J20" i="8" s="1"/>
  <c r="J21" i="8" s="1"/>
  <c r="J22" i="8" s="1"/>
  <c r="J23" i="8" s="1"/>
  <c r="J24" i="8" s="1"/>
  <c r="J25" i="8" s="1"/>
  <c r="J26" i="8" s="1"/>
  <c r="J27" i="8" s="1"/>
  <c r="J28" i="8" s="1"/>
  <c r="J29" i="8" s="1"/>
  <c r="J30" i="8" s="1"/>
  <c r="J31" i="8" s="1"/>
  <c r="J32" i="8" s="1"/>
  <c r="J33" i="8" s="1"/>
  <c r="J34" i="8" s="1"/>
  <c r="J35" i="8" s="1"/>
  <c r="J36" i="8" s="1"/>
  <c r="J37" i="8" s="1"/>
  <c r="J38" i="8" s="1"/>
  <c r="J39" i="8" s="1"/>
  <c r="J40" i="8" s="1"/>
  <c r="J41" i="8" s="1"/>
  <c r="J42" i="8" s="1"/>
  <c r="J43" i="8" s="1"/>
  <c r="J44" i="8" s="1"/>
  <c r="J45" i="8" s="1"/>
  <c r="J46" i="8" s="1"/>
  <c r="J47" i="8" s="1"/>
  <c r="J48" i="8" s="1"/>
  <c r="J49" i="8" s="1"/>
  <c r="J50" i="8" s="1"/>
  <c r="J51" i="8" s="1"/>
  <c r="J52" i="8" s="1"/>
  <c r="J53" i="8" s="1"/>
  <c r="J54" i="8" s="1"/>
  <c r="J55" i="8" s="1"/>
  <c r="J56" i="8" s="1"/>
  <c r="J57" i="8" s="1"/>
  <c r="J58" i="8" s="1"/>
  <c r="J59" i="8" s="1"/>
  <c r="J60" i="8" s="1"/>
  <c r="J61" i="8" s="1"/>
  <c r="J62" i="8" s="1"/>
  <c r="J63" i="8" s="1"/>
  <c r="J64" i="8" s="1"/>
  <c r="J65" i="8" s="1"/>
  <c r="J66" i="8" s="1"/>
  <c r="J67" i="8" s="1"/>
  <c r="J68" i="8" s="1"/>
  <c r="J69" i="8" s="1"/>
  <c r="J70" i="8" s="1"/>
  <c r="F28" i="4"/>
  <c r="F29" i="4" s="1"/>
  <c r="F30" i="4"/>
  <c r="H30" i="4"/>
  <c r="H28" i="4"/>
  <c r="H29" i="4"/>
  <c r="H31" i="4" s="1"/>
  <c r="G30" i="4"/>
  <c r="G28" i="4"/>
  <c r="G29" i="4" s="1"/>
  <c r="J26" i="4"/>
  <c r="J27" i="4" s="1"/>
  <c r="I27" i="4"/>
  <c r="G31" i="4"/>
  <c r="G32" i="4" s="1"/>
  <c r="G33" i="4" s="1"/>
  <c r="H32" i="4"/>
  <c r="H33" i="4"/>
  <c r="J28" i="4" l="1"/>
  <c r="J29" i="4" s="1"/>
  <c r="J30" i="4"/>
  <c r="I30" i="4"/>
  <c r="I28" i="4"/>
  <c r="I29" i="4" s="1"/>
  <c r="I31" i="4" s="1"/>
  <c r="F31" i="4"/>
  <c r="F32" i="4" s="1"/>
  <c r="F33" i="4" s="1"/>
  <c r="AF11" i="3"/>
  <c r="AG11" i="3" s="1"/>
  <c r="AH11" i="3" s="1"/>
  <c r="AI11" i="3" s="1"/>
  <c r="AJ11" i="3" s="1"/>
  <c r="AK11" i="3" s="1"/>
  <c r="AL11" i="3" s="1"/>
  <c r="I32" i="4" l="1"/>
  <c r="I33" i="4"/>
  <c r="O32" i="4" s="1"/>
  <c r="O33" i="4" s="1"/>
  <c r="O35" i="4" s="1"/>
  <c r="AP30" i="3" s="1"/>
  <c r="J31" i="4"/>
  <c r="J32" i="4" s="1"/>
  <c r="J33" i="4" s="1"/>
  <c r="AB19" i="3" l="1"/>
  <c r="AC19" i="3" s="1"/>
  <c r="AD19" i="3" s="1"/>
  <c r="AE19" i="3" s="1"/>
  <c r="AF19" i="3" s="1"/>
  <c r="AG19" i="3" s="1"/>
  <c r="AH19" i="3" s="1"/>
  <c r="AI19" i="3" s="1"/>
  <c r="AJ19" i="3" s="1"/>
  <c r="AK19" i="3" s="1"/>
  <c r="AL19" i="3" s="1"/>
  <c r="AD60" i="3"/>
  <c r="AE60" i="3"/>
  <c r="AF60" i="3"/>
  <c r="AG60" i="3"/>
  <c r="AH60" i="3"/>
  <c r="AI60" i="3"/>
  <c r="AJ60" i="3"/>
  <c r="AK60" i="3"/>
  <c r="AL60" i="3"/>
  <c r="AC60" i="3"/>
  <c r="AD10" i="3"/>
  <c r="AE10" i="3" s="1"/>
  <c r="AF10" i="3" s="1"/>
  <c r="AG10" i="3" s="1"/>
  <c r="AH10" i="3" s="1"/>
  <c r="AI10" i="3" s="1"/>
  <c r="AJ10" i="3" s="1"/>
  <c r="AK10" i="3" s="1"/>
  <c r="AL10" i="3" s="1"/>
  <c r="AF4" i="3"/>
  <c r="AG4" i="3" s="1"/>
  <c r="AH4" i="3" s="1"/>
  <c r="AI4" i="3" s="1"/>
  <c r="AJ4" i="3" s="1"/>
  <c r="AK4" i="3" s="1"/>
  <c r="AL4" i="3" s="1"/>
  <c r="V53" i="3"/>
  <c r="U53" i="3"/>
  <c r="U19" i="3"/>
  <c r="V19" i="3" s="1"/>
  <c r="V11" i="3"/>
  <c r="U11" i="3"/>
  <c r="U10" i="3"/>
  <c r="V10" i="3" s="1"/>
  <c r="H9" i="4"/>
  <c r="AD53" i="3" l="1"/>
  <c r="AE53" i="3"/>
  <c r="AF53" i="3"/>
  <c r="AG53" i="3"/>
  <c r="AH53" i="3"/>
  <c r="AI53" i="3"/>
  <c r="AJ53" i="3"/>
  <c r="AK53" i="3"/>
  <c r="AL53" i="3"/>
  <c r="AC53" i="3"/>
  <c r="AM2" i="3"/>
  <c r="AN2" i="3" s="1"/>
  <c r="AO2" i="3" s="1"/>
  <c r="AP2" i="3" s="1"/>
  <c r="AQ2" i="3" s="1"/>
  <c r="AR2" i="3" s="1"/>
  <c r="AS2" i="3" s="1"/>
  <c r="AT2" i="3" s="1"/>
  <c r="AU2" i="3" s="1"/>
  <c r="AV2" i="3" s="1"/>
  <c r="AW2" i="3" s="1"/>
  <c r="AX2" i="3" s="1"/>
  <c r="AY2" i="3" s="1"/>
  <c r="AZ2" i="3" s="1"/>
  <c r="BA2" i="3" s="1"/>
  <c r="BB2" i="3" s="1"/>
  <c r="BC2" i="3" s="1"/>
  <c r="BD2" i="3" s="1"/>
  <c r="BE2" i="3" s="1"/>
  <c r="BF2" i="3" s="1"/>
  <c r="BG2" i="3" s="1"/>
  <c r="BH2" i="3" s="1"/>
  <c r="BI2" i="3" s="1"/>
  <c r="BJ2" i="3" s="1"/>
  <c r="BK2" i="3" s="1"/>
  <c r="BL2" i="3" s="1"/>
  <c r="AK5" i="3"/>
  <c r="AL5" i="3"/>
  <c r="AB45" i="3"/>
  <c r="AC45" i="3" s="1"/>
  <c r="AE45" i="3" s="1"/>
  <c r="AF45" i="3" s="1"/>
  <c r="AG45" i="3" s="1"/>
  <c r="AH45" i="3" s="1"/>
  <c r="AI45" i="3" s="1"/>
  <c r="AJ45" i="3" s="1"/>
  <c r="AK45" i="3" s="1"/>
  <c r="AL45" i="3" s="1"/>
  <c r="AB39" i="3"/>
  <c r="AC39" i="3" s="1"/>
  <c r="AB11" i="3"/>
  <c r="AB10" i="3"/>
  <c r="AB4" i="3"/>
  <c r="AC4" i="3" s="1"/>
  <c r="AD4" i="3" s="1"/>
  <c r="R19" i="3"/>
  <c r="R16" i="3"/>
  <c r="R11" i="3"/>
  <c r="R10" i="3"/>
  <c r="R9" i="3"/>
  <c r="R8" i="3"/>
  <c r="R12" i="3" s="1"/>
  <c r="R6" i="3"/>
  <c r="R4" i="3"/>
  <c r="R3" i="3"/>
  <c r="R5" i="3" s="1"/>
  <c r="R7" i="3" s="1"/>
  <c r="T23" i="3"/>
  <c r="T14" i="3"/>
  <c r="S14" i="3"/>
  <c r="AB14" i="3" s="1"/>
  <c r="R42" i="3"/>
  <c r="R47" i="3" s="1"/>
  <c r="R49" i="3" s="1"/>
  <c r="R29" i="3"/>
  <c r="R36" i="3" s="1"/>
  <c r="AA23" i="3"/>
  <c r="AA14" i="3"/>
  <c r="AA42" i="3"/>
  <c r="AA47" i="3" s="1"/>
  <c r="AA49" i="3" s="1"/>
  <c r="AA29" i="3"/>
  <c r="AA36" i="3" s="1"/>
  <c r="AA12" i="3"/>
  <c r="AA5" i="3"/>
  <c r="AA7" i="3" s="1"/>
  <c r="AA53" i="3" s="1"/>
  <c r="Q42" i="3"/>
  <c r="Q47" i="3" s="1"/>
  <c r="S42" i="3"/>
  <c r="S47" i="3" s="1"/>
  <c r="T42" i="3"/>
  <c r="T47" i="3" s="1"/>
  <c r="S29" i="3"/>
  <c r="T29" i="3"/>
  <c r="Q25" i="3"/>
  <c r="Q29" i="3" s="1"/>
  <c r="Q14" i="3"/>
  <c r="Z43" i="3"/>
  <c r="U3" i="3" s="1"/>
  <c r="Z39" i="3"/>
  <c r="Z42" i="3" s="1"/>
  <c r="Z32" i="3"/>
  <c r="Z26" i="3"/>
  <c r="Z25" i="3"/>
  <c r="Y42" i="3"/>
  <c r="Y47" i="3" s="1"/>
  <c r="Y49" i="3" s="1"/>
  <c r="Y34" i="3"/>
  <c r="Y28" i="3"/>
  <c r="Y29" i="3" s="1"/>
  <c r="X42" i="3"/>
  <c r="X47" i="3" s="1"/>
  <c r="X49" i="3" s="1"/>
  <c r="X24" i="3"/>
  <c r="X29" i="3" s="1"/>
  <c r="X36" i="3" s="1"/>
  <c r="O43" i="3"/>
  <c r="O39" i="3"/>
  <c r="O38" i="3"/>
  <c r="O32" i="3"/>
  <c r="O26" i="3"/>
  <c r="O25" i="3"/>
  <c r="N43" i="3"/>
  <c r="N39" i="3"/>
  <c r="N32" i="3"/>
  <c r="N26" i="3"/>
  <c r="N25" i="3"/>
  <c r="M43" i="3"/>
  <c r="M32" i="3"/>
  <c r="M26" i="3"/>
  <c r="M25" i="3"/>
  <c r="AA57" i="3" l="1"/>
  <c r="U5" i="3"/>
  <c r="V3" i="3"/>
  <c r="V5" i="3" s="1"/>
  <c r="AA56" i="3"/>
  <c r="AK8" i="3"/>
  <c r="AK9" i="3"/>
  <c r="AL8" i="3"/>
  <c r="AL9" i="3"/>
  <c r="AA55" i="3"/>
  <c r="AA54" i="3"/>
  <c r="AL6" i="3"/>
  <c r="AL7" i="3" s="1"/>
  <c r="AK6" i="3"/>
  <c r="AK7" i="3" s="1"/>
  <c r="R13" i="3"/>
  <c r="Y36" i="3"/>
  <c r="Z47" i="3"/>
  <c r="Z49" i="3" s="1"/>
  <c r="R57" i="3"/>
  <c r="R54" i="3"/>
  <c r="R55" i="3"/>
  <c r="AA13" i="3"/>
  <c r="Z29" i="3"/>
  <c r="Z36" i="3" s="1"/>
  <c r="L43" i="3"/>
  <c r="L32" i="3"/>
  <c r="L26" i="3"/>
  <c r="L25" i="3"/>
  <c r="L29" i="3" s="1"/>
  <c r="K43" i="3"/>
  <c r="K32" i="3"/>
  <c r="K26" i="3"/>
  <c r="K25" i="3"/>
  <c r="J34" i="3"/>
  <c r="J28" i="3"/>
  <c r="J29" i="3" s="1"/>
  <c r="H34" i="3"/>
  <c r="G35" i="3"/>
  <c r="D42" i="3"/>
  <c r="D47" i="3" s="1"/>
  <c r="E42" i="3"/>
  <c r="E47" i="3" s="1"/>
  <c r="E49" i="3" s="1"/>
  <c r="F42" i="3"/>
  <c r="F47" i="3" s="1"/>
  <c r="G42" i="3"/>
  <c r="G47" i="3" s="1"/>
  <c r="H42" i="3"/>
  <c r="H47" i="3" s="1"/>
  <c r="H49" i="3" s="1"/>
  <c r="I42" i="3"/>
  <c r="I47" i="3" s="1"/>
  <c r="J42" i="3"/>
  <c r="J47" i="3" s="1"/>
  <c r="K42" i="3"/>
  <c r="L42" i="3"/>
  <c r="M42" i="3"/>
  <c r="M47" i="3" s="1"/>
  <c r="N42" i="3"/>
  <c r="N47" i="3" s="1"/>
  <c r="O42" i="3"/>
  <c r="O47" i="3" s="1"/>
  <c r="P42" i="3"/>
  <c r="P47" i="3" s="1"/>
  <c r="C42" i="3"/>
  <c r="C47" i="3" s="1"/>
  <c r="Q36" i="3"/>
  <c r="S36" i="3"/>
  <c r="T36" i="3"/>
  <c r="M29" i="3"/>
  <c r="M36" i="3" s="1"/>
  <c r="N29" i="3"/>
  <c r="N36" i="3" s="1"/>
  <c r="O29" i="3"/>
  <c r="P25" i="3"/>
  <c r="P29" i="3" s="1"/>
  <c r="P36" i="3" s="1"/>
  <c r="P14" i="3"/>
  <c r="O23" i="3"/>
  <c r="O14" i="3"/>
  <c r="N19" i="3"/>
  <c r="N16" i="3"/>
  <c r="N11" i="3"/>
  <c r="N10" i="3"/>
  <c r="N9" i="3"/>
  <c r="N8" i="3"/>
  <c r="N6" i="3"/>
  <c r="N4" i="3"/>
  <c r="N3" i="3"/>
  <c r="N23" i="3"/>
  <c r="Z14" i="3"/>
  <c r="Z12" i="3"/>
  <c r="Y12" i="3"/>
  <c r="X12" i="3"/>
  <c r="X57" i="3" s="1"/>
  <c r="T12" i="3"/>
  <c r="S12" i="3"/>
  <c r="P12" i="3"/>
  <c r="Q12" i="3"/>
  <c r="O12" i="3"/>
  <c r="D12" i="3"/>
  <c r="E12" i="3"/>
  <c r="G12" i="3"/>
  <c r="H12" i="3"/>
  <c r="I12" i="3"/>
  <c r="K12" i="3"/>
  <c r="L12" i="3"/>
  <c r="M12" i="3"/>
  <c r="C12" i="3"/>
  <c r="Z5" i="3"/>
  <c r="Z23" i="3"/>
  <c r="M14" i="3"/>
  <c r="L14" i="3"/>
  <c r="K14" i="3"/>
  <c r="J19" i="3"/>
  <c r="J16" i="3"/>
  <c r="J10" i="3"/>
  <c r="J9" i="3"/>
  <c r="J8" i="3"/>
  <c r="J6" i="3"/>
  <c r="J4" i="3"/>
  <c r="J3" i="3"/>
  <c r="F19" i="3"/>
  <c r="Y14" i="3"/>
  <c r="Y5" i="3"/>
  <c r="I24" i="3"/>
  <c r="J23" i="3" s="1"/>
  <c r="I14" i="3"/>
  <c r="H24" i="3"/>
  <c r="H29" i="3" s="1"/>
  <c r="H36" i="3" s="1"/>
  <c r="H14" i="3"/>
  <c r="G24" i="3"/>
  <c r="G29" i="3" s="1"/>
  <c r="G14" i="3"/>
  <c r="F16" i="3"/>
  <c r="F10" i="3"/>
  <c r="F9" i="3"/>
  <c r="F8" i="3"/>
  <c r="F6" i="3"/>
  <c r="F4" i="3"/>
  <c r="F3" i="3"/>
  <c r="F24" i="3"/>
  <c r="F29" i="3" s="1"/>
  <c r="F36" i="3" s="1"/>
  <c r="X23" i="3"/>
  <c r="X14" i="3"/>
  <c r="X5" i="3"/>
  <c r="E24" i="3"/>
  <c r="E29" i="3" s="1"/>
  <c r="E36" i="3" s="1"/>
  <c r="E14" i="3"/>
  <c r="D24" i="3"/>
  <c r="D29" i="3" s="1"/>
  <c r="D36" i="3" s="1"/>
  <c r="K23" i="3"/>
  <c r="L23" i="3"/>
  <c r="M23" i="3"/>
  <c r="P23" i="3"/>
  <c r="Q23" i="3"/>
  <c r="R23" i="3"/>
  <c r="S23" i="3"/>
  <c r="C14" i="3"/>
  <c r="D14" i="3"/>
  <c r="Q49" i="3"/>
  <c r="S49" i="3"/>
  <c r="T49" i="3"/>
  <c r="T5" i="3"/>
  <c r="S5" i="3"/>
  <c r="Q5" i="3"/>
  <c r="P5" i="3"/>
  <c r="O5" i="3"/>
  <c r="M5" i="3"/>
  <c r="L5" i="3"/>
  <c r="K5" i="3"/>
  <c r="I5" i="3"/>
  <c r="H5" i="3"/>
  <c r="G5" i="3"/>
  <c r="C28" i="3"/>
  <c r="C24" i="3"/>
  <c r="V8" i="3" l="1"/>
  <c r="V9" i="3"/>
  <c r="V12" i="3" s="1"/>
  <c r="V6" i="3"/>
  <c r="V7" i="3" s="1"/>
  <c r="V13" i="3" s="1"/>
  <c r="V15" i="3" s="1"/>
  <c r="V16" i="3" s="1"/>
  <c r="Y56" i="3"/>
  <c r="U9" i="3"/>
  <c r="AB9" i="3" s="1"/>
  <c r="U6" i="3"/>
  <c r="U8" i="3"/>
  <c r="Z57" i="3"/>
  <c r="Z56" i="3"/>
  <c r="X56" i="3"/>
  <c r="AB3" i="3"/>
  <c r="V17" i="3"/>
  <c r="AE39" i="3"/>
  <c r="C29" i="3"/>
  <c r="C36" i="3" s="1"/>
  <c r="X7" i="3"/>
  <c r="X53" i="3" s="1"/>
  <c r="X54" i="3"/>
  <c r="X55" i="3"/>
  <c r="Z7" i="3"/>
  <c r="Z53" i="3" s="1"/>
  <c r="Z55" i="3"/>
  <c r="Z54" i="3"/>
  <c r="Y57" i="3"/>
  <c r="J36" i="3"/>
  <c r="Y7" i="3"/>
  <c r="Y53" i="3" s="1"/>
  <c r="Y55" i="3"/>
  <c r="Y54" i="3"/>
  <c r="R14" i="3"/>
  <c r="R56" i="3" s="1"/>
  <c r="AA15" i="3"/>
  <c r="AA58" i="3"/>
  <c r="I29" i="3"/>
  <c r="I36" i="3" s="1"/>
  <c r="L57" i="3"/>
  <c r="G57" i="3"/>
  <c r="Q57" i="3"/>
  <c r="K57" i="3"/>
  <c r="M7" i="3"/>
  <c r="M53" i="3" s="1"/>
  <c r="M54" i="3"/>
  <c r="M55" i="3"/>
  <c r="M56" i="3"/>
  <c r="O7" i="3"/>
  <c r="O53" i="3" s="1"/>
  <c r="O54" i="3"/>
  <c r="O55" i="3"/>
  <c r="O56" i="3"/>
  <c r="K7" i="3"/>
  <c r="K53" i="3" s="1"/>
  <c r="K54" i="3"/>
  <c r="K55" i="3"/>
  <c r="K56" i="3"/>
  <c r="P7" i="3"/>
  <c r="P53" i="3" s="1"/>
  <c r="P54" i="3"/>
  <c r="P55" i="3"/>
  <c r="P56" i="3"/>
  <c r="P57" i="3"/>
  <c r="I57" i="3"/>
  <c r="S57" i="3"/>
  <c r="S7" i="3"/>
  <c r="S53" i="3" s="1"/>
  <c r="S54" i="3"/>
  <c r="S55" i="3"/>
  <c r="S56" i="3"/>
  <c r="I7" i="3"/>
  <c r="I53" i="3" s="1"/>
  <c r="I54" i="3"/>
  <c r="I55" i="3"/>
  <c r="I56" i="3"/>
  <c r="T7" i="3"/>
  <c r="T53" i="3" s="1"/>
  <c r="T54" i="3"/>
  <c r="T56" i="3"/>
  <c r="T55" i="3"/>
  <c r="G7" i="3"/>
  <c r="G56" i="3"/>
  <c r="G54" i="3"/>
  <c r="G55" i="3"/>
  <c r="L7" i="3"/>
  <c r="L53" i="3" s="1"/>
  <c r="L54" i="3"/>
  <c r="L55" i="3"/>
  <c r="L56" i="3"/>
  <c r="Q7" i="3"/>
  <c r="Q53" i="3" s="1"/>
  <c r="Q54" i="3"/>
  <c r="Q55" i="3"/>
  <c r="Q56" i="3"/>
  <c r="M57" i="3"/>
  <c r="H57" i="3"/>
  <c r="O57" i="3"/>
  <c r="T57" i="3"/>
  <c r="H7" i="3"/>
  <c r="H53" i="3" s="1"/>
  <c r="H54" i="3"/>
  <c r="H55" i="3"/>
  <c r="H56" i="3"/>
  <c r="R53" i="3"/>
  <c r="J14" i="3"/>
  <c r="H23" i="3"/>
  <c r="G36" i="3"/>
  <c r="L47" i="3"/>
  <c r="L49" i="3" s="1"/>
  <c r="K47" i="3"/>
  <c r="K49" i="3" s="1"/>
  <c r="L36" i="3"/>
  <c r="O36" i="3"/>
  <c r="K29" i="3"/>
  <c r="K36" i="3" s="1"/>
  <c r="J49" i="3"/>
  <c r="F49" i="3"/>
  <c r="I49" i="3"/>
  <c r="P49" i="3"/>
  <c r="M49" i="3"/>
  <c r="D49" i="3"/>
  <c r="G49" i="3"/>
  <c r="J5" i="3"/>
  <c r="J7" i="3" s="1"/>
  <c r="J53" i="3" s="1"/>
  <c r="J12" i="3"/>
  <c r="F12" i="3"/>
  <c r="N5" i="3"/>
  <c r="N7" i="3" s="1"/>
  <c r="N53" i="3" s="1"/>
  <c r="N14" i="3"/>
  <c r="Y23" i="3"/>
  <c r="F14" i="3"/>
  <c r="N49" i="3"/>
  <c r="O49" i="3"/>
  <c r="N12" i="3"/>
  <c r="I23" i="3"/>
  <c r="G23" i="3"/>
  <c r="F23" i="3"/>
  <c r="E23" i="3"/>
  <c r="Z13" i="3" l="1"/>
  <c r="U12" i="3"/>
  <c r="AB8" i="3"/>
  <c r="AB12" i="3" s="1"/>
  <c r="U7" i="3"/>
  <c r="U13" i="3" s="1"/>
  <c r="U15" i="3" s="1"/>
  <c r="U16" i="3" s="1"/>
  <c r="AB6" i="3"/>
  <c r="Y13" i="3"/>
  <c r="V18" i="3"/>
  <c r="J55" i="3"/>
  <c r="I13" i="3"/>
  <c r="I58" i="3" s="1"/>
  <c r="X13" i="3"/>
  <c r="J57" i="3"/>
  <c r="R15" i="3"/>
  <c r="R17" i="3" s="1"/>
  <c r="R18" i="3" s="1"/>
  <c r="AF39" i="3"/>
  <c r="Y15" i="3"/>
  <c r="Y58" i="3"/>
  <c r="AA17" i="3"/>
  <c r="AA60" i="3"/>
  <c r="AA59" i="3"/>
  <c r="Z15" i="3"/>
  <c r="Z58" i="3"/>
  <c r="X15" i="3"/>
  <c r="X58" i="3"/>
  <c r="K13" i="3"/>
  <c r="K15" i="3" s="1"/>
  <c r="M13" i="3"/>
  <c r="M15" i="3" s="1"/>
  <c r="O13" i="3"/>
  <c r="N56" i="3"/>
  <c r="J56" i="3"/>
  <c r="J54" i="3"/>
  <c r="N55" i="3"/>
  <c r="N57" i="3"/>
  <c r="Q13" i="3"/>
  <c r="Q15" i="3" s="1"/>
  <c r="N54" i="3"/>
  <c r="O15" i="3"/>
  <c r="O58" i="3"/>
  <c r="S13" i="3"/>
  <c r="H13" i="3"/>
  <c r="L13" i="3"/>
  <c r="P13" i="3"/>
  <c r="T13" i="3"/>
  <c r="G13" i="3"/>
  <c r="G53" i="3"/>
  <c r="R58" i="3"/>
  <c r="J13" i="3"/>
  <c r="N13" i="3"/>
  <c r="K58" i="3" l="1"/>
  <c r="I15" i="3"/>
  <c r="U17" i="3"/>
  <c r="AB16" i="3"/>
  <c r="AG39" i="3"/>
  <c r="Z17" i="3"/>
  <c r="Z59" i="3"/>
  <c r="Z60" i="3"/>
  <c r="Y17" i="3"/>
  <c r="Y60" i="3"/>
  <c r="Y59" i="3"/>
  <c r="X17" i="3"/>
  <c r="X60" i="3"/>
  <c r="X59" i="3"/>
  <c r="AA18" i="3"/>
  <c r="AA61" i="3"/>
  <c r="M58" i="3"/>
  <c r="Q58" i="3"/>
  <c r="L15" i="3"/>
  <c r="L58" i="3"/>
  <c r="O17" i="3"/>
  <c r="O60" i="3"/>
  <c r="O59" i="3"/>
  <c r="N15" i="3"/>
  <c r="N58" i="3"/>
  <c r="Q17" i="3"/>
  <c r="Q60" i="3"/>
  <c r="Q59" i="3"/>
  <c r="G58" i="3"/>
  <c r="G15" i="3"/>
  <c r="H15" i="3"/>
  <c r="H58" i="3"/>
  <c r="I17" i="3"/>
  <c r="I60" i="3"/>
  <c r="I59" i="3"/>
  <c r="J15" i="3"/>
  <c r="J58" i="3"/>
  <c r="T15" i="3"/>
  <c r="T58" i="3"/>
  <c r="S15" i="3"/>
  <c r="S58" i="3"/>
  <c r="M17" i="3"/>
  <c r="M59" i="3"/>
  <c r="M60" i="3"/>
  <c r="P15" i="3"/>
  <c r="P58" i="3"/>
  <c r="K17" i="3"/>
  <c r="K59" i="3"/>
  <c r="K60" i="3"/>
  <c r="R59" i="3"/>
  <c r="R60" i="3"/>
  <c r="AB5" i="3"/>
  <c r="AC5" i="3"/>
  <c r="AD5" i="3"/>
  <c r="AD8" i="3" s="1"/>
  <c r="AE5" i="3"/>
  <c r="AF5" i="3"/>
  <c r="AG5" i="3"/>
  <c r="AH5" i="3"/>
  <c r="AI5" i="3"/>
  <c r="AJ5" i="3"/>
  <c r="F5" i="3"/>
  <c r="C49" i="3"/>
  <c r="D5" i="3"/>
  <c r="E5" i="3"/>
  <c r="C5" i="3"/>
  <c r="L4" i="1"/>
  <c r="L7" i="1" s="1"/>
  <c r="U18" i="3" l="1"/>
  <c r="AB24" i="3"/>
  <c r="AC9" i="3"/>
  <c r="AC8" i="3"/>
  <c r="AE9" i="3"/>
  <c r="AE6" i="3"/>
  <c r="AE7" i="3" s="1"/>
  <c r="AJ8" i="3"/>
  <c r="AJ9" i="3"/>
  <c r="AF8" i="3"/>
  <c r="AF9" i="3"/>
  <c r="AI9" i="3"/>
  <c r="AI8" i="3"/>
  <c r="AE8" i="3"/>
  <c r="AE12" i="3" s="1"/>
  <c r="AH8" i="3"/>
  <c r="AH9" i="3"/>
  <c r="AD9" i="3"/>
  <c r="AG8" i="3"/>
  <c r="AG9" i="3"/>
  <c r="AC6" i="3"/>
  <c r="AC7" i="3" s="1"/>
  <c r="AF6" i="3"/>
  <c r="AF7" i="3" s="1"/>
  <c r="AB54" i="3"/>
  <c r="AB56" i="3"/>
  <c r="AB55" i="3"/>
  <c r="AB57" i="3"/>
  <c r="AH6" i="3"/>
  <c r="AH7" i="3" s="1"/>
  <c r="AD6" i="3"/>
  <c r="AD7" i="3" s="1"/>
  <c r="AG6" i="3"/>
  <c r="AJ6" i="3"/>
  <c r="AJ7" i="3" s="1"/>
  <c r="AI6" i="3"/>
  <c r="AI7" i="3" s="1"/>
  <c r="AH39" i="3"/>
  <c r="Z18" i="3"/>
  <c r="Z61" i="3"/>
  <c r="Y18" i="3"/>
  <c r="Y61" i="3"/>
  <c r="X18" i="3"/>
  <c r="X61" i="3"/>
  <c r="S17" i="3"/>
  <c r="S59" i="3"/>
  <c r="S60" i="3"/>
  <c r="J17" i="3"/>
  <c r="J59" i="3"/>
  <c r="J60" i="3"/>
  <c r="N17" i="3"/>
  <c r="N59" i="3"/>
  <c r="N60" i="3"/>
  <c r="C57" i="3"/>
  <c r="C55" i="3"/>
  <c r="C54" i="3"/>
  <c r="C56" i="3"/>
  <c r="F7" i="3"/>
  <c r="F54" i="3"/>
  <c r="F55" i="3"/>
  <c r="F56" i="3"/>
  <c r="F57" i="3"/>
  <c r="K18" i="3"/>
  <c r="K61" i="3"/>
  <c r="H17" i="3"/>
  <c r="H59" i="3"/>
  <c r="H60" i="3"/>
  <c r="L17" i="3"/>
  <c r="L59" i="3"/>
  <c r="L60" i="3"/>
  <c r="E54" i="3"/>
  <c r="E55" i="3"/>
  <c r="E56" i="3"/>
  <c r="E57" i="3"/>
  <c r="M18" i="3"/>
  <c r="M61" i="3"/>
  <c r="T17" i="3"/>
  <c r="T59" i="3"/>
  <c r="T60" i="3"/>
  <c r="G17" i="3"/>
  <c r="G59" i="3"/>
  <c r="G60" i="3"/>
  <c r="Q18" i="3"/>
  <c r="Q61" i="3"/>
  <c r="D54" i="3"/>
  <c r="D55" i="3"/>
  <c r="D56" i="3"/>
  <c r="D57" i="3"/>
  <c r="P17" i="3"/>
  <c r="P59" i="3"/>
  <c r="P60" i="3"/>
  <c r="I18" i="3"/>
  <c r="I61" i="3"/>
  <c r="O18" i="3"/>
  <c r="O61" i="3"/>
  <c r="R61" i="3"/>
  <c r="AB7" i="3"/>
  <c r="E7" i="3"/>
  <c r="AG7" i="3"/>
  <c r="D7" i="3"/>
  <c r="D23" i="3"/>
  <c r="C7" i="3"/>
  <c r="AC11" i="3" l="1"/>
  <c r="AC12" i="3"/>
  <c r="AC13" i="3" s="1"/>
  <c r="AE13" i="3"/>
  <c r="AB13" i="3"/>
  <c r="AB15" i="3" s="1"/>
  <c r="AB53" i="3"/>
  <c r="AI39" i="3"/>
  <c r="F13" i="3"/>
  <c r="F53" i="3"/>
  <c r="P18" i="3"/>
  <c r="P61" i="3"/>
  <c r="T18" i="3"/>
  <c r="T61" i="3"/>
  <c r="H18" i="3"/>
  <c r="H61" i="3"/>
  <c r="S18" i="3"/>
  <c r="S61" i="3"/>
  <c r="D13" i="3"/>
  <c r="D53" i="3"/>
  <c r="E13" i="3"/>
  <c r="E53" i="3"/>
  <c r="G18" i="3"/>
  <c r="G61" i="3"/>
  <c r="L18" i="3"/>
  <c r="L61" i="3"/>
  <c r="J18" i="3"/>
  <c r="J61" i="3"/>
  <c r="C13" i="3"/>
  <c r="C58" i="3" s="1"/>
  <c r="C53" i="3"/>
  <c r="N18" i="3"/>
  <c r="N61" i="3"/>
  <c r="C15" i="3"/>
  <c r="AB58" i="3" l="1"/>
  <c r="AJ39" i="3"/>
  <c r="AB59" i="3"/>
  <c r="AB60" i="3"/>
  <c r="AB17" i="3"/>
  <c r="C60" i="3"/>
  <c r="C59" i="3"/>
  <c r="E15" i="3"/>
  <c r="E58" i="3"/>
  <c r="F15" i="3"/>
  <c r="F58" i="3"/>
  <c r="D15" i="3"/>
  <c r="D58" i="3"/>
  <c r="C17" i="3"/>
  <c r="C61" i="3" s="1"/>
  <c r="AC15" i="3"/>
  <c r="AC16" i="3" l="1"/>
  <c r="AC17" i="3" s="1"/>
  <c r="AK39" i="3"/>
  <c r="AB18" i="3"/>
  <c r="AB61" i="3"/>
  <c r="F17" i="3"/>
  <c r="F61" i="3" s="1"/>
  <c r="F59" i="3"/>
  <c r="F60" i="3"/>
  <c r="D17" i="3"/>
  <c r="D59" i="3"/>
  <c r="D60" i="3"/>
  <c r="E17" i="3"/>
  <c r="E59" i="3"/>
  <c r="E60" i="3"/>
  <c r="C18" i="3"/>
  <c r="AC18" i="3" l="1"/>
  <c r="AC24" i="3"/>
  <c r="AD11" i="3" s="1"/>
  <c r="AD12" i="3" s="1"/>
  <c r="AD13" i="3" s="1"/>
  <c r="AD15" i="3" s="1"/>
  <c r="AD16" i="3" s="1"/>
  <c r="AD17" i="3" s="1"/>
  <c r="AL39" i="3"/>
  <c r="F18" i="3"/>
  <c r="D18" i="3"/>
  <c r="D61" i="3"/>
  <c r="E18" i="3"/>
  <c r="E61" i="3"/>
  <c r="AE15" i="3"/>
  <c r="AD18" i="3" l="1"/>
  <c r="AD24" i="3"/>
  <c r="AE16" i="3"/>
  <c r="AE17" i="3" s="1"/>
  <c r="AE18" i="3" s="1"/>
  <c r="AE24" i="3" l="1"/>
  <c r="AF12" i="3" s="1"/>
  <c r="AF13" i="3" s="1"/>
  <c r="AF15" i="3" s="1"/>
  <c r="AF16" i="3" s="1"/>
  <c r="AF17" i="3" s="1"/>
  <c r="AF18" i="3" l="1"/>
  <c r="AF24" i="3"/>
  <c r="AG12" i="3" s="1"/>
  <c r="AG13" i="3" s="1"/>
  <c r="AG15" i="3" s="1"/>
  <c r="AG16" i="3" s="1"/>
  <c r="AG17" i="3" s="1"/>
  <c r="AG24" i="3" l="1"/>
  <c r="AH12" i="3" s="1"/>
  <c r="AH13" i="3" s="1"/>
  <c r="AH15" i="3" s="1"/>
  <c r="AH16" i="3" s="1"/>
  <c r="AH17" i="3" s="1"/>
  <c r="AG18" i="3"/>
  <c r="AH18" i="3" l="1"/>
  <c r="AH24" i="3"/>
  <c r="AI12" i="3" s="1"/>
  <c r="AI13" i="3" s="1"/>
  <c r="AI15" i="3" s="1"/>
  <c r="AI16" i="3" s="1"/>
  <c r="AI17" i="3" s="1"/>
  <c r="AI18" i="3" l="1"/>
  <c r="AI24" i="3"/>
  <c r="AJ12" i="3" s="1"/>
  <c r="AJ13" i="3" s="1"/>
  <c r="AJ15" i="3" s="1"/>
  <c r="AJ16" i="3" s="1"/>
  <c r="AJ17" i="3" s="1"/>
  <c r="AJ18" i="3" l="1"/>
  <c r="AJ24" i="3"/>
  <c r="AK12" i="3" s="1"/>
  <c r="AK13" i="3" s="1"/>
  <c r="AK15" i="3" s="1"/>
  <c r="AK16" i="3" s="1"/>
  <c r="AK17" i="3" s="1"/>
  <c r="AK18" i="3" s="1"/>
  <c r="AK24" i="3" l="1"/>
  <c r="AL12" i="3" l="1"/>
  <c r="AL13" i="3" s="1"/>
  <c r="AL15" i="3" s="1"/>
  <c r="AL16" i="3" s="1"/>
  <c r="AL17" i="3" s="1"/>
  <c r="AL18" i="3" l="1"/>
  <c r="AM17" i="3"/>
  <c r="AL24" i="3"/>
  <c r="AN17" i="3" l="1"/>
  <c r="AO17" i="3" s="1"/>
  <c r="AP17" i="3" s="1"/>
  <c r="AQ17" i="3" s="1"/>
  <c r="AR17" i="3" s="1"/>
  <c r="AS17" i="3" s="1"/>
  <c r="AT17" i="3" s="1"/>
  <c r="AU17" i="3" s="1"/>
  <c r="AV17" i="3" s="1"/>
  <c r="AW17" i="3" s="1"/>
  <c r="AX17" i="3" s="1"/>
  <c r="AY17" i="3" s="1"/>
  <c r="AZ17" i="3" s="1"/>
  <c r="BA17" i="3" s="1"/>
  <c r="BB17" i="3" s="1"/>
  <c r="BC17" i="3" s="1"/>
  <c r="BD17" i="3" s="1"/>
  <c r="BE17" i="3" s="1"/>
  <c r="BF17" i="3" s="1"/>
  <c r="BG17" i="3" s="1"/>
  <c r="BH17" i="3" s="1"/>
  <c r="BI17" i="3" s="1"/>
  <c r="BJ17" i="3" s="1"/>
  <c r="BK17" i="3" s="1"/>
  <c r="BL17" i="3" s="1"/>
  <c r="AP29" i="3" s="1"/>
  <c r="AP31" i="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Prashant Raykar</author>
  </authors>
  <commentList>
    <comment ref="AD24" authorId="0" shapeId="0" xr:uid="{00000000-0006-0000-0100-000001000000}">
      <text>
        <r>
          <rPr>
            <b/>
            <sz val="9"/>
            <color indexed="81"/>
            <rFont val="Tahoma"/>
            <family val="2"/>
          </rPr>
          <t>Prashant Raykar:</t>
        </r>
        <r>
          <rPr>
            <sz val="9"/>
            <color indexed="81"/>
            <rFont val="Tahoma"/>
            <family val="2"/>
          </rPr>
          <t xml:space="preserve">
Assumes debt paid down</t>
        </r>
      </text>
    </comment>
    <comment ref="AD39" authorId="0" shapeId="0" xr:uid="{00000000-0006-0000-0100-000002000000}">
      <text>
        <r>
          <rPr>
            <b/>
            <sz val="9"/>
            <color indexed="81"/>
            <rFont val="Tahoma"/>
            <family val="2"/>
          </rPr>
          <t>Prashant Raykar:</t>
        </r>
        <r>
          <rPr>
            <sz val="9"/>
            <color indexed="81"/>
            <rFont val="Tahoma"/>
            <family val="2"/>
          </rPr>
          <t xml:space="preserve">
Assumes debt paid down</t>
        </r>
      </text>
    </comment>
    <comment ref="AD45" authorId="0" shapeId="0" xr:uid="{00000000-0006-0000-0100-000003000000}">
      <text>
        <r>
          <rPr>
            <b/>
            <sz val="9"/>
            <color indexed="81"/>
            <rFont val="Tahoma"/>
            <family val="2"/>
          </rPr>
          <t>Prashant Raykar:</t>
        </r>
        <r>
          <rPr>
            <sz val="9"/>
            <color indexed="81"/>
            <rFont val="Tahoma"/>
            <family val="2"/>
          </rPr>
          <t xml:space="preserve">
Assumes debt paid down</t>
        </r>
      </text>
    </comment>
  </commentList>
</comments>
</file>

<file path=xl/sharedStrings.xml><?xml version="1.0" encoding="utf-8"?>
<sst xmlns="http://schemas.openxmlformats.org/spreadsheetml/2006/main" count="915" uniqueCount="706">
  <si>
    <t>Name</t>
  </si>
  <si>
    <t>ST-193</t>
  </si>
  <si>
    <t>Indication</t>
  </si>
  <si>
    <t>Phase</t>
  </si>
  <si>
    <t>Economics</t>
  </si>
  <si>
    <t>Administration</t>
  </si>
  <si>
    <t>IP</t>
  </si>
  <si>
    <t>Smallpox</t>
  </si>
  <si>
    <t>Price</t>
  </si>
  <si>
    <t>Shares</t>
  </si>
  <si>
    <t>MC</t>
  </si>
  <si>
    <t>Cash</t>
  </si>
  <si>
    <t>Debt</t>
  </si>
  <si>
    <t>EV</t>
  </si>
  <si>
    <t>Main</t>
  </si>
  <si>
    <t>Brand Name</t>
  </si>
  <si>
    <t>Mechanism</t>
  </si>
  <si>
    <t>Competition</t>
  </si>
  <si>
    <t>Customers</t>
  </si>
  <si>
    <t>Product does not need to be approved to begin stockpiling.</t>
  </si>
  <si>
    <t>Q210</t>
  </si>
  <si>
    <t>Papers</t>
  </si>
  <si>
    <t>An Orally Bioavailable Antipoxvirus Compound (ST-246) Inhibits Extracellular Virus Formation and Protects Mice from Lethal Orthopoxvirus Challenge. Yang et al. J Virology 2005.</t>
  </si>
  <si>
    <t>Q110</t>
  </si>
  <si>
    <t>Q310</t>
  </si>
  <si>
    <t>Q410</t>
  </si>
  <si>
    <t>Goodwill</t>
  </si>
  <si>
    <t>Q411</t>
  </si>
  <si>
    <t>Q311</t>
  </si>
  <si>
    <t>Q211</t>
  </si>
  <si>
    <t>Q111</t>
  </si>
  <si>
    <t>Prepaids and other</t>
  </si>
  <si>
    <t>PPE</t>
  </si>
  <si>
    <t>Acct. payable</t>
  </si>
  <si>
    <t>SE</t>
  </si>
  <si>
    <t>SE+L</t>
  </si>
  <si>
    <t>Total revenue</t>
  </si>
  <si>
    <t>Pretax income</t>
  </si>
  <si>
    <t>Operating income</t>
  </si>
  <si>
    <t>Taxes</t>
  </si>
  <si>
    <t>Net income</t>
  </si>
  <si>
    <t>EPS</t>
  </si>
  <si>
    <t>CIC</t>
  </si>
  <si>
    <t>NPV</t>
  </si>
  <si>
    <t xml:space="preserve"> R&amp;D Revenue</t>
  </si>
  <si>
    <t xml:space="preserve"> SG&amp;A</t>
  </si>
  <si>
    <t xml:space="preserve"> R&amp;D</t>
  </si>
  <si>
    <t>OPEX</t>
  </si>
  <si>
    <t>Net Income</t>
  </si>
  <si>
    <t xml:space="preserve"> Contract Revenue</t>
  </si>
  <si>
    <t>Q214</t>
  </si>
  <si>
    <t>August 10, 2014: Judge rules PharmAthene is entitled to a lump sum damage award in a still unspecified amount, Siga to appeal</t>
  </si>
  <si>
    <t>II</t>
  </si>
  <si>
    <t>Capsule</t>
  </si>
  <si>
    <t>orthopoxvirus egress inhibitor</t>
  </si>
  <si>
    <t>Dengue Virus program</t>
  </si>
  <si>
    <t>Dengue Fever</t>
  </si>
  <si>
    <t>Pre-clinical</t>
  </si>
  <si>
    <t>TBD</t>
  </si>
  <si>
    <t>anti-viral</t>
  </si>
  <si>
    <t>Lassa Fever</t>
  </si>
  <si>
    <t>ribavirin</t>
  </si>
  <si>
    <t>ST-294</t>
  </si>
  <si>
    <t>Arenaviruses</t>
  </si>
  <si>
    <t>ST-383</t>
  </si>
  <si>
    <t>Ebola, Marburg</t>
  </si>
  <si>
    <t>siRNA</t>
  </si>
  <si>
    <t>ST-669</t>
  </si>
  <si>
    <t>August 1, 2013: Selects Lead Candidate for Dengue Antiviral Program</t>
  </si>
  <si>
    <t>July 16, 2013: Meets Drug Delivery Condition Under BARDA Contract and Qualifies for First Payment for Delivering Arestvyr</t>
  </si>
  <si>
    <t>May 26, 2013: Court Reverses Equitable Payment Stream to PharmAthene and Remands Litigation to Trial Court for New Determination of Damages</t>
  </si>
  <si>
    <t>March 12, 2013: Delivers First Courses of Arestvyr Under BARDA Contract</t>
  </si>
  <si>
    <t>June 12, 2012: Files Notice of Appeal in PharmAthene Litigation</t>
  </si>
  <si>
    <t>December 2011: Delaware court rejects SIGA appeal</t>
  </si>
  <si>
    <t>September 2011: Delaware court awards PIP 50% of SIGA's net profits on ST-246, SIGA to appeal</t>
  </si>
  <si>
    <t>June 2011: Objections to BARDA contract withdrawn, HS will purchase 1.7 million doses of STA-246</t>
  </si>
  <si>
    <t>February 13, 2007: Began multi-dose Phase I of ST-246</t>
  </si>
  <si>
    <t>October 2010: SIGA awarded contract to deliver 1.7 million courses of ST-246 to HHS (RFP-BARDA-09-35) - base contract expected to generate $433 million</t>
  </si>
  <si>
    <t>Generic Name</t>
  </si>
  <si>
    <t>Treatment of smallpox</t>
  </si>
  <si>
    <t>Orthopoxvirus replication inhibitor</t>
  </si>
  <si>
    <t>Timeline</t>
  </si>
  <si>
    <t>IP / Expiry</t>
  </si>
  <si>
    <t xml:space="preserve">7737168 / December 2024 - Compounds, compositions and methods for treatment and prevention of orthopoxvirus infections and associated diseases  </t>
  </si>
  <si>
    <t xml:space="preserve">8802714 / Jul 2028 - Compounds, compositions and methods for treatment and prevention of orthopoxvirus infections and associated diseases  </t>
  </si>
  <si>
    <t>8530509 / Jul 2031 - Compounds, compositions and methods for treatment and prevention of orthopoxvirus infections and associated diseases</t>
  </si>
  <si>
    <t xml:space="preserve">8124643 / December 2029 - Compounds, compositions and methods for treatment and prevention of orthopoxvirus infections and associated diseases  </t>
  </si>
  <si>
    <t xml:space="preserve">8039504 / April 2027 - Compounds, compositions and methods for treatment and prevention of orthopoxvirus infections and associated diseases  </t>
  </si>
  <si>
    <t xml:space="preserve">7956197 / April 2030 - Compounds, compositions and methods for treatment and prevention of orthopoxvirus infections and associated diseases  </t>
  </si>
  <si>
    <t xml:space="preserve">7687641 / April 2027 - Compounds, compositions and methods for treatment and prevention of orthopoxvirus infections and associated diseases  </t>
  </si>
  <si>
    <t>7067248 / September 2023 - Screening method for orthopoxvirus antivirals</t>
  </si>
  <si>
    <t>Judge ruled 50% with PharmAthene after first $40M of net profits (for 10 years) - Siga appealing</t>
  </si>
  <si>
    <t>Smallpox vaccines, cidofovir, manufacturers (Bavarian Nordic, Chimerix, Emergent BioSolutions) - there is enough vaccine stockpiled in the US for every citizen</t>
  </si>
  <si>
    <t>Clinical Trials</t>
  </si>
  <si>
    <t>Phase II, n=107</t>
  </si>
  <si>
    <t>n=107, Double-Blind, Randomized, Placebo-Controlled, Multi-Center Trial to Assess Safety, Tolerability, and PK</t>
  </si>
  <si>
    <t>met primary endpoint of safety and secondary endpoint of of pharmacokinetic parameters to assess interventions (Days 1 to 14; 24,48,72,96 and 120 hours and 4 weeks after final dose)</t>
  </si>
  <si>
    <t xml:space="preserve">n=30, Double-blind, Randomized, Placebo-controlled, Escalating, Multiple-dose, Phase I Trial to Assess Safety, Tolerability and Pharmacokinetics </t>
  </si>
  <si>
    <t>met primary endpoint of safety and secondary endpoint of of pharmacokinetic parameters to assess interventions (Days 1, 6, 14-16, 21-24, 28-31, and 51-53)</t>
  </si>
  <si>
    <t>safety parameters included physical examination/vital signs, electrocardiograms, laboratory safety tests and adverse events</t>
  </si>
  <si>
    <t>Phase I, n=12</t>
  </si>
  <si>
    <t>Phase I, n=30</t>
  </si>
  <si>
    <t xml:space="preserve">n=12, Randomized, Double-Blind, Crossover, Exploratory Study of the Pharmacokinetics of a Single Oral Dose of Form I Versus Form V Capsules </t>
  </si>
  <si>
    <t>met primary endpoint of pharmacokinetic parameters to assess interventions</t>
  </si>
  <si>
    <t>Cumulatively, as of the end of July 2014, Siga has delivered 1.3M courses of Tecovirimat since the beginning of 2013</t>
  </si>
  <si>
    <t>BARDA awarded $433M contract to deliver 1.7 million courses of ST-246</t>
  </si>
  <si>
    <t>In addition to $33M HHS contract to supply ST-246</t>
  </si>
  <si>
    <t>Q112</t>
  </si>
  <si>
    <t>Q212</t>
  </si>
  <si>
    <t>Q312</t>
  </si>
  <si>
    <t>Q412</t>
  </si>
  <si>
    <t>Q113</t>
  </si>
  <si>
    <t>Q213</t>
  </si>
  <si>
    <t>Q313</t>
  </si>
  <si>
    <t>Q413</t>
  </si>
  <si>
    <t>Q114</t>
  </si>
  <si>
    <t>Gross Profit</t>
  </si>
  <si>
    <t xml:space="preserve"> Patent fees</t>
  </si>
  <si>
    <t>Inventory</t>
  </si>
  <si>
    <t>Deferred tax</t>
  </si>
  <si>
    <t xml:space="preserve"> Current assets</t>
  </si>
  <si>
    <t>Receivables</t>
  </si>
  <si>
    <t>Deferred costs</t>
  </si>
  <si>
    <t>Other assets</t>
  </si>
  <si>
    <t xml:space="preserve"> Total assets</t>
  </si>
  <si>
    <t>Current debt</t>
  </si>
  <si>
    <t>Warrants</t>
  </si>
  <si>
    <t xml:space="preserve"> Current liabilities</t>
  </si>
  <si>
    <t>Deferred revenue</t>
  </si>
  <si>
    <t>Long-term debt</t>
  </si>
  <si>
    <t>Other liabilities</t>
  </si>
  <si>
    <t xml:space="preserve"> Total liabilities</t>
  </si>
  <si>
    <t>Accrued exp/other</t>
  </si>
  <si>
    <t>COGS</t>
  </si>
  <si>
    <t>Royalties</t>
  </si>
  <si>
    <t>Gross Margin</t>
  </si>
  <si>
    <t>R&amp;D</t>
  </si>
  <si>
    <t>SG&amp;A</t>
  </si>
  <si>
    <t>Operating Income</t>
  </si>
  <si>
    <t>Pretax Income</t>
  </si>
  <si>
    <t>CFO</t>
  </si>
  <si>
    <t>Capex</t>
  </si>
  <si>
    <t>FCF</t>
  </si>
  <si>
    <t>Other Income (exp)</t>
  </si>
  <si>
    <t>Q314</t>
  </si>
  <si>
    <t>Q414</t>
  </si>
  <si>
    <t>Int. on Debt</t>
  </si>
  <si>
    <t>ROIC</t>
  </si>
  <si>
    <t>Maturity</t>
  </si>
  <si>
    <t>Tax Rate</t>
  </si>
  <si>
    <t>Discount</t>
  </si>
  <si>
    <t>Share</t>
  </si>
  <si>
    <t xml:space="preserve"> COGS and royalties</t>
  </si>
  <si>
    <t>PharmAthene is entitled to a lump sum damage award in a still unspecified amount, with interest and fees, based on U. S. Government purchases of SIGA's smallpox drug supposedly anticipated in 2006.</t>
  </si>
  <si>
    <t>The total award is likely to be substantial, but it will not be established until after the Court considers calculations to be provided by a designated expert.</t>
  </si>
  <si>
    <t>Ruling</t>
  </si>
  <si>
    <t>BARDA contract (5/13/11)</t>
  </si>
  <si>
    <t>Govt contracts through 2005</t>
  </si>
  <si>
    <t>NIH grants (Aug 2004)</t>
  </si>
  <si>
    <t>NIH (prior to 2003)</t>
  </si>
  <si>
    <t>US Army Medical Research (Sep 2005)</t>
  </si>
  <si>
    <t>US Army Medical Research Dec 2002)</t>
  </si>
  <si>
    <t>(smallpox)</t>
  </si>
  <si>
    <t>% to PharmAthene</t>
  </si>
  <si>
    <t>Interest rate (inc fees)</t>
  </si>
  <si>
    <t>Lump sum payment</t>
  </si>
  <si>
    <t>Settlement</t>
  </si>
  <si>
    <t>The Department of Homeland Security appropriation bill signed by  President  Bush on October 1, 2003 created a  discretionary reserve of $5.6B to fund Project BioShield</t>
  </si>
  <si>
    <t>$3.4B over first 5 years, $2.2B over next 5 years</t>
  </si>
  <si>
    <t>The Congressional  Budget Office reported that the DHS projects acquisition of 60M doses of new Smallpox vaccines over 3 years, beginning 2005</t>
  </si>
  <si>
    <t>CBO reports that the DHS will spend an additional $1B to replace expired stocks in 2007-2013</t>
  </si>
  <si>
    <t>Federal govt committed to $9B research spend in 2006</t>
  </si>
  <si>
    <t xml:space="preserve"> Interest expense</t>
  </si>
  <si>
    <t>Other Income</t>
  </si>
  <si>
    <t>Viral Infection</t>
  </si>
  <si>
    <t>BAVA, CMRX, EBS</t>
  </si>
  <si>
    <t>SNY</t>
  </si>
  <si>
    <t>A/R</t>
  </si>
  <si>
    <t>100% (ongoing litigation)</t>
  </si>
  <si>
    <t>1/16/08:</t>
  </si>
  <si>
    <t>Court denies Siga's motion to dismiss</t>
  </si>
  <si>
    <t>1/26/06:</t>
  </si>
  <si>
    <t>License Agreement Term Sheet (LATS) is drawn up to establish a development/comercialization partnership</t>
  </si>
  <si>
    <t>3/9/06:</t>
  </si>
  <si>
    <t>Parties agree to negotiate in good faith and use best efforts to execute a definitive merger agreement</t>
  </si>
  <si>
    <t>Upon any termination, parties agree to negotiate terms of a definitive license agreement in accordance with terms in LATS</t>
  </si>
  <si>
    <t>Specifically, it is an indication of the parties intention to consummate a merger - says non binding</t>
  </si>
  <si>
    <t>3/20/06:</t>
  </si>
  <si>
    <t>Parties enter a bridge loan agreement for $3M</t>
  </si>
  <si>
    <t>6/8/06:</t>
  </si>
  <si>
    <t>Merger agreement executed</t>
  </si>
  <si>
    <t>Subject to New York state laws</t>
  </si>
  <si>
    <t>Subject to Delaware state laws</t>
  </si>
  <si>
    <t>9/30/06:</t>
  </si>
  <si>
    <t>10/4/06:</t>
  </si>
  <si>
    <t>Siga sends notice terminating merger agreement, stating deadline has passed</t>
  </si>
  <si>
    <t>10/12/06:</t>
  </si>
  <si>
    <t>PharmAthene sends a license agreement in accordance with original LATS for execution</t>
  </si>
  <si>
    <t>10/13/06:</t>
  </si>
  <si>
    <t>Siga responds saying it will review by October 16</t>
  </si>
  <si>
    <t>10/18/06:</t>
  </si>
  <si>
    <t>Siga publicly announces results of Siga-246 clinical trials</t>
  </si>
  <si>
    <t>10/19/06:</t>
  </si>
  <si>
    <t>Siga obtains $9M in a private placement and wants to pay back the bridge loan</t>
  </si>
  <si>
    <t>11/6/06:</t>
  </si>
  <si>
    <t>11/21/06:</t>
  </si>
  <si>
    <t>Upfront payment for license increased from $6M to $100M</t>
  </si>
  <si>
    <t>Milestone payments increased from $10M to $235M</t>
  </si>
  <si>
    <t>12/12/06:</t>
  </si>
  <si>
    <t>Siga states further partnership discussions are useless if PharmAthene adheres to terms in LATS, bridge loan and merger agreement</t>
  </si>
  <si>
    <t>12/20/06:</t>
  </si>
  <si>
    <t>PharmAthene commenced legal action</t>
  </si>
  <si>
    <t>Count 2 seeks declaratory judgement - Siga obligated to execute license agreement and not allowed to negotiate with third parties</t>
  </si>
  <si>
    <t>Count 3 asserts they entered an enforceable license agreement, which Siga breached</t>
  </si>
  <si>
    <t>Count 4 asserts Siga breached agreement to execute license agreement in accordance with LATS terms</t>
  </si>
  <si>
    <t>Count 6 seeks relief on a theory of promissory estoppel</t>
  </si>
  <si>
    <t>Count 7 seeks relief on a theory of unjust enrichment</t>
  </si>
  <si>
    <t>PharmAthene commenced legal action, asserting 7 claims for relief:</t>
  </si>
  <si>
    <t>Determines motions should be analyzed under Delaware law (in agreement with PharmAthene)</t>
  </si>
  <si>
    <t>7/10/09:</t>
  </si>
  <si>
    <t>Court overrules Siga's claims of attorney-client privilege/work product immunity for several documents</t>
  </si>
  <si>
    <t>11/23/10:</t>
  </si>
  <si>
    <t>Court denies Siga's motion for partial summary judgement, which claimed parties never entered a binding licensing agreement</t>
  </si>
  <si>
    <t>Judge is skeptical of PharmAthene's claim for expectation damages because they are speculative, but believes it is premature to grant summary judgement</t>
  </si>
  <si>
    <t>Legal Rulings</t>
  </si>
  <si>
    <t>PharmAthene files amended complaint</t>
  </si>
  <si>
    <t>Siga files an answer to the amended complaint and counterclaim</t>
  </si>
  <si>
    <t>3/19/10:</t>
  </si>
  <si>
    <t>Siga moves for partial summary judgement</t>
  </si>
  <si>
    <t>Court overrules Siga's claims of attorney-client privilege</t>
  </si>
  <si>
    <t>Court denies Siga's motion for partial summary judgement</t>
  </si>
  <si>
    <t>9/22/11:</t>
  </si>
  <si>
    <t>Finds Siga did not breach a binding license agreement, but breached obligations to negotiate in good faith</t>
  </si>
  <si>
    <t>Finds Siga is liable under doctrine of promissory estoppel</t>
  </si>
  <si>
    <t>However, court believes PharmAthene is entitled to a share in profits after an adjustment for upfront payments that would've been likely under a licensing agreement</t>
  </si>
  <si>
    <t>At end of 2005, both companies agree market potential for ST-246 ranged from $1B-$1.26B</t>
  </si>
  <si>
    <t>$6M license fee ($2M upfront, $2.5M deferred over 12 months and $1.5M after Siga obtained financing over $15M)</t>
  </si>
  <si>
    <t>$10M in milestone payments (sales targets, reg approvals)</t>
  </si>
  <si>
    <t>Royalties of 8% (sales under $250M), 10% (sales over $250M) and 12% (sales over $1B)</t>
  </si>
  <si>
    <t>Sets forth a framework for many things, including patents, licenses, license fees and royalties:</t>
  </si>
  <si>
    <t>Siga suggests $40-45M upfront and 50/50 profit split</t>
  </si>
  <si>
    <t>Also includes other provisions (unilaterally resolve disputes, block distributions to PharmAthene, PharmAthene fully funds LLC's costs, right to terminate LLC and retain full product rights)</t>
  </si>
  <si>
    <t>1/9/07:</t>
  </si>
  <si>
    <t>Siga moved to dismiss the complaint</t>
  </si>
  <si>
    <t>5/4/09:</t>
  </si>
  <si>
    <t>5/18/09:</t>
  </si>
  <si>
    <t>Jan 2011:</t>
  </si>
  <si>
    <t>11 day court trial</t>
  </si>
  <si>
    <t>4/29/11:</t>
  </si>
  <si>
    <t>Final arguments presented</t>
  </si>
  <si>
    <t>Denies reaching a binding licensing agreement, but rather an unenforceable agreement to agree</t>
  </si>
  <si>
    <t>Denies promising control of ST-246</t>
  </si>
  <si>
    <t>Contends PharmAthene assistance was unsolicited and of little value</t>
  </si>
  <si>
    <t>Claims PharmAthene breached duty to negotiate in good faith, causing Siga unneccessary expense of drafting new LLC agreement</t>
  </si>
  <si>
    <t>Siga gets 50% of LLC's remaining profits (not just when net margin exceeds 20% on sales to US government)</t>
  </si>
  <si>
    <t>Siga gets 50% of LLC's remaining profits when net margin exceeds 20% on sales to US government</t>
  </si>
  <si>
    <t>PharmAthene's independent damages expert (Baliban) used 2 discounted earnings analyses (inputs as of Dec 2006 and as of trial date) to estimate damages of $402M-$1.07B</t>
  </si>
  <si>
    <t>Court rules in favor of PharmAthene</t>
  </si>
  <si>
    <t>After Siga earns $40M in net profits, PharmAthene entitled to 50% of all net profits for 10 years following first commercial sale</t>
  </si>
  <si>
    <t>12/16/11:</t>
  </si>
  <si>
    <t>10/4/11:</t>
  </si>
  <si>
    <t>Court denies Siga's motion for reargument as to the unprecedented remedy ordered</t>
  </si>
  <si>
    <t>Siga files motion for reargument as to the unprecedented remedy ordered</t>
  </si>
  <si>
    <t>5/31/12:</t>
  </si>
  <si>
    <t>Court issues resolution for 30 discrete points of disagreement between each party's proposed implementation of equitable remedy</t>
  </si>
  <si>
    <t>5/24/13:</t>
  </si>
  <si>
    <t>8/8/14:</t>
  </si>
  <si>
    <t>Upon appeal, Delaware Supreme Court reverses prior ruling of promissory estoppel and equitable damages, and remands case to reconsider the award</t>
  </si>
  <si>
    <t>Judge favors Baliban's $1.07B damages valuation based on Dec 2006 knowledge:</t>
  </si>
  <si>
    <t>Judge believes US government sales would've begun in 2010 (not 2008), SNS portion of sales (14.8M) over the course of 5 years (not 4), DoD portion of sales (250K) should be halved, ROW sales (14.8M) should be eliminated, repurchase aspect rejected</t>
  </si>
  <si>
    <t>Also awards 40% of legal fees incurred through post-trial argument (33% for the following remand proceedings) and 60% of expert witness costs through trial arguments (10% for following remand proceedings)</t>
  </si>
  <si>
    <t>Judge rules PharmAthene should be awarded a lump sum payment with interest/fees based on expected US government purchases in December 2006</t>
  </si>
  <si>
    <t>Total award will not be established until after the court considers calculations to be provided by a designated expert</t>
  </si>
  <si>
    <t>Count 1 seeks specific performance - alleges definitive license agreement in accordance with License Agreement Term Sheet (LATS), bridge loan and merger agreement must be executed</t>
  </si>
  <si>
    <t>Count 5 asserts Siga breached bridge loan and merger agreement by not negotiating in good faith in line with LATS terms, and not using best efforts to complete the deal</t>
  </si>
  <si>
    <t>Court rules in favor of PharmAthene on multiple claims (counts 5 and 6):</t>
  </si>
  <si>
    <t>Denies PharmAthene's claims for specific performance of a license agreement with terms from LATS, as well as a lump sum award for expectation damages</t>
  </si>
  <si>
    <t>Also awards PharmAthene recovery of 33% of attorney fees and expenses</t>
  </si>
  <si>
    <t>Judge believes the court should consider Siga's BARDA contract in determining an award</t>
  </si>
  <si>
    <t>Unsigned document with the footer "Non Binding Terms"</t>
  </si>
  <si>
    <t>Sign LOI with annexed Merger Term Sheet</t>
  </si>
  <si>
    <t>If merger isn't executed, PharmAthene has 90 day exclusivity period to negotiate licensing agreement</t>
  </si>
  <si>
    <t>Deadline to close merger, PharmAthene requests an extension (Siga doesn't respond)</t>
  </si>
  <si>
    <t>Around this time, both parties become aware that results from Siga-246 trials are highly successful</t>
  </si>
  <si>
    <t>Siga claims LATS terms aren't binding and that the terms are no longer acceptable</t>
  </si>
  <si>
    <t>Siga forwards a partnership agreement ignoring LATS terms, which PharmAthene disputed, but offered to continue negotiations</t>
  </si>
  <si>
    <t>Royalties raised from 8-12% to 18-28%</t>
  </si>
  <si>
    <t>Revenues</t>
  </si>
  <si>
    <t>Assumes 91.9M vials sold 2008-17 (29.8M from 2008-12) at $100 each, 84% probability of commercialization success, 23.1% discount rate</t>
  </si>
  <si>
    <t>Op Exp</t>
  </si>
  <si>
    <t>Tax rate</t>
  </si>
  <si>
    <t>Success prob.</t>
  </si>
  <si>
    <t>Int rate</t>
  </si>
  <si>
    <t>Award</t>
  </si>
  <si>
    <t>Based on govt contract:</t>
  </si>
  <si>
    <t>Based on expert model:</t>
  </si>
  <si>
    <t>Units</t>
  </si>
  <si>
    <t>Patent</t>
  </si>
  <si>
    <t xml:space="preserve">   EC50s (µM) vs. pseudotypes </t>
  </si>
  <si>
    <t>Tacaribe</t>
  </si>
  <si>
    <t>Machupo</t>
  </si>
  <si>
    <t>Pichinde</t>
  </si>
  <si>
    <t>VSV</t>
  </si>
  <si>
    <t>&gt;25</t>
  </si>
  <si>
    <t xml:space="preserve">A 7-azabenzimidazole core (Compound 1) is shown to be very potent with EC50 0.13 nM in the assay against Lassa GP-pseudotyped-virus in 293T cells </t>
  </si>
  <si>
    <t>Compound</t>
  </si>
  <si>
    <t>Guanarito</t>
  </si>
  <si>
    <t>Junin</t>
  </si>
  <si>
    <t>Sabia</t>
  </si>
  <si>
    <t>VSVg</t>
  </si>
  <si>
    <t>&lt; 0.05 uM</t>
  </si>
  <si>
    <t>1 &lt; EC50 &lt; 50 uM</t>
  </si>
  <si>
    <t>Among the 36 quality hits, there were several clusters of structure type - ST-336 was chosen for further development and is the representative prototype for this series</t>
  </si>
  <si>
    <t>Specificity of ST-336</t>
  </si>
  <si>
    <t>Inhibitory</t>
  </si>
  <si>
    <t>Concentration (EC)</t>
  </si>
  <si>
    <t>for Tacaribe</t>
  </si>
  <si>
    <t>(Virus yield)</t>
  </si>
  <si>
    <t>(Plaque reduction)</t>
  </si>
  <si>
    <t>Candid1 (CPE)</t>
  </si>
  <si>
    <t>Amapari (CPE)</t>
  </si>
  <si>
    <t>Machupo (Plaque reduction)</t>
  </si>
  <si>
    <t>Guanarito (Plaque reduction)</t>
  </si>
  <si>
    <t xml:space="preserve">Junin (Plaque reduction) </t>
  </si>
  <si>
    <t>Lassa (plaque reduction)</t>
  </si>
  <si>
    <t>LCMV (Elisa)</t>
  </si>
  <si>
    <t>EC50</t>
  </si>
  <si>
    <t>EC90</t>
  </si>
  <si>
    <t>EC99</t>
  </si>
  <si>
    <t>&gt;20</t>
  </si>
  <si>
    <t>Value (μM)</t>
  </si>
  <si>
    <t xml:space="preserve">(CPE) </t>
  </si>
  <si>
    <t>ST-336 showed no inhibitory activity against LCM virus or authentic Lassa virus and lacked activity against the Amapari virus</t>
  </si>
  <si>
    <t xml:space="preserve">ST-336 showed potent antiviral activity against the vaccine strain of Junin virus (Candid 1) as well as Machupo, Guanarito, and Junin </t>
  </si>
  <si>
    <t>HSV-1 (CPE)</t>
  </si>
  <si>
    <t>CMV (Elisa)</t>
  </si>
  <si>
    <t>Vaccinia (CPE)</t>
  </si>
  <si>
    <t>RSV-A (CPE)</t>
  </si>
  <si>
    <t>Rotavirus (CPE)</t>
  </si>
  <si>
    <t>SARS (CPE)</t>
  </si>
  <si>
    <t>Ebola (CPE)</t>
  </si>
  <si>
    <t>Data suggested that ST-336 binds intact virions with a very slow dissociation constant</t>
  </si>
  <si>
    <t>Growth of ST-336 isolates was unaffected by the presence of ST-336 at concentrations that completely inhibited wild type Tacaribe virus replication, strongly suggesting that ST-336 acts as a direct antiviral inhibitor</t>
  </si>
  <si>
    <t>Specificity of ST-294</t>
  </si>
  <si>
    <t>Properties</t>
  </si>
  <si>
    <t>Solubility (0%, 2%, 10% FBS)</t>
  </si>
  <si>
    <t>Solubility (pIon, pH 7.4)</t>
  </si>
  <si>
    <t>Stability (S9) rat/mouse/human/g.p</t>
  </si>
  <si>
    <t>Genotoxicity (Ames test)</t>
  </si>
  <si>
    <t>1/2 Life (PK rat/oral)</t>
  </si>
  <si>
    <t>Bioavailability (PK rat/oral)</t>
  </si>
  <si>
    <t>1/2 Life (PK newborn mouse)</t>
  </si>
  <si>
    <t>Cmax (PK newborn mouse)</t>
  </si>
  <si>
    <t xml:space="preserve">  18, 21 and 23 µM </t>
  </si>
  <si>
    <t>480 µM</t>
  </si>
  <si>
    <t>26/74/100/23 min</t>
  </si>
  <si>
    <t>negative</t>
  </si>
  <si>
    <t>3 hours</t>
  </si>
  <si>
    <t xml:space="preserve">2 hours </t>
  </si>
  <si>
    <t>2910 ng/ml</t>
  </si>
  <si>
    <t>To test tolerability, newborn mice were given IP dosages ranging from 0-100 mg/kg/day of ST-294 for 5 days</t>
  </si>
  <si>
    <t xml:space="preserve">Drug levels and half-life of this drug candidate given IP in newborn mice is not as good as oral dosing in rats </t>
  </si>
  <si>
    <t>ST-336 exerted its inhibitory effect only at the very early stage in the virus life cycle - addition of ST-336 at any time post-infection had no effect on virus yield, suggesting its an early stage inhibitor of virus replication</t>
  </si>
  <si>
    <t>Data suggest that amino acid changes in arenavirus GP2 at either position 416, 418, 433 or 436 are sufficient to confer reduced susceptibility to ST-336</t>
  </si>
  <si>
    <t>Four day old mice were challenged with 30×LD50 of Tacaribe virus and treated with placebo, ribavirin as a control or ST-294</t>
  </si>
  <si>
    <t>ST-336</t>
  </si>
  <si>
    <t>2A: Vero cells were infected with Tacaribe virus at a MOI=0.01, ST-336 was added prior to or during Tacaribe infection (−1, 3, 6, 9, 12, 15, 18 or 21 hours post-infection). At 24 hours post-infection, virus yields were determined by plaque assay</t>
  </si>
  <si>
    <t>3A: Virus dilution scheme prior to plating is provided - the virus mixed with ST-336 and diluted (left side) or virus diluted and ST-336 added after dilution (right side)</t>
  </si>
  <si>
    <t>4B:  Amino acid sequence alignment (SEQ ID NOS 3-16, respectively, in order of appearance) of GP2 from wild type NWA and ST 336 DRVs is shown</t>
  </si>
  <si>
    <t>Shown is the amino acid sequence of the C-terminal portion of GP2 (amino acids 397 to 457) containing the transmembrane domain (marked by vertical lines), the location of the mutations for DR#1-4 (underlined), and the amino acid difference in Amapari (in bold).</t>
  </si>
  <si>
    <t>Selectivity of ST-336</t>
  </si>
  <si>
    <t xml:space="preserve">The ST-336 class of compounds targets the GP2 envelope protein, with mutations eliciting reduced susceptibility to the drug arising in or around the transmembrane region </t>
  </si>
  <si>
    <t>Drugs that target the interactions between the virus envelope and the cellular receptor represent a new class of antiviral drugs - entry inhibitors have raised interest because of their activity against multi-drug resistant viruses</t>
  </si>
  <si>
    <t>ST-294 also has the potential for prophylactic use since this drug appears to bind to the virus and would prevent infection - other virus entry inhibitors have demonstrated protection when given prophylactically</t>
  </si>
  <si>
    <t>ST-600193 displayed enhanced potency and selectivity relative to ST-600037</t>
  </si>
  <si>
    <t>ST-600193 is also a potent inhibitor of pseudotyped viral infection mediated by the envelopes of the New World arenaviruses Guanarito (EC50&lt;1 nM) and Tacaribe (EC50=4 nM) - could be used for other viruses besides Lassa fever</t>
  </si>
  <si>
    <t>No.</t>
  </si>
  <si>
    <t>Activity against Lassa</t>
  </si>
  <si>
    <t>GP-pseudotyped-virus</t>
  </si>
  <si>
    <t>EC50 (µM)</t>
  </si>
  <si>
    <t>Activity vs. LFV</t>
  </si>
  <si>
    <t>Specificity</t>
  </si>
  <si>
    <t>structure/name</t>
  </si>
  <si>
    <t>&lt;0.1</t>
  </si>
  <si>
    <t xml:space="preserve">formula </t>
  </si>
  <si>
    <t>&gt;400</t>
  </si>
  <si>
    <t>C22H21N3O2</t>
  </si>
  <si>
    <t>C24H25N3O</t>
  </si>
  <si>
    <t>Compounds 6 and 7 displayed enhanced potency (EC50=6 nM and 63 nM, respectively) and selectivity relative to Compound 1</t>
  </si>
  <si>
    <t>Data</t>
  </si>
  <si>
    <t>chemical name</t>
  </si>
  <si>
    <t>Analytical</t>
  </si>
  <si>
    <t xml:space="preserve">1H NMR in DMSO-d6: d 14.04 (br s, 2H), </t>
  </si>
  <si>
    <t xml:space="preserve">12.02 (br s, 1H), 7.26-7.45 (m, 4H), </t>
  </si>
  <si>
    <t xml:space="preserve">7.07- 7.17 (m, 2H); Mass Spec: 269.3 (M - H)- </t>
  </si>
  <si>
    <t>4,4'-Difluoro-1H,1'H- [2,2']</t>
  </si>
  <si>
    <t>bibenzoimidazolyl</t>
  </si>
  <si>
    <t>C14 H8 F2 N4</t>
  </si>
  <si>
    <t>1H NMR in DMSO-d6: d 7.76-7.82 (m, 1H),</t>
  </si>
  <si>
    <t xml:space="preserve">Mass Spec: 269.3 (M - H)- </t>
  </si>
  <si>
    <t xml:space="preserve">7.54-7.68 (m, 2H), 7.12-7.34 (m, 3H); </t>
  </si>
  <si>
    <t>Activity</t>
  </si>
  <si>
    <t>EC50 &lt; 1 uM</t>
  </si>
  <si>
    <t>5,5'-Difluoro-1H,1'H- [2,2']</t>
  </si>
  <si>
    <t xml:space="preserve">1H NMR in DMSO-d6: d 13.55 (s, 2H), </t>
  </si>
  <si>
    <t xml:space="preserve">7.76 (d, 2H), 7.56 (d, 2H), 7.29 (td, 4H); </t>
  </si>
  <si>
    <t xml:space="preserve">13C NMR in DMSO-d6: d 143.81, 143.49, </t>
  </si>
  <si>
    <t>134.83, 123.63, 122.25, 119.18, 112.06;</t>
  </si>
  <si>
    <t xml:space="preserve"> HRMS: 234.08976 M+</t>
  </si>
  <si>
    <t>1H, 1'H- [2,2']</t>
  </si>
  <si>
    <t>C14 H10 N4</t>
  </si>
  <si>
    <t>In LCMV-infected cells in the presence of 10 μM compound, synthesis of viral S RNA and NP mRNA were dramatically suppressed relative to untreated controls for a period of at least 48 h post infection</t>
  </si>
  <si>
    <t>lymphocytic choriomeningitis virus (LCMV)</t>
  </si>
  <si>
    <t>No CAT activity was observed in infected cells treated with 20 µM of Compound 1 - suggests that Compound 1 inhibits the activity of either viral NP or L protein, preventing efficient transcription and translation of viral RNA</t>
  </si>
  <si>
    <t>N-(3,4- dichlorophenyl)piperidine-</t>
  </si>
  <si>
    <t xml:space="preserve">N-(3,4- dichlorophenyl)morpholine- </t>
  </si>
  <si>
    <t>4-carbothioamide</t>
  </si>
  <si>
    <t>1-carbothioamide</t>
  </si>
  <si>
    <t>Lassa virus</t>
  </si>
  <si>
    <t>Tacaribe, Machupo, Guanarito, and Junin viruses</t>
  </si>
  <si>
    <t>Tacaribe, Machupo, Pichinde, VSV viruses</t>
  </si>
  <si>
    <t>4-methyl-piperazine-1-carbothioic acid amide derivatives and analogs for treatment of Arenaviruses</t>
  </si>
  <si>
    <t>EC50/CC50 μM Tacaribe</t>
  </si>
  <si>
    <t>EC50/CC50 μM Candid 1</t>
  </si>
  <si>
    <t>EC50 μM Category A NWA</t>
  </si>
  <si>
    <t>Machupo: 0.3; Guanarito: 0.15</t>
  </si>
  <si>
    <t xml:space="preserve"> 0.06 / 25 </t>
  </si>
  <si>
    <t>0.14 / 50</t>
  </si>
  <si>
    <t xml:space="preserve">0.05 / 25 </t>
  </si>
  <si>
    <t>0.26 / 50</t>
  </si>
  <si>
    <t>Not tested</t>
  </si>
  <si>
    <t>&gt;50 / &gt;50</t>
  </si>
  <si>
    <t>cycloalkanecarboxylic acid hydrazide derivatives and analogs for treatment of Arenaviruses</t>
  </si>
  <si>
    <t>CC50/EC50</t>
  </si>
  <si>
    <t>(Therapeutic</t>
  </si>
  <si>
    <t>Index)</t>
  </si>
  <si>
    <t>Compound 408306 was identified as one of the most potent and selective compounds from within the pool of 25 quality hits</t>
  </si>
  <si>
    <t>ST-600161 is also a potent inhibitor of pseudotyped viral infection mediated by the envelopes of the New World arenaviruses Guanarito (EC50=0.3 µM) and Tacaribe (EC50=0.8 µM)</t>
  </si>
  <si>
    <t>&gt;2000</t>
  </si>
  <si>
    <t>&gt;100</t>
  </si>
  <si>
    <t>C18H19N3O</t>
  </si>
  <si>
    <t>&gt;90,000</t>
  </si>
  <si>
    <t>&lt;0.02</t>
  </si>
  <si>
    <t>&lt;2000</t>
  </si>
  <si>
    <t>C23H21N3O3</t>
  </si>
  <si>
    <t>benzimidazole derivatives and analogs for treatment of Arenaviruses</t>
  </si>
  <si>
    <t xml:space="preserve">Compound 1 is shown to be very potent with EC50 0.13 nM in the assay against Lassa GP-pseudotyped-virus in 293T cells </t>
  </si>
  <si>
    <t xml:space="preserve">1H NMR in CDCl3: d 8.11 (s, 1H), 7.97 </t>
  </si>
  <si>
    <t xml:space="preserve">(d, 1H), 7.59 (t, 1H), 7.56 (t, 1H), 7.34 </t>
  </si>
  <si>
    <t xml:space="preserve">(s, 1H), 7.32 (d, 2H), 7.19 (d, 2H), 7.06 </t>
  </si>
  <si>
    <t xml:space="preserve">(t, 1H), 7.03 (t, 1H), 4.36 (s, 2H), 4.12 </t>
  </si>
  <si>
    <t xml:space="preserve">(br, 1H), 4.09 (q, 2H), 2.64 (q, 2H), 1.45 </t>
  </si>
  <si>
    <t xml:space="preserve">(t, 3H), 1.23 (t, 3H); </t>
  </si>
  <si>
    <t xml:space="preserve">Mass Spec: 373.2 (M +H)+ </t>
  </si>
  <si>
    <t xml:space="preserve">(4-ethyl- benzyl)-amine </t>
  </si>
  <si>
    <t>C23 H24 N4 O</t>
  </si>
  <si>
    <t xml:space="preserve">[3-(4-Ethoxy-phenyl)- </t>
  </si>
  <si>
    <t>3H-imidazo[4,5- b]pyridin-6-yl]-</t>
  </si>
  <si>
    <t>Lassa</t>
  </si>
  <si>
    <t>Activity (EC50s in µM vs. pseudotyped virus)</t>
  </si>
  <si>
    <t>EC50 &lt; 0.05 uM</t>
  </si>
  <si>
    <t>7: Shows chemical structures of fusion inhibitors</t>
  </si>
  <si>
    <t>8: Shows immunoprecipitation of insect and mammalian-cell derived cleavage-defective GPC</t>
  </si>
  <si>
    <t>9: Shows biosensor analysis (Biacore T100) of the interaction of small-molecule fusion inhibitors with detergent solubilized icd-GPC</t>
  </si>
  <si>
    <t>10: Shows inhibition of pH-induced cell-cell fusion</t>
  </si>
  <si>
    <t>11: Shows competitive binding of small-molecule fusion inhibitors to icd-GPC</t>
  </si>
  <si>
    <t>ST-294, has been identified to potently and selectively inhibit NWA viruses in vitro including the 3 NIAID/CDC Category A viruses (Junin, Machupo, and Guanarito viruses)</t>
  </si>
  <si>
    <t>Also evaluated for stability in S9 liver extracts and for it's pharmacokinetic properties and was found to be metabolically stable and orally bioavailable</t>
  </si>
  <si>
    <t>Preliminary study showed significant protection against Tacaribe virus induced disease in newborn mice - apparent that this series of compounds targets GP2 and are viral entry inhibitors</t>
  </si>
  <si>
    <t>Apparent that the drug binds to virus and is carried over during dilutions (could potentially have an effect when titrating virus samples during other experiments, but wasn't enough drug carry over to affect the titers due to high dilution)</t>
  </si>
  <si>
    <t>Since ST-294 has better S9 stability than ST-336 does, thought that metabolism occurs at the methyl group on the aromatic ring</t>
  </si>
  <si>
    <t>The benzylic position is susceptible to oxidation - when there is no benzylic hydrogen present as in ST-294, oxidation is blocked and thus eliminates the fastest metabolism pathway</t>
  </si>
  <si>
    <t>Addition of the difluoromethoxy group in ST-294 gave this compound increased S9 stability, but did not reduce antiviral activity</t>
  </si>
  <si>
    <t>Not known whether ST-294 can cross the blood brain barrier (mice appear to die of a neurological disease, indicated by hind quarter paralysis)</t>
  </si>
  <si>
    <t xml:space="preserve">Also has the potential for prophylactic use since this drug appears to bind to the virus </t>
  </si>
  <si>
    <t>ST-294 and ST-193 - genetic studies of GPC from the Junin virus (JUNV) suggest that these small-molecule inhibitors bind to and stabilize the prefusion GPC complex, thereby preventing pH-induced activation of membrane fusion and virus entry</t>
  </si>
  <si>
    <t>Four MAbs (BE08, AG02, BF11, and AA09) have shown to be capable of neutralizing viral infectivity and would serve as sensitive probes for the native GPC conformation</t>
  </si>
  <si>
    <t xml:space="preserve">ST-294 and ST-761 are specific to the NW arenaviruses </t>
  </si>
  <si>
    <t>ST-193 and TSRI 17C8 inhibit both NW and OW viruses</t>
  </si>
  <si>
    <t>ST-161 and TSRI 8C1 are selective for the OW LASV</t>
  </si>
  <si>
    <t>ST-375 is a dansyl analogue of ST-294 that inhibits JUNV GPC-mediated cell-cell fusion at an EC50 similar to that of its parent (0.6 and 1.5 µM for ST-375 and ST-294)</t>
  </si>
  <si>
    <t>Determined that bound ST-375 was displaced from icd-GPC in a time- and concentration-dependent manner by ST-294 as well as by ST-761 and ST-193, but not by ST-161</t>
  </si>
  <si>
    <t>Risk adj. NPV</t>
  </si>
  <si>
    <t>1A: Benzimidazole derivative ST-37 (left) was modified to generate ST-193 (right)</t>
  </si>
  <si>
    <t>1B: Inhibition of LASV GP- or VSVg-pseudotyped HIV infection with ST-37 or ST-193</t>
  </si>
  <si>
    <t>Infectivity measured by luciferase reporter relative to controls with no compound -each point is an average of three replicates, with error bars designating standard deviation</t>
  </si>
  <si>
    <t>2A: Schematic representation of LASV-LCMV chimeric GPs - predicted TMD and heptad repeat domains (HR1 and HR2) are indicated</t>
  </si>
  <si>
    <t>2B: Pseudotype infectivity as in FIG. 1 using the arenavirus GPs shown (representative experiment)</t>
  </si>
  <si>
    <t>Average IC50s±SEM for these constructs were: LASV, 0.0016±0.0003 μM; LCMV, 31±4 μM; LASVN-LCMVC, 13.6±2.2 μM; and LCMVN-LASVC, 0.0005±0.0003 μM</t>
  </si>
  <si>
    <t>3A: Schematic representation of an arenavirus GP2 subunit and the sites of 193R variations</t>
  </si>
  <si>
    <t>The TCRV amino acid sequence is shown for the region indicated, with sites identified as determinants of ST-193 sensitivity indicated with raised letters and numbering (TCRV GP amino acid numbering)</t>
  </si>
  <si>
    <t>Predicted TMD and heptad repeat domains (HR1 and HR2) are indicated (TMD is outlined in the sequence)</t>
  </si>
  <si>
    <t>3B: Single amino acid variations that reduce ST-193 sensitivity in TCRV GP</t>
  </si>
  <si>
    <t>4: Residues identified as ST-193 sensitivity determinants (FIG. 3) are in bold type, and the predicted TMD is indicated</t>
  </si>
  <si>
    <t>The highlighted residues at positions 421 and 425 are sensitivity determinants for which some sequence divergence is observed across the Arenaviridae family</t>
  </si>
  <si>
    <t xml:space="preserve">LASV, Lassa fever strain Josiah (J04324); LCMV, lymphocytic choriomeningitis strain Armstrong 53b (AY847350); MACV, Machupo strain Carvallo (AY619643); JUNV, Junin strain MC2 (D10072); TCRV, Tacaribe strain TRVL 11598 (P31840); </t>
  </si>
  <si>
    <t>Compound ST-600037 was identified as one of the most potent and selective compounds from within the pool of 25 quality hits</t>
  </si>
  <si>
    <t>Chemical analogs of this compound were obtained/synthesized and tested - ST-600193 displayed enhanced potency and selectivity relative to ST-600037</t>
  </si>
  <si>
    <t>ST-193 antiviral activity against retroviral-based pseudotypes:</t>
  </si>
  <si>
    <t>GP</t>
  </si>
  <si>
    <t>Phylogeny of</t>
  </si>
  <si>
    <t>GP Source</t>
  </si>
  <si>
    <t>IC50 (µM) ± SEM</t>
  </si>
  <si>
    <t>LCMV</t>
  </si>
  <si>
    <t>Junín</t>
  </si>
  <si>
    <t>Old World arenavirus; Josiah strain</t>
  </si>
  <si>
    <t>Old World arenavirus; Armstrong 53b</t>
  </si>
  <si>
    <t>New World arenavirus, clade A</t>
  </si>
  <si>
    <t>New World arenavirus, clade B1</t>
  </si>
  <si>
    <t>New World arenavirus, clade B2</t>
  </si>
  <si>
    <t>New World arenavirus, clade B3</t>
  </si>
  <si>
    <t>rhabdovirus</t>
  </si>
  <si>
    <t>0.0016 ± 0.0003</t>
  </si>
  <si>
    <t>31 ± 4</t>
  </si>
  <si>
    <t>2.6 ± 0.5</t>
  </si>
  <si>
    <t>0.0023 ± 0.0013</t>
  </si>
  <si>
    <t>0.004 ± 0.002</t>
  </si>
  <si>
    <t xml:space="preserve">0.0002 ± 0.00003 </t>
  </si>
  <si>
    <t>0.00034 ± 0.00007</t>
  </si>
  <si>
    <t>0.012 ± 0.003</t>
  </si>
  <si>
    <t>29 ± 2.5</t>
  </si>
  <si>
    <t>Site-directed mutagenesis of predicted ST-193 sensitivity determinants:</t>
  </si>
  <si>
    <t>Site #1</t>
  </si>
  <si>
    <t>(421)</t>
  </si>
  <si>
    <t>Site #2</t>
  </si>
  <si>
    <t>(425)</t>
  </si>
  <si>
    <t>LASV wt</t>
  </si>
  <si>
    <t>LASV dbl</t>
  </si>
  <si>
    <t>LASV #1</t>
  </si>
  <si>
    <t>LASV #2</t>
  </si>
  <si>
    <t>LCMV wt</t>
  </si>
  <si>
    <t>LCMV #1</t>
  </si>
  <si>
    <t>LCMV dbl</t>
  </si>
  <si>
    <t>Pichinde wt</t>
  </si>
  <si>
    <t>Pichinde #1</t>
  </si>
  <si>
    <t>Val</t>
  </si>
  <si>
    <t>Met</t>
  </si>
  <si>
    <t>Thr</t>
  </si>
  <si>
    <t>Phe</t>
  </si>
  <si>
    <t xml:space="preserve">24 ± 3 </t>
  </si>
  <si>
    <t>1.4 ± 0.3</t>
  </si>
  <si>
    <t>6.1 ± 1.3</t>
  </si>
  <si>
    <t xml:space="preserve">27 ± 4 </t>
  </si>
  <si>
    <t>26 ± 4</t>
  </si>
  <si>
    <t>0.046 ± 0.025</t>
  </si>
  <si>
    <t>IC50 relative</t>
  </si>
  <si>
    <t>to LASV</t>
  </si>
  <si>
    <t>ST-600193 is also a potent inhibitor of pseudotyped viral infection mediated by the envelopes of the New World arenaviruses Guanarito (EC50&lt;1 nM) and Tacaribe (EC50=4 nM) - may be useful for arenaviruses other than Lassa fever</t>
  </si>
  <si>
    <t>Observations and presence of multiple ST-193 sensitivity determinants within the fusogenic GP2 subunit suggest that ST-193 blocks GP-mediated entry at a post-attachment stage</t>
  </si>
  <si>
    <t>ST-193 might prevent or perturb conformational rearrangement of GP, or inhibit lipid mixing, thereby preventing fusion with the host cell</t>
  </si>
  <si>
    <t>Another possibility is that ST-193 might disrupt protein-protein interactions within or near the TMD</t>
  </si>
  <si>
    <t>Alternatively, ST-193 could interact with the membrane-proximal domain, in the 409-413 region identified following genetic selection</t>
  </si>
  <si>
    <t>Sensitivity to at least three dissimilar antiviral compounds (ST-193, ST-294, and ST-761) has been mapped to the TMD region of GP2, with overlapping yet quite distinct patterns of genetic resistance</t>
  </si>
  <si>
    <t>benzenesulfonamide derivatives and analogs for treatment of Arenaviruses</t>
  </si>
  <si>
    <t>Chemical Name</t>
  </si>
  <si>
    <t>N-(4-Diethylsulfamoyl-phenyl)-2-</t>
  </si>
  <si>
    <t>(4-oxo-4H-quinazolin-3-yl)-acetamide</t>
  </si>
  <si>
    <t>N-(5-Diethylsulfamoyl-2-methoxy-phenyl)-</t>
  </si>
  <si>
    <t>isobutyramide</t>
  </si>
  <si>
    <t>Molecular</t>
  </si>
  <si>
    <t>Weight</t>
  </si>
  <si>
    <t>EC50/90 (µM)</t>
  </si>
  <si>
    <t>Yield</t>
  </si>
  <si>
    <t>(µM)</t>
  </si>
  <si>
    <t xml:space="preserve">Den-2 1.0/8.2 Den-3 </t>
  </si>
  <si>
    <t>1.7/4.1 Den-4</t>
  </si>
  <si>
    <t xml:space="preserve">4.3/10.7 Den-1 0.3/5.2 </t>
  </si>
  <si>
    <t xml:space="preserve">1.2 Modoc &gt;50 </t>
  </si>
  <si>
    <t>BVDV 0.3 C6/36</t>
  </si>
  <si>
    <t>Structure</t>
  </si>
  <si>
    <t xml:space="preserve">7.6/8.9 Den-1 0.3/4.1 </t>
  </si>
  <si>
    <t xml:space="preserve">Den-2 5.5/13.3 Den-3 </t>
  </si>
  <si>
    <t>2.1/12.5 Den-4</t>
  </si>
  <si>
    <t xml:space="preserve">6.2 Modoc &gt;50 </t>
  </si>
  <si>
    <t>BVDV 0.7 C6/36</t>
  </si>
  <si>
    <t>[3-(4-Ethoxy-phenyl)- 3H-imidazo[4,5- b]pyridin-6-yl]-</t>
  </si>
  <si>
    <t>(4- ethyl-benzyl)-amine</t>
  </si>
  <si>
    <t>Formula</t>
  </si>
  <si>
    <t xml:space="preserve">1 &lt; EC50 &lt; </t>
  </si>
  <si>
    <t>50 uM</t>
  </si>
  <si>
    <t>Analytical data</t>
  </si>
  <si>
    <t xml:space="preserve">H NMR in CDCl3: δ 8.11 (s, 1H), 7.97 (d, 1H), 7.59 (t, 1H), </t>
  </si>
  <si>
    <t xml:space="preserve">7.56 (t, 1H), 7.34 (s, 1H), 7.32 (d, 2H), 7.19 (d, 2H), </t>
  </si>
  <si>
    <t xml:space="preserve">7.06 (t, 1H), 7.03 (t, 1H), 4.36 (s, 2H), 4.12 (br, 1H), </t>
  </si>
  <si>
    <t xml:space="preserve">4.09 (q, 2H), 2.64 (q, 2H), 1.45 (t, 3H), 1.23 (t, 3H); </t>
  </si>
  <si>
    <t xml:space="preserve">Mass Spec: 373.2 (M + H)+ </t>
  </si>
  <si>
    <t>sulfonyl semicarbazides, carbonyl semicarbazides semicarbazides, and ureas for treatment of Arenaviruses</t>
  </si>
  <si>
    <t>ST-336 had poor pharmacokinetic (PK) properties in rodents, and the optimization program to improve the PK properties resulted in ST-294 - similar activity against Tacaribe, Machupo, Guanarito, and Junin viruses</t>
  </si>
  <si>
    <t>Dosages of 100 mg/kg/day for 5 days were well tolerated - no clinical signs of toxicity, mice gained weight</t>
  </si>
  <si>
    <t>The drug levels and half-life shown in the PK study was not equivalent to that seen in the rats, but serum levels sufficient to perform proof-of-concept animal study</t>
  </si>
  <si>
    <t>ST-294 showed efficacy, with both survival and a delay in death similar to the drug control (ribavirin)</t>
  </si>
  <si>
    <t>Promising results to advance into definitive animal studies - guinea pigs and primates</t>
  </si>
  <si>
    <t>In mouse model the mice appear to die of a neurological disease (indicated by hindquarter paralysis) and it is not known whether ST-294 can cross the blood brain barrier</t>
  </si>
  <si>
    <t>sulfonyl semicarbazides, carbonyl semicarbazides, and ureas for treatment of Arenaviruses</t>
  </si>
  <si>
    <t>2B: Vero cells were infected with 400 pfu Tacaribe virus, ST-336 was added for 1 hour before the infection</t>
  </si>
  <si>
    <t>3B: Pictures of the plaques that resulted after plating each dilution - shows that ST-336 binds with slow Koff to intact Tacaribe virion in the absence of cells</t>
  </si>
  <si>
    <t>4A: Linear map of the glycoprotein precursor showing the location of the signal peptide, transmembrane domain, the cleavage site between GP1 and GP2 (K261-A262), the location of the four ST-336 resistant mutants (“DR #1-4”), and the amino acid change for each</t>
  </si>
  <si>
    <t>ST-600037</t>
  </si>
  <si>
    <t>Lassa, Guanarito, Tacaribe viruses</t>
  </si>
  <si>
    <t>ST-600193</t>
  </si>
  <si>
    <t>2,2′-bibenzimidazole, 2,2′-bibenzoxazole and 2,2′-bibenzothiazole derivatives and analogs for treatment of Arenaviruses</t>
  </si>
  <si>
    <t>ST-408306</t>
  </si>
  <si>
    <t>ST-600161</t>
  </si>
  <si>
    <t>sulfonyl semicarbazides, semicarbazides and ureas derivatives and analogs for treatment of Arenaviruses</t>
  </si>
  <si>
    <t>ST-761</t>
  </si>
  <si>
    <t>ST-161</t>
  </si>
  <si>
    <t>TSRI 17C8</t>
  </si>
  <si>
    <t>TSRI 8C1</t>
  </si>
  <si>
    <t>Each line denotes fusion inhibition by a small molecule as indicated by the symbols: ST-294 (filled squares), ST-761 (open squares), ST-193 (open circles), ST-375 (closed circles), and 17C8 (open diamonds)</t>
  </si>
  <si>
    <t>Drug levels and half-life in newborn mice is not as good as oral dosing in rats -  guinea pigs and non-human primates more appropriate (virus replication in spleen, lymph nodes and bone marrow)</t>
  </si>
  <si>
    <t>Machupo, Guanarito viruses</t>
  </si>
  <si>
    <t>Guanarito, Tacaribe viruses</t>
  </si>
  <si>
    <t>arenaviruses</t>
  </si>
  <si>
    <t>Resistance is the fold change in IC50 as measured with TCRV GP-pseudotyped HIV, relative to wild-type, and averaged across at least four independent experiments (each in triplicate)</t>
  </si>
  <si>
    <t>GTOV, Guanarito (NC—005077); SABV, Sabia (NC—006317); LATV, Latino strain Maru 10924 (AF485259); PICV, Pichinde (U77602); PIRV, Pirital (NC—005894); and WWAV, Whitewater Arroyo (AF228063)</t>
  </si>
  <si>
    <t>Q122</t>
  </si>
  <si>
    <t>TPOXX, fka Arestvyr, fka ST-246</t>
  </si>
  <si>
    <t>Oral (capsule), IV</t>
  </si>
  <si>
    <t>TPOXX (tecovirimat)</t>
  </si>
  <si>
    <t>tecovirimat</t>
  </si>
  <si>
    <t>Purchases</t>
  </si>
  <si>
    <t>$705m "over the last decade" (Q122 PR). First courses delivered to BARDA 3/12/13 (investigational drug not yet approved).</t>
  </si>
  <si>
    <t>Venezuela</t>
  </si>
  <si>
    <t>United States</t>
  </si>
  <si>
    <t>United Kingdom</t>
  </si>
  <si>
    <t>United Arab Emirates</t>
  </si>
  <si>
    <t>Turkey</t>
  </si>
  <si>
    <t>Thailand</t>
  </si>
  <si>
    <t>Taiwan</t>
  </si>
  <si>
    <t>Switzerland</t>
  </si>
  <si>
    <t>Sweden</t>
  </si>
  <si>
    <t>Spain</t>
  </si>
  <si>
    <t>South Korea</t>
  </si>
  <si>
    <t>South Africa</t>
  </si>
  <si>
    <t>Slovenia</t>
  </si>
  <si>
    <t>Slovakia</t>
  </si>
  <si>
    <t>Singapore</t>
  </si>
  <si>
    <t>Serbia</t>
  </si>
  <si>
    <t>Saudi Arabia</t>
  </si>
  <si>
    <t>Russia</t>
  </si>
  <si>
    <t>Romania</t>
  </si>
  <si>
    <t>Republic of the Congo</t>
  </si>
  <si>
    <t>Qatar</t>
  </si>
  <si>
    <t>Portugal</t>
  </si>
  <si>
    <t>Poland</t>
  </si>
  <si>
    <t>Peru</t>
  </si>
  <si>
    <t>Panama</t>
  </si>
  <si>
    <t>Norway</t>
  </si>
  <si>
    <t>Nigeria</t>
  </si>
  <si>
    <t>New Zealand</t>
  </si>
  <si>
    <t>New Caledonia</t>
  </si>
  <si>
    <t>Netherlands</t>
  </si>
  <si>
    <t>Morocco</t>
  </si>
  <si>
    <t>Mexico</t>
  </si>
  <si>
    <t>Martinique</t>
  </si>
  <si>
    <t>Malta</t>
  </si>
  <si>
    <t>Luxembourg</t>
  </si>
  <si>
    <t>Liberia</t>
  </si>
  <si>
    <t>Lebanon</t>
  </si>
  <si>
    <t>Latvia</t>
  </si>
  <si>
    <t>Japan</t>
  </si>
  <si>
    <t>Jamaica</t>
  </si>
  <si>
    <t>Italy</t>
  </si>
  <si>
    <t>Israel</t>
  </si>
  <si>
    <t>Ireland</t>
  </si>
  <si>
    <t>India</t>
  </si>
  <si>
    <t>Iceland</t>
  </si>
  <si>
    <t>Hungary</t>
  </si>
  <si>
    <t>Greece</t>
  </si>
  <si>
    <t>Gibraltar</t>
  </si>
  <si>
    <t>Ghana</t>
  </si>
  <si>
    <t>Germany</t>
  </si>
  <si>
    <t>Georgia</t>
  </si>
  <si>
    <t>France</t>
  </si>
  <si>
    <t>Finland</t>
  </si>
  <si>
    <t>Estonia</t>
  </si>
  <si>
    <t>Ecuador</t>
  </si>
  <si>
    <t>Dominican Republic</t>
  </si>
  <si>
    <t>Denmark</t>
  </si>
  <si>
    <t>Democratic Republic of the Congo</t>
  </si>
  <si>
    <t>Czechia</t>
  </si>
  <si>
    <t>Croatia</t>
  </si>
  <si>
    <t>Costa Rica</t>
  </si>
  <si>
    <t>Colombia</t>
  </si>
  <si>
    <t>Chile</t>
  </si>
  <si>
    <t>Central African Republic</t>
  </si>
  <si>
    <t>Canada</t>
  </si>
  <si>
    <t>Cameroon</t>
  </si>
  <si>
    <t>Bulgaria</t>
  </si>
  <si>
    <t>Brazil</t>
  </si>
  <si>
    <t>Bosnia and Herzegovina</t>
  </si>
  <si>
    <t>Bermuda</t>
  </si>
  <si>
    <t>Benin</t>
  </si>
  <si>
    <t>Belgium</t>
  </si>
  <si>
    <t>Barbados</t>
  </si>
  <si>
    <t>Bahamas</t>
  </si>
  <si>
    <t>Austria</t>
  </si>
  <si>
    <t>Australia</t>
  </si>
  <si>
    <t>Argentina</t>
  </si>
  <si>
    <t>Andorra</t>
  </si>
  <si>
    <t>Cases</t>
  </si>
  <si>
    <t>Epi-date</t>
  </si>
  <si>
    <t>Cumulative</t>
  </si>
  <si>
    <t>7 day MA</t>
  </si>
  <si>
    <t>SUM</t>
  </si>
  <si>
    <t>Uruguay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</si>
</sst>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5" formatCode="0.0"/>
    <numFmt numFmtId="166" formatCode="0.000000"/>
    <numFmt numFmtId="167" formatCode="0.0%"/>
    <numFmt numFmtId="168" formatCode="0.000"/>
  </numFmts>
  <fonts count="10">
    <font>
      <sz val="10"/>
      <name val="Arial"/>
    </font>
    <font>
      <sz val="8"/>
      <name val="Arial"/>
      <family val="2"/>
    </font>
    <font>
      <u/>
      <sz val="10"/>
      <color indexed="12"/>
      <name val="Arial"/>
      <family val="2"/>
    </font>
    <font>
      <sz val="10"/>
      <name val="Arial"/>
      <family val="2"/>
    </font>
    <font>
      <sz val="9"/>
      <color indexed="81"/>
      <name val="Tahoma"/>
      <family val="2"/>
    </font>
    <font>
      <b/>
      <sz val="9"/>
      <color indexed="81"/>
      <name val="Tahoma"/>
      <family val="2"/>
    </font>
    <font>
      <sz val="10"/>
      <name val="Arial"/>
      <family val="2"/>
    </font>
    <font>
      <b/>
      <sz val="10"/>
      <name val="Arial"/>
      <family val="2"/>
    </font>
    <font>
      <sz val="10"/>
      <color rgb="FF222222"/>
      <name val="Arial"/>
      <family val="2"/>
    </font>
    <font>
      <i/>
      <sz val="10"/>
      <name val="Arial"/>
      <family val="2"/>
    </font>
  </fonts>
  <fills count="4">
    <fill>
      <patternFill patternType="none"/>
    </fill>
    <fill>
      <patternFill patternType="gray125"/>
    </fill>
    <fill>
      <patternFill patternType="solid">
        <fgColor indexed="9"/>
        <bgColor indexed="64"/>
      </patternFill>
    </fill>
    <fill>
      <patternFill patternType="solid">
        <fgColor theme="0"/>
        <bgColor indexed="64"/>
      </patternFill>
    </fill>
  </fills>
  <borders count="12">
    <border>
      <left/>
      <right/>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s>
  <cellStyleXfs count="3">
    <xf numFmtId="0" fontId="0" fillId="0" borderId="0"/>
    <xf numFmtId="0" fontId="2" fillId="0" borderId="0" applyNumberFormat="0" applyFill="0" applyBorder="0" applyAlignment="0" applyProtection="0">
      <alignment vertical="top"/>
      <protection locked="0"/>
    </xf>
    <xf numFmtId="9" fontId="6" fillId="0" borderId="0" applyFont="0" applyFill="0" applyBorder="0" applyAlignment="0" applyProtection="0"/>
  </cellStyleXfs>
  <cellXfs count="110">
    <xf numFmtId="0" fontId="0" fillId="0" borderId="0" xfId="0"/>
    <xf numFmtId="0" fontId="0" fillId="2" borderId="0" xfId="0" applyFill="1"/>
    <xf numFmtId="0" fontId="0" fillId="2" borderId="0" xfId="0" applyFill="1" applyAlignment="1">
      <alignment horizontal="center"/>
    </xf>
    <xf numFmtId="3" fontId="0" fillId="2" borderId="0" xfId="0" applyNumberFormat="1" applyFill="1"/>
    <xf numFmtId="0" fontId="2" fillId="2" borderId="0" xfId="1" applyFill="1" applyAlignment="1" applyProtection="1"/>
    <xf numFmtId="0" fontId="3" fillId="2" borderId="0" xfId="0" applyFont="1" applyFill="1"/>
    <xf numFmtId="9" fontId="3" fillId="2" borderId="0" xfId="0" applyNumberFormat="1" applyFont="1" applyFill="1"/>
    <xf numFmtId="0" fontId="3" fillId="3" borderId="0" xfId="0" applyFont="1" applyFill="1"/>
    <xf numFmtId="0" fontId="0" fillId="3" borderId="0" xfId="0" applyFill="1"/>
    <xf numFmtId="0" fontId="0" fillId="3" borderId="0" xfId="0" applyFill="1" applyAlignment="1">
      <alignment horizontal="right"/>
    </xf>
    <xf numFmtId="165" fontId="0" fillId="3" borderId="0" xfId="0" applyNumberFormat="1" applyFill="1"/>
    <xf numFmtId="165" fontId="0" fillId="3" borderId="0" xfId="0" applyNumberFormat="1" applyFill="1" applyAlignment="1">
      <alignment horizontal="right"/>
    </xf>
    <xf numFmtId="164" fontId="0" fillId="3" borderId="0" xfId="0" applyNumberFormat="1" applyFill="1"/>
    <xf numFmtId="164" fontId="3" fillId="3" borderId="0" xfId="0" applyNumberFormat="1" applyFont="1" applyFill="1"/>
    <xf numFmtId="164" fontId="0" fillId="3" borderId="0" xfId="0" applyNumberFormat="1" applyFill="1" applyAlignment="1">
      <alignment horizontal="right"/>
    </xf>
    <xf numFmtId="164" fontId="0" fillId="3" borderId="0" xfId="0" applyNumberFormat="1" applyFont="1" applyFill="1"/>
    <xf numFmtId="165" fontId="3" fillId="3" borderId="0" xfId="0" applyNumberFormat="1" applyFont="1" applyFill="1"/>
    <xf numFmtId="9" fontId="0" fillId="3" borderId="0" xfId="0" applyNumberFormat="1" applyFill="1"/>
    <xf numFmtId="4" fontId="0" fillId="3" borderId="0" xfId="0" applyNumberFormat="1" applyFill="1" applyBorder="1"/>
    <xf numFmtId="4" fontId="3" fillId="3" borderId="0" xfId="0" applyNumberFormat="1" applyFont="1" applyFill="1" applyBorder="1"/>
    <xf numFmtId="4" fontId="0" fillId="3" borderId="0" xfId="0" applyNumberFormat="1" applyFill="1" applyBorder="1" applyAlignment="1">
      <alignment horizontal="right"/>
    </xf>
    <xf numFmtId="0" fontId="2" fillId="3" borderId="0" xfId="1" applyFill="1" applyAlignment="1" applyProtection="1"/>
    <xf numFmtId="0" fontId="0" fillId="2" borderId="0" xfId="0" applyFill="1"/>
    <xf numFmtId="0" fontId="2" fillId="2" borderId="0" xfId="1" applyFill="1" applyAlignment="1" applyProtection="1"/>
    <xf numFmtId="0" fontId="3" fillId="2" borderId="0" xfId="0" applyFont="1" applyFill="1"/>
    <xf numFmtId="165" fontId="0" fillId="3" borderId="0" xfId="0" applyNumberFormat="1" applyFill="1" applyAlignment="1">
      <alignment horizontal="right"/>
    </xf>
    <xf numFmtId="0" fontId="0" fillId="3" borderId="0" xfId="0" applyFill="1"/>
    <xf numFmtId="0" fontId="3" fillId="3" borderId="0" xfId="0" applyFont="1" applyFill="1"/>
    <xf numFmtId="166" fontId="0" fillId="3" borderId="0" xfId="0" applyNumberFormat="1" applyFill="1" applyAlignment="1">
      <alignment horizontal="right"/>
    </xf>
    <xf numFmtId="2" fontId="0" fillId="3" borderId="0" xfId="0" applyNumberFormat="1" applyFill="1"/>
    <xf numFmtId="9" fontId="0" fillId="3" borderId="0" xfId="2" applyFont="1" applyFill="1" applyAlignment="1">
      <alignment horizontal="right"/>
    </xf>
    <xf numFmtId="0" fontId="0" fillId="2" borderId="0" xfId="0" applyFill="1"/>
    <xf numFmtId="0" fontId="3" fillId="2" borderId="0" xfId="0" applyFont="1" applyFill="1"/>
    <xf numFmtId="165" fontId="0" fillId="3" borderId="0" xfId="0" applyNumberFormat="1" applyFill="1" applyAlignment="1">
      <alignment horizontal="right"/>
    </xf>
    <xf numFmtId="0" fontId="0" fillId="3" borderId="0" xfId="0" applyFill="1"/>
    <xf numFmtId="1" fontId="0" fillId="3" borderId="0" xfId="0" applyNumberFormat="1" applyFill="1" applyAlignment="1">
      <alignment horizontal="right"/>
    </xf>
    <xf numFmtId="0" fontId="0" fillId="2" borderId="0" xfId="0" applyFill="1"/>
    <xf numFmtId="0" fontId="0" fillId="2" borderId="0" xfId="0" applyFill="1" applyAlignment="1">
      <alignment horizontal="right"/>
    </xf>
    <xf numFmtId="0" fontId="3" fillId="2" borderId="0" xfId="0" applyFont="1" applyFill="1" applyAlignment="1">
      <alignment horizontal="right"/>
    </xf>
    <xf numFmtId="3" fontId="0" fillId="2" borderId="0" xfId="0" applyNumberFormat="1" applyFill="1" applyAlignment="1">
      <alignment horizontal="right"/>
    </xf>
    <xf numFmtId="3" fontId="3" fillId="2" borderId="0" xfId="0" applyNumberFormat="1" applyFont="1" applyFill="1" applyAlignment="1">
      <alignment horizontal="right"/>
    </xf>
    <xf numFmtId="0" fontId="3" fillId="2" borderId="4" xfId="0" applyFont="1" applyFill="1" applyBorder="1" applyAlignment="1">
      <alignment horizontal="center"/>
    </xf>
    <xf numFmtId="14" fontId="0" fillId="2" borderId="0" xfId="0" applyNumberFormat="1" applyFill="1"/>
    <xf numFmtId="0" fontId="7" fillId="2" borderId="0" xfId="0" applyFont="1" applyFill="1"/>
    <xf numFmtId="14" fontId="2" fillId="2" borderId="0" xfId="1" applyNumberFormat="1" applyFill="1" applyAlignment="1" applyProtection="1"/>
    <xf numFmtId="0" fontId="0" fillId="3" borderId="4" xfId="0" applyFill="1" applyBorder="1"/>
    <xf numFmtId="165" fontId="0" fillId="3" borderId="4" xfId="0" applyNumberFormat="1" applyFill="1" applyBorder="1"/>
    <xf numFmtId="1" fontId="0" fillId="3" borderId="0" xfId="0" applyNumberFormat="1" applyFill="1"/>
    <xf numFmtId="9" fontId="0" fillId="3" borderId="0" xfId="2" applyFont="1" applyFill="1"/>
    <xf numFmtId="0" fontId="7" fillId="3" borderId="0" xfId="0" applyFont="1" applyFill="1"/>
    <xf numFmtId="1" fontId="7" fillId="3" borderId="0" xfId="0" applyNumberFormat="1" applyFont="1" applyFill="1"/>
    <xf numFmtId="164" fontId="7" fillId="3" borderId="0" xfId="0" applyNumberFormat="1" applyFont="1" applyFill="1"/>
    <xf numFmtId="0" fontId="0" fillId="2" borderId="0" xfId="0" applyFill="1" applyAlignment="1">
      <alignment horizontal="left"/>
    </xf>
    <xf numFmtId="0" fontId="7" fillId="2" borderId="0" xfId="0" applyFont="1" applyFill="1" applyAlignment="1">
      <alignment horizontal="left"/>
    </xf>
    <xf numFmtId="3" fontId="2" fillId="2" borderId="0" xfId="1" applyNumberFormat="1" applyFill="1" applyAlignment="1" applyProtection="1">
      <alignment horizontal="left"/>
    </xf>
    <xf numFmtId="0" fontId="2" fillId="2" borderId="0" xfId="1" applyFill="1" applyAlignment="1" applyProtection="1">
      <alignment horizontal="left"/>
    </xf>
    <xf numFmtId="0" fontId="3" fillId="2" borderId="0" xfId="0" applyFont="1" applyFill="1" applyAlignment="1">
      <alignment horizontal="left"/>
    </xf>
    <xf numFmtId="14" fontId="0" fillId="2" borderId="0" xfId="0" applyNumberFormat="1" applyFill="1" applyAlignment="1">
      <alignment horizontal="left"/>
    </xf>
    <xf numFmtId="0" fontId="0" fillId="2" borderId="4" xfId="0" applyFill="1" applyBorder="1"/>
    <xf numFmtId="0" fontId="3" fillId="2" borderId="0" xfId="0" applyFont="1" applyFill="1" applyAlignment="1">
      <alignment horizontal="center"/>
    </xf>
    <xf numFmtId="0" fontId="3" fillId="2" borderId="4" xfId="0" applyFont="1" applyFill="1" applyBorder="1" applyAlignment="1">
      <alignment horizontal="left"/>
    </xf>
    <xf numFmtId="0" fontId="0" fillId="2" borderId="4" xfId="0" applyFill="1" applyBorder="1" applyAlignment="1">
      <alignment horizontal="right"/>
    </xf>
    <xf numFmtId="0" fontId="7" fillId="2" borderId="0" xfId="0" applyFont="1" applyFill="1" applyAlignment="1">
      <alignment horizontal="right"/>
    </xf>
    <xf numFmtId="0" fontId="8" fillId="0" borderId="0" xfId="0" applyFont="1"/>
    <xf numFmtId="167" fontId="3" fillId="2" borderId="0" xfId="2" applyNumberFormat="1" applyFont="1" applyFill="1" applyAlignment="1">
      <alignment horizontal="right"/>
    </xf>
    <xf numFmtId="168" fontId="3" fillId="2" borderId="0" xfId="0" applyNumberFormat="1" applyFont="1" applyFill="1" applyAlignment="1">
      <alignment horizontal="right"/>
    </xf>
    <xf numFmtId="168" fontId="0" fillId="2" borderId="0" xfId="0" applyNumberFormat="1" applyFill="1" applyAlignment="1">
      <alignment horizontal="right"/>
    </xf>
    <xf numFmtId="168" fontId="7" fillId="2" borderId="0" xfId="0" applyNumberFormat="1" applyFont="1" applyFill="1" applyAlignment="1">
      <alignment horizontal="right"/>
    </xf>
    <xf numFmtId="0" fontId="3" fillId="2" borderId="4" xfId="0" applyFont="1" applyFill="1" applyBorder="1"/>
    <xf numFmtId="0" fontId="0" fillId="2" borderId="4" xfId="0" applyFill="1" applyBorder="1" applyAlignment="1">
      <alignment horizontal="center"/>
    </xf>
    <xf numFmtId="0" fontId="3" fillId="2" borderId="4" xfId="0" quotePrefix="1" applyFont="1" applyFill="1" applyBorder="1"/>
    <xf numFmtId="0" fontId="8" fillId="3" borderId="0" xfId="0" applyFont="1" applyFill="1"/>
    <xf numFmtId="0" fontId="0" fillId="2" borderId="4" xfId="0" applyFill="1" applyBorder="1" applyAlignment="1">
      <alignment horizontal="left"/>
    </xf>
    <xf numFmtId="0" fontId="0" fillId="0" borderId="6" xfId="0" applyFill="1" applyBorder="1"/>
    <xf numFmtId="0" fontId="0" fillId="0" borderId="7" xfId="0" applyFill="1" applyBorder="1" applyAlignment="1">
      <alignment horizontal="center"/>
    </xf>
    <xf numFmtId="0" fontId="3" fillId="0" borderId="7" xfId="0" applyFont="1" applyFill="1" applyBorder="1" applyAlignment="1">
      <alignment horizontal="center"/>
    </xf>
    <xf numFmtId="0" fontId="0" fillId="0" borderId="8" xfId="0" applyFill="1" applyBorder="1" applyAlignment="1">
      <alignment horizontal="center"/>
    </xf>
    <xf numFmtId="0" fontId="0" fillId="0" borderId="0" xfId="0" applyFill="1"/>
    <xf numFmtId="4" fontId="0" fillId="0" borderId="0" xfId="0" applyNumberFormat="1" applyFill="1"/>
    <xf numFmtId="0" fontId="2" fillId="0" borderId="9" xfId="1" applyFill="1" applyBorder="1" applyAlignment="1" applyProtection="1"/>
    <xf numFmtId="0" fontId="0" fillId="0" borderId="10" xfId="0" applyFill="1" applyBorder="1" applyAlignment="1">
      <alignment horizontal="center"/>
    </xf>
    <xf numFmtId="0" fontId="3" fillId="0" borderId="10" xfId="0" applyFont="1" applyFill="1" applyBorder="1" applyAlignment="1">
      <alignment horizontal="center"/>
    </xf>
    <xf numFmtId="9" fontId="0" fillId="0" borderId="0" xfId="0" applyNumberFormat="1" applyFill="1" applyBorder="1" applyAlignment="1">
      <alignment horizontal="center"/>
    </xf>
    <xf numFmtId="0" fontId="0" fillId="0" borderId="11" xfId="0" applyFill="1" applyBorder="1" applyAlignment="1">
      <alignment horizontal="center"/>
    </xf>
    <xf numFmtId="3" fontId="0" fillId="0" borderId="0" xfId="0" applyNumberFormat="1" applyFill="1"/>
    <xf numFmtId="0" fontId="3" fillId="0" borderId="0" xfId="0" applyFont="1" applyFill="1" applyAlignment="1">
      <alignment horizontal="right"/>
    </xf>
    <xf numFmtId="0" fontId="3" fillId="0" borderId="1" xfId="0" applyFont="1" applyFill="1" applyBorder="1"/>
    <xf numFmtId="0" fontId="3" fillId="0" borderId="0" xfId="0" applyFont="1" applyFill="1" applyBorder="1" applyAlignment="1">
      <alignment horizontal="center"/>
    </xf>
    <xf numFmtId="0" fontId="3" fillId="0" borderId="2" xfId="0" applyFont="1" applyFill="1" applyBorder="1" applyAlignment="1">
      <alignment horizontal="center"/>
    </xf>
    <xf numFmtId="0" fontId="0" fillId="0" borderId="0" xfId="0" applyFill="1" applyAlignment="1">
      <alignment horizontal="right"/>
    </xf>
    <xf numFmtId="0" fontId="0" fillId="0" borderId="1" xfId="0" applyFill="1" applyBorder="1"/>
    <xf numFmtId="0" fontId="3" fillId="0" borderId="0" xfId="0" applyFont="1" applyFill="1"/>
    <xf numFmtId="0" fontId="3" fillId="0" borderId="3" xfId="0" applyFont="1" applyFill="1" applyBorder="1"/>
    <xf numFmtId="0" fontId="3" fillId="0" borderId="4" xfId="0" applyFont="1" applyFill="1" applyBorder="1" applyAlignment="1">
      <alignment horizontal="center"/>
    </xf>
    <xf numFmtId="0" fontId="0" fillId="0" borderId="4" xfId="0" applyFill="1" applyBorder="1" applyAlignment="1">
      <alignment horizontal="center"/>
    </xf>
    <xf numFmtId="9" fontId="0" fillId="0" borderId="4" xfId="0" applyNumberFormat="1" applyFill="1" applyBorder="1" applyAlignment="1">
      <alignment horizontal="center"/>
    </xf>
    <xf numFmtId="0" fontId="0" fillId="0" borderId="5" xfId="0" applyFill="1" applyBorder="1" applyAlignment="1">
      <alignment horizontal="center"/>
    </xf>
    <xf numFmtId="0" fontId="0" fillId="0" borderId="0" xfId="0" applyFill="1" applyAlignment="1">
      <alignment horizontal="center"/>
    </xf>
    <xf numFmtId="0" fontId="3" fillId="0" borderId="0" xfId="0" applyFont="1" applyFill="1" applyAlignment="1"/>
    <xf numFmtId="0" fontId="9" fillId="0" borderId="0" xfId="0" applyFont="1" applyFill="1"/>
    <xf numFmtId="0" fontId="9" fillId="0" borderId="0" xfId="0" applyFont="1" applyFill="1" applyAlignment="1"/>
    <xf numFmtId="14" fontId="0" fillId="0" borderId="0" xfId="0" applyNumberFormat="1"/>
    <xf numFmtId="0" fontId="2" fillId="0" borderId="0" xfId="1" applyAlignment="1" applyProtection="1"/>
    <xf numFmtId="3" fontId="0" fillId="0" borderId="0" xfId="0" applyNumberFormat="1"/>
    <xf numFmtId="0" fontId="3" fillId="0" borderId="0" xfId="0" applyFont="1"/>
    <xf numFmtId="0" fontId="7" fillId="0" borderId="0" xfId="0" applyFont="1"/>
    <xf numFmtId="9" fontId="3" fillId="0" borderId="0" xfId="0" applyNumberFormat="1" applyFont="1"/>
    <xf numFmtId="9" fontId="0" fillId="0" borderId="0" xfId="0" applyNumberFormat="1"/>
    <xf numFmtId="3" fontId="7" fillId="0" borderId="0" xfId="0" applyNumberFormat="1" applyFont="1"/>
    <xf numFmtId="0" fontId="0" fillId="2" borderId="4" xfId="0" applyFill="1" applyBorder="1" applyAlignment="1">
      <alignment horizontal="center"/>
    </xf>
  </cellXfs>
  <cellStyles count="3">
    <cellStyle name="Hyperlink" xfId="1" builtinId="8"/>
    <cellStyle name="Normal" xfId="0" builtinId="0"/>
    <cellStyle name="Percent" xfId="2"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_rels/drawing2.xml.rels><?xml version="1.0" encoding="UTF-8" standalone="yes"?>
<Relationships xmlns="http://schemas.openxmlformats.org/package/2006/relationships"><Relationship Id="rId1" Type="http://schemas.openxmlformats.org/officeDocument/2006/relationships/image" Target="../media/image1.emf"/></Relationships>
</file>

<file path=xl/drawings/_rels/drawing3.xml.rels><?xml version="1.0" encoding="UTF-8" standalone="yes"?>
<Relationships xmlns="http://schemas.openxmlformats.org/package/2006/relationships"><Relationship Id="rId8" Type="http://schemas.openxmlformats.org/officeDocument/2006/relationships/image" Target="../media/image9.png"/><Relationship Id="rId13" Type="http://schemas.openxmlformats.org/officeDocument/2006/relationships/image" Target="../media/image14.png"/><Relationship Id="rId18" Type="http://schemas.openxmlformats.org/officeDocument/2006/relationships/image" Target="../media/image19.png"/><Relationship Id="rId26" Type="http://schemas.openxmlformats.org/officeDocument/2006/relationships/image" Target="../media/image27.png"/><Relationship Id="rId3" Type="http://schemas.openxmlformats.org/officeDocument/2006/relationships/image" Target="../media/image4.png"/><Relationship Id="rId21" Type="http://schemas.openxmlformats.org/officeDocument/2006/relationships/image" Target="../media/image22.png"/><Relationship Id="rId7" Type="http://schemas.openxmlformats.org/officeDocument/2006/relationships/image" Target="../media/image8.png"/><Relationship Id="rId12" Type="http://schemas.openxmlformats.org/officeDocument/2006/relationships/image" Target="../media/image13.png"/><Relationship Id="rId17" Type="http://schemas.openxmlformats.org/officeDocument/2006/relationships/image" Target="../media/image18.png"/><Relationship Id="rId25" Type="http://schemas.openxmlformats.org/officeDocument/2006/relationships/image" Target="../media/image26.png"/><Relationship Id="rId2" Type="http://schemas.openxmlformats.org/officeDocument/2006/relationships/image" Target="../media/image3.png"/><Relationship Id="rId16" Type="http://schemas.openxmlformats.org/officeDocument/2006/relationships/image" Target="../media/image17.png"/><Relationship Id="rId20" Type="http://schemas.openxmlformats.org/officeDocument/2006/relationships/image" Target="../media/image21.png"/><Relationship Id="rId29" Type="http://schemas.openxmlformats.org/officeDocument/2006/relationships/image" Target="../media/image30.png"/><Relationship Id="rId1" Type="http://schemas.openxmlformats.org/officeDocument/2006/relationships/image" Target="../media/image2.png"/><Relationship Id="rId6" Type="http://schemas.openxmlformats.org/officeDocument/2006/relationships/image" Target="../media/image7.png"/><Relationship Id="rId11" Type="http://schemas.openxmlformats.org/officeDocument/2006/relationships/image" Target="../media/image12.png"/><Relationship Id="rId24" Type="http://schemas.openxmlformats.org/officeDocument/2006/relationships/image" Target="../media/image25.png"/><Relationship Id="rId5" Type="http://schemas.openxmlformats.org/officeDocument/2006/relationships/image" Target="../media/image6.png"/><Relationship Id="rId15" Type="http://schemas.openxmlformats.org/officeDocument/2006/relationships/image" Target="../media/image16.png"/><Relationship Id="rId23" Type="http://schemas.openxmlformats.org/officeDocument/2006/relationships/image" Target="../media/image24.png"/><Relationship Id="rId28" Type="http://schemas.openxmlformats.org/officeDocument/2006/relationships/image" Target="../media/image29.png"/><Relationship Id="rId10" Type="http://schemas.openxmlformats.org/officeDocument/2006/relationships/image" Target="../media/image11.png"/><Relationship Id="rId19" Type="http://schemas.openxmlformats.org/officeDocument/2006/relationships/image" Target="../media/image20.png"/><Relationship Id="rId31" Type="http://schemas.openxmlformats.org/officeDocument/2006/relationships/image" Target="../media/image32.png"/><Relationship Id="rId4" Type="http://schemas.openxmlformats.org/officeDocument/2006/relationships/image" Target="../media/image5.png"/><Relationship Id="rId9" Type="http://schemas.openxmlformats.org/officeDocument/2006/relationships/image" Target="../media/image10.png"/><Relationship Id="rId14" Type="http://schemas.openxmlformats.org/officeDocument/2006/relationships/image" Target="../media/image15.png"/><Relationship Id="rId22" Type="http://schemas.openxmlformats.org/officeDocument/2006/relationships/image" Target="../media/image23.png"/><Relationship Id="rId27" Type="http://schemas.openxmlformats.org/officeDocument/2006/relationships/image" Target="../media/image28.png"/><Relationship Id="rId30" Type="http://schemas.openxmlformats.org/officeDocument/2006/relationships/image" Target="../media/image31.png"/></Relationships>
</file>

<file path=xl/drawings/drawing1.xml><?xml version="1.0" encoding="utf-8"?>
<xdr:wsDr xmlns:xdr="http://schemas.openxmlformats.org/drawingml/2006/spreadsheetDrawing" xmlns:a="http://schemas.openxmlformats.org/drawingml/2006/main">
  <xdr:twoCellAnchor>
    <xdr:from>
      <xdr:col>20</xdr:col>
      <xdr:colOff>28577</xdr:colOff>
      <xdr:row>0</xdr:row>
      <xdr:rowOff>0</xdr:rowOff>
    </xdr:from>
    <xdr:to>
      <xdr:col>20</xdr:col>
      <xdr:colOff>28577</xdr:colOff>
      <xdr:row>67</xdr:row>
      <xdr:rowOff>133351</xdr:rowOff>
    </xdr:to>
    <xdr:cxnSp macro="">
      <xdr:nvCxnSpPr>
        <xdr:cNvPr id="3" name="Straight Connector 2">
          <a:extLst>
            <a:ext uri="{FF2B5EF4-FFF2-40B4-BE49-F238E27FC236}">
              <a16:creationId xmlns:a16="http://schemas.microsoft.com/office/drawing/2014/main" id="{00000000-0008-0000-0100-000003000000}"/>
            </a:ext>
          </a:extLst>
        </xdr:cNvPr>
        <xdr:cNvCxnSpPr/>
      </xdr:nvCxnSpPr>
      <xdr:spPr>
        <a:xfrm rot="5400000">
          <a:off x="1843089" y="4519613"/>
          <a:ext cx="9039226"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47627</xdr:colOff>
      <xdr:row>0</xdr:row>
      <xdr:rowOff>0</xdr:rowOff>
    </xdr:from>
    <xdr:to>
      <xdr:col>27</xdr:col>
      <xdr:colOff>47627</xdr:colOff>
      <xdr:row>67</xdr:row>
      <xdr:rowOff>133351</xdr:rowOff>
    </xdr:to>
    <xdr:cxnSp macro="">
      <xdr:nvCxnSpPr>
        <xdr:cNvPr id="5" name="Straight Connector 4">
          <a:extLst>
            <a:ext uri="{FF2B5EF4-FFF2-40B4-BE49-F238E27FC236}">
              <a16:creationId xmlns:a16="http://schemas.microsoft.com/office/drawing/2014/main" id="{00000000-0008-0000-0100-000005000000}"/>
            </a:ext>
          </a:extLst>
        </xdr:cNvPr>
        <xdr:cNvCxnSpPr/>
      </xdr:nvCxnSpPr>
      <xdr:spPr>
        <a:xfrm rot="5400000">
          <a:off x="11534776" y="4600576"/>
          <a:ext cx="9201151"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editAs="oneCell">
    <xdr:from>
      <xdr:col>14</xdr:col>
      <xdr:colOff>142875</xdr:colOff>
      <xdr:row>34</xdr:row>
      <xdr:rowOff>47625</xdr:rowOff>
    </xdr:from>
    <xdr:to>
      <xdr:col>18</xdr:col>
      <xdr:colOff>266700</xdr:colOff>
      <xdr:row>53</xdr:row>
      <xdr:rowOff>142875</xdr:rowOff>
    </xdr:to>
    <xdr:pic>
      <xdr:nvPicPr>
        <xdr:cNvPr id="1057" name="Picture 1">
          <a:extLst>
            <a:ext uri="{FF2B5EF4-FFF2-40B4-BE49-F238E27FC236}">
              <a16:creationId xmlns:a16="http://schemas.microsoft.com/office/drawing/2014/main" id="{00000000-0008-0000-0300-00002104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648700" y="5553075"/>
          <a:ext cx="2562225" cy="3171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9</xdr:col>
      <xdr:colOff>57150</xdr:colOff>
      <xdr:row>6</xdr:row>
      <xdr:rowOff>85726</xdr:rowOff>
    </xdr:from>
    <xdr:to>
      <xdr:col>11</xdr:col>
      <xdr:colOff>561975</xdr:colOff>
      <xdr:row>11</xdr:row>
      <xdr:rowOff>152421</xdr:rowOff>
    </xdr:to>
    <xdr:pic>
      <xdr:nvPicPr>
        <xdr:cNvPr id="2" name="Picture 1">
          <a:extLst>
            <a:ext uri="{FF2B5EF4-FFF2-40B4-BE49-F238E27FC236}">
              <a16:creationId xmlns:a16="http://schemas.microsoft.com/office/drawing/2014/main" id="{00000000-0008-0000-0500-000002000000}"/>
            </a:ext>
          </a:extLst>
        </xdr:cNvPr>
        <xdr:cNvPicPr>
          <a:picLocks noChangeAspect="1"/>
        </xdr:cNvPicPr>
      </xdr:nvPicPr>
      <xdr:blipFill>
        <a:blip xmlns:r="http://schemas.openxmlformats.org/officeDocument/2006/relationships" r:embed="rId1"/>
        <a:stretch>
          <a:fillRect/>
        </a:stretch>
      </xdr:blipFill>
      <xdr:spPr>
        <a:xfrm>
          <a:off x="5619750" y="1057276"/>
          <a:ext cx="1724025" cy="876320"/>
        </a:xfrm>
        <a:prstGeom prst="rect">
          <a:avLst/>
        </a:prstGeom>
      </xdr:spPr>
    </xdr:pic>
    <xdr:clientData/>
  </xdr:twoCellAnchor>
  <xdr:twoCellAnchor editAs="oneCell">
    <xdr:from>
      <xdr:col>9</xdr:col>
      <xdr:colOff>0</xdr:colOff>
      <xdr:row>13</xdr:row>
      <xdr:rowOff>66676</xdr:rowOff>
    </xdr:from>
    <xdr:to>
      <xdr:col>11</xdr:col>
      <xdr:colOff>409575</xdr:colOff>
      <xdr:row>18</xdr:row>
      <xdr:rowOff>73097</xdr:rowOff>
    </xdr:to>
    <xdr:pic>
      <xdr:nvPicPr>
        <xdr:cNvPr id="3" name="Picture 2">
          <a:extLst>
            <a:ext uri="{FF2B5EF4-FFF2-40B4-BE49-F238E27FC236}">
              <a16:creationId xmlns:a16="http://schemas.microsoft.com/office/drawing/2014/main" id="{00000000-0008-0000-0500-000003000000}"/>
            </a:ext>
          </a:extLst>
        </xdr:cNvPr>
        <xdr:cNvPicPr>
          <a:picLocks noChangeAspect="1"/>
        </xdr:cNvPicPr>
      </xdr:nvPicPr>
      <xdr:blipFill>
        <a:blip xmlns:r="http://schemas.openxmlformats.org/officeDocument/2006/relationships" r:embed="rId2"/>
        <a:stretch>
          <a:fillRect/>
        </a:stretch>
      </xdr:blipFill>
      <xdr:spPr>
        <a:xfrm>
          <a:off x="5562600" y="2171701"/>
          <a:ext cx="1628775" cy="816046"/>
        </a:xfrm>
        <a:prstGeom prst="rect">
          <a:avLst/>
        </a:prstGeom>
      </xdr:spPr>
    </xdr:pic>
    <xdr:clientData/>
  </xdr:twoCellAnchor>
  <xdr:twoCellAnchor editAs="oneCell">
    <xdr:from>
      <xdr:col>8</xdr:col>
      <xdr:colOff>552451</xdr:colOff>
      <xdr:row>39</xdr:row>
      <xdr:rowOff>19052</xdr:rowOff>
    </xdr:from>
    <xdr:to>
      <xdr:col>13</xdr:col>
      <xdr:colOff>200025</xdr:colOff>
      <xdr:row>52</xdr:row>
      <xdr:rowOff>160885</xdr:rowOff>
    </xdr:to>
    <xdr:pic>
      <xdr:nvPicPr>
        <xdr:cNvPr id="5" name="Picture 4">
          <a:extLst>
            <a:ext uri="{FF2B5EF4-FFF2-40B4-BE49-F238E27FC236}">
              <a16:creationId xmlns:a16="http://schemas.microsoft.com/office/drawing/2014/main" id="{00000000-0008-0000-0500-000005000000}"/>
            </a:ext>
          </a:extLst>
        </xdr:cNvPr>
        <xdr:cNvPicPr>
          <a:picLocks noChangeAspect="1"/>
        </xdr:cNvPicPr>
      </xdr:nvPicPr>
      <xdr:blipFill>
        <a:blip xmlns:r="http://schemas.openxmlformats.org/officeDocument/2006/relationships" r:embed="rId3"/>
        <a:stretch>
          <a:fillRect/>
        </a:stretch>
      </xdr:blipFill>
      <xdr:spPr>
        <a:xfrm>
          <a:off x="5505451" y="6334127"/>
          <a:ext cx="2695574" cy="2246858"/>
        </a:xfrm>
        <a:prstGeom prst="rect">
          <a:avLst/>
        </a:prstGeom>
      </xdr:spPr>
    </xdr:pic>
    <xdr:clientData/>
  </xdr:twoCellAnchor>
  <xdr:twoCellAnchor editAs="oneCell">
    <xdr:from>
      <xdr:col>8</xdr:col>
      <xdr:colOff>457200</xdr:colOff>
      <xdr:row>73</xdr:row>
      <xdr:rowOff>57151</xdr:rowOff>
    </xdr:from>
    <xdr:to>
      <xdr:col>13</xdr:col>
      <xdr:colOff>533400</xdr:colOff>
      <xdr:row>87</xdr:row>
      <xdr:rowOff>42059</xdr:rowOff>
    </xdr:to>
    <xdr:pic>
      <xdr:nvPicPr>
        <xdr:cNvPr id="6" name="Picture 5">
          <a:extLst>
            <a:ext uri="{FF2B5EF4-FFF2-40B4-BE49-F238E27FC236}">
              <a16:creationId xmlns:a16="http://schemas.microsoft.com/office/drawing/2014/main" id="{00000000-0008-0000-0500-000006000000}"/>
            </a:ext>
          </a:extLst>
        </xdr:cNvPr>
        <xdr:cNvPicPr>
          <a:picLocks noChangeAspect="1"/>
        </xdr:cNvPicPr>
      </xdr:nvPicPr>
      <xdr:blipFill>
        <a:blip xmlns:r="http://schemas.openxmlformats.org/officeDocument/2006/relationships" r:embed="rId4"/>
        <a:stretch>
          <a:fillRect/>
        </a:stretch>
      </xdr:blipFill>
      <xdr:spPr>
        <a:xfrm>
          <a:off x="5410200" y="12039601"/>
          <a:ext cx="3124200" cy="2251858"/>
        </a:xfrm>
        <a:prstGeom prst="rect">
          <a:avLst/>
        </a:prstGeom>
      </xdr:spPr>
    </xdr:pic>
    <xdr:clientData/>
  </xdr:twoCellAnchor>
  <xdr:twoCellAnchor editAs="oneCell">
    <xdr:from>
      <xdr:col>2</xdr:col>
      <xdr:colOff>47625</xdr:colOff>
      <xdr:row>100</xdr:row>
      <xdr:rowOff>66675</xdr:rowOff>
    </xdr:from>
    <xdr:to>
      <xdr:col>7</xdr:col>
      <xdr:colOff>533400</xdr:colOff>
      <xdr:row>120</xdr:row>
      <xdr:rowOff>130924</xdr:rowOff>
    </xdr:to>
    <xdr:pic>
      <xdr:nvPicPr>
        <xdr:cNvPr id="7" name="Picture 6">
          <a:extLst>
            <a:ext uri="{FF2B5EF4-FFF2-40B4-BE49-F238E27FC236}">
              <a16:creationId xmlns:a16="http://schemas.microsoft.com/office/drawing/2014/main" id="{00000000-0008-0000-0500-000007000000}"/>
            </a:ext>
          </a:extLst>
        </xdr:cNvPr>
        <xdr:cNvPicPr>
          <a:picLocks noChangeAspect="1"/>
        </xdr:cNvPicPr>
      </xdr:nvPicPr>
      <xdr:blipFill>
        <a:blip xmlns:r="http://schemas.openxmlformats.org/officeDocument/2006/relationships" r:embed="rId5"/>
        <a:stretch>
          <a:fillRect/>
        </a:stretch>
      </xdr:blipFill>
      <xdr:spPr>
        <a:xfrm>
          <a:off x="1343025" y="16259175"/>
          <a:ext cx="3533775" cy="3302749"/>
        </a:xfrm>
        <a:prstGeom prst="rect">
          <a:avLst/>
        </a:prstGeom>
      </xdr:spPr>
    </xdr:pic>
    <xdr:clientData/>
  </xdr:twoCellAnchor>
  <xdr:twoCellAnchor editAs="oneCell">
    <xdr:from>
      <xdr:col>2</xdr:col>
      <xdr:colOff>28393</xdr:colOff>
      <xdr:row>124</xdr:row>
      <xdr:rowOff>58562</xdr:rowOff>
    </xdr:from>
    <xdr:to>
      <xdr:col>8</xdr:col>
      <xdr:colOff>409574</xdr:colOff>
      <xdr:row>142</xdr:row>
      <xdr:rowOff>21018</xdr:rowOff>
    </xdr:to>
    <xdr:pic>
      <xdr:nvPicPr>
        <xdr:cNvPr id="9" name="Picture 8">
          <a:extLst>
            <a:ext uri="{FF2B5EF4-FFF2-40B4-BE49-F238E27FC236}">
              <a16:creationId xmlns:a16="http://schemas.microsoft.com/office/drawing/2014/main" id="{00000000-0008-0000-0500-000009000000}"/>
            </a:ext>
          </a:extLst>
        </xdr:cNvPr>
        <xdr:cNvPicPr>
          <a:picLocks noChangeAspect="1"/>
        </xdr:cNvPicPr>
      </xdr:nvPicPr>
      <xdr:blipFill>
        <a:blip xmlns:r="http://schemas.openxmlformats.org/officeDocument/2006/relationships" r:embed="rId6"/>
        <a:stretch>
          <a:fillRect/>
        </a:stretch>
      </xdr:blipFill>
      <xdr:spPr>
        <a:xfrm rot="5400000">
          <a:off x="1904631" y="27328824"/>
          <a:ext cx="2877106" cy="4038781"/>
        </a:xfrm>
        <a:prstGeom prst="rect">
          <a:avLst/>
        </a:prstGeom>
      </xdr:spPr>
    </xdr:pic>
    <xdr:clientData/>
  </xdr:twoCellAnchor>
  <xdr:twoCellAnchor editAs="oneCell">
    <xdr:from>
      <xdr:col>2</xdr:col>
      <xdr:colOff>57150</xdr:colOff>
      <xdr:row>145</xdr:row>
      <xdr:rowOff>118506</xdr:rowOff>
    </xdr:from>
    <xdr:to>
      <xdr:col>8</xdr:col>
      <xdr:colOff>464257</xdr:colOff>
      <xdr:row>165</xdr:row>
      <xdr:rowOff>47630</xdr:rowOff>
    </xdr:to>
    <xdr:pic>
      <xdr:nvPicPr>
        <xdr:cNvPr id="10" name="Picture 9">
          <a:extLst>
            <a:ext uri="{FF2B5EF4-FFF2-40B4-BE49-F238E27FC236}">
              <a16:creationId xmlns:a16="http://schemas.microsoft.com/office/drawing/2014/main" id="{00000000-0008-0000-0500-00000A000000}"/>
            </a:ext>
          </a:extLst>
        </xdr:cNvPr>
        <xdr:cNvPicPr>
          <a:picLocks noChangeAspect="1"/>
        </xdr:cNvPicPr>
      </xdr:nvPicPr>
      <xdr:blipFill>
        <a:blip xmlns:r="http://schemas.openxmlformats.org/officeDocument/2006/relationships" r:embed="rId7"/>
        <a:stretch>
          <a:fillRect/>
        </a:stretch>
      </xdr:blipFill>
      <xdr:spPr>
        <a:xfrm rot="5400000">
          <a:off x="1801092" y="31083414"/>
          <a:ext cx="3167624" cy="4064707"/>
        </a:xfrm>
        <a:prstGeom prst="rect">
          <a:avLst/>
        </a:prstGeom>
      </xdr:spPr>
    </xdr:pic>
    <xdr:clientData/>
  </xdr:twoCellAnchor>
  <xdr:twoCellAnchor editAs="oneCell">
    <xdr:from>
      <xdr:col>1</xdr:col>
      <xdr:colOff>923924</xdr:colOff>
      <xdr:row>169</xdr:row>
      <xdr:rowOff>99667</xdr:rowOff>
    </xdr:from>
    <xdr:to>
      <xdr:col>11</xdr:col>
      <xdr:colOff>28574</xdr:colOff>
      <xdr:row>189</xdr:row>
      <xdr:rowOff>72437</xdr:rowOff>
    </xdr:to>
    <xdr:pic>
      <xdr:nvPicPr>
        <xdr:cNvPr id="11" name="Picture 10">
          <a:extLst>
            <a:ext uri="{FF2B5EF4-FFF2-40B4-BE49-F238E27FC236}">
              <a16:creationId xmlns:a16="http://schemas.microsoft.com/office/drawing/2014/main" id="{00000000-0008-0000-0500-00000B000000}"/>
            </a:ext>
          </a:extLst>
        </xdr:cNvPr>
        <xdr:cNvPicPr>
          <a:picLocks noChangeAspect="1"/>
        </xdr:cNvPicPr>
      </xdr:nvPicPr>
      <xdr:blipFill>
        <a:blip xmlns:r="http://schemas.openxmlformats.org/officeDocument/2006/relationships" r:embed="rId8"/>
        <a:stretch>
          <a:fillRect/>
        </a:stretch>
      </xdr:blipFill>
      <xdr:spPr>
        <a:xfrm rot="5400000">
          <a:off x="2428202" y="34390339"/>
          <a:ext cx="3211270" cy="5553075"/>
        </a:xfrm>
        <a:prstGeom prst="rect">
          <a:avLst/>
        </a:prstGeom>
      </xdr:spPr>
    </xdr:pic>
    <xdr:clientData/>
  </xdr:twoCellAnchor>
  <xdr:twoCellAnchor editAs="oneCell">
    <xdr:from>
      <xdr:col>13</xdr:col>
      <xdr:colOff>66675</xdr:colOff>
      <xdr:row>204</xdr:row>
      <xdr:rowOff>0</xdr:rowOff>
    </xdr:from>
    <xdr:to>
      <xdr:col>16</xdr:col>
      <xdr:colOff>247650</xdr:colOff>
      <xdr:row>211</xdr:row>
      <xdr:rowOff>43316</xdr:rowOff>
    </xdr:to>
    <xdr:pic>
      <xdr:nvPicPr>
        <xdr:cNvPr id="12" name="Picture 11">
          <a:extLst>
            <a:ext uri="{FF2B5EF4-FFF2-40B4-BE49-F238E27FC236}">
              <a16:creationId xmlns:a16="http://schemas.microsoft.com/office/drawing/2014/main" id="{00000000-0008-0000-0500-00000C000000}"/>
            </a:ext>
          </a:extLst>
        </xdr:cNvPr>
        <xdr:cNvPicPr>
          <a:picLocks noChangeAspect="1"/>
        </xdr:cNvPicPr>
      </xdr:nvPicPr>
      <xdr:blipFill>
        <a:blip xmlns:r="http://schemas.openxmlformats.org/officeDocument/2006/relationships" r:embed="rId9"/>
        <a:stretch>
          <a:fillRect/>
        </a:stretch>
      </xdr:blipFill>
      <xdr:spPr>
        <a:xfrm>
          <a:off x="8067675" y="41128950"/>
          <a:ext cx="2009775" cy="1176791"/>
        </a:xfrm>
        <a:prstGeom prst="rect">
          <a:avLst/>
        </a:prstGeom>
      </xdr:spPr>
    </xdr:pic>
    <xdr:clientData/>
  </xdr:twoCellAnchor>
  <xdr:twoCellAnchor editAs="oneCell">
    <xdr:from>
      <xdr:col>13</xdr:col>
      <xdr:colOff>295276</xdr:colOff>
      <xdr:row>212</xdr:row>
      <xdr:rowOff>19051</xdr:rowOff>
    </xdr:from>
    <xdr:to>
      <xdr:col>16</xdr:col>
      <xdr:colOff>95250</xdr:colOff>
      <xdr:row>224</xdr:row>
      <xdr:rowOff>136302</xdr:rowOff>
    </xdr:to>
    <xdr:pic>
      <xdr:nvPicPr>
        <xdr:cNvPr id="13" name="Picture 12">
          <a:extLst>
            <a:ext uri="{FF2B5EF4-FFF2-40B4-BE49-F238E27FC236}">
              <a16:creationId xmlns:a16="http://schemas.microsoft.com/office/drawing/2014/main" id="{00000000-0008-0000-0500-00000D000000}"/>
            </a:ext>
          </a:extLst>
        </xdr:cNvPr>
        <xdr:cNvPicPr>
          <a:picLocks noChangeAspect="1"/>
        </xdr:cNvPicPr>
      </xdr:nvPicPr>
      <xdr:blipFill>
        <a:blip xmlns:r="http://schemas.openxmlformats.org/officeDocument/2006/relationships" r:embed="rId10"/>
        <a:stretch>
          <a:fillRect/>
        </a:stretch>
      </xdr:blipFill>
      <xdr:spPr>
        <a:xfrm>
          <a:off x="8296276" y="42767251"/>
          <a:ext cx="1628774" cy="2060351"/>
        </a:xfrm>
        <a:prstGeom prst="rect">
          <a:avLst/>
        </a:prstGeom>
      </xdr:spPr>
    </xdr:pic>
    <xdr:clientData/>
  </xdr:twoCellAnchor>
  <xdr:twoCellAnchor editAs="oneCell">
    <xdr:from>
      <xdr:col>13</xdr:col>
      <xdr:colOff>561975</xdr:colOff>
      <xdr:row>234</xdr:row>
      <xdr:rowOff>85725</xdr:rowOff>
    </xdr:from>
    <xdr:to>
      <xdr:col>16</xdr:col>
      <xdr:colOff>371475</xdr:colOff>
      <xdr:row>238</xdr:row>
      <xdr:rowOff>121190</xdr:rowOff>
    </xdr:to>
    <xdr:pic>
      <xdr:nvPicPr>
        <xdr:cNvPr id="8" name="Picture 7">
          <a:extLst>
            <a:ext uri="{FF2B5EF4-FFF2-40B4-BE49-F238E27FC236}">
              <a16:creationId xmlns:a16="http://schemas.microsoft.com/office/drawing/2014/main" id="{00000000-0008-0000-0500-000008000000}"/>
            </a:ext>
          </a:extLst>
        </xdr:cNvPr>
        <xdr:cNvPicPr>
          <a:picLocks noChangeAspect="1"/>
        </xdr:cNvPicPr>
      </xdr:nvPicPr>
      <xdr:blipFill>
        <a:blip xmlns:r="http://schemas.openxmlformats.org/officeDocument/2006/relationships" r:embed="rId11"/>
        <a:stretch>
          <a:fillRect/>
        </a:stretch>
      </xdr:blipFill>
      <xdr:spPr>
        <a:xfrm>
          <a:off x="8562975" y="45910500"/>
          <a:ext cx="1638300" cy="683165"/>
        </a:xfrm>
        <a:prstGeom prst="rect">
          <a:avLst/>
        </a:prstGeom>
      </xdr:spPr>
    </xdr:pic>
    <xdr:clientData/>
  </xdr:twoCellAnchor>
  <xdr:twoCellAnchor editAs="oneCell">
    <xdr:from>
      <xdr:col>13</xdr:col>
      <xdr:colOff>504825</xdr:colOff>
      <xdr:row>240</xdr:row>
      <xdr:rowOff>104774</xdr:rowOff>
    </xdr:from>
    <xdr:to>
      <xdr:col>17</xdr:col>
      <xdr:colOff>30023</xdr:colOff>
      <xdr:row>243</xdr:row>
      <xdr:rowOff>66674</xdr:rowOff>
    </xdr:to>
    <xdr:pic>
      <xdr:nvPicPr>
        <xdr:cNvPr id="14" name="Picture 13">
          <a:extLst>
            <a:ext uri="{FF2B5EF4-FFF2-40B4-BE49-F238E27FC236}">
              <a16:creationId xmlns:a16="http://schemas.microsoft.com/office/drawing/2014/main" id="{00000000-0008-0000-0500-00000E000000}"/>
            </a:ext>
          </a:extLst>
        </xdr:cNvPr>
        <xdr:cNvPicPr>
          <a:picLocks noChangeAspect="1"/>
        </xdr:cNvPicPr>
      </xdr:nvPicPr>
      <xdr:blipFill>
        <a:blip xmlns:r="http://schemas.openxmlformats.org/officeDocument/2006/relationships" r:embed="rId12"/>
        <a:stretch>
          <a:fillRect/>
        </a:stretch>
      </xdr:blipFill>
      <xdr:spPr>
        <a:xfrm>
          <a:off x="8505825" y="46901099"/>
          <a:ext cx="1963598" cy="447675"/>
        </a:xfrm>
        <a:prstGeom prst="rect">
          <a:avLst/>
        </a:prstGeom>
      </xdr:spPr>
    </xdr:pic>
    <xdr:clientData/>
  </xdr:twoCellAnchor>
  <xdr:twoCellAnchor editAs="oneCell">
    <xdr:from>
      <xdr:col>14</xdr:col>
      <xdr:colOff>0</xdr:colOff>
      <xdr:row>246</xdr:row>
      <xdr:rowOff>0</xdr:rowOff>
    </xdr:from>
    <xdr:to>
      <xdr:col>16</xdr:col>
      <xdr:colOff>476250</xdr:colOff>
      <xdr:row>248</xdr:row>
      <xdr:rowOff>135195</xdr:rowOff>
    </xdr:to>
    <xdr:pic>
      <xdr:nvPicPr>
        <xdr:cNvPr id="15" name="Picture 14">
          <a:extLst>
            <a:ext uri="{FF2B5EF4-FFF2-40B4-BE49-F238E27FC236}">
              <a16:creationId xmlns:a16="http://schemas.microsoft.com/office/drawing/2014/main" id="{00000000-0008-0000-0500-00000F000000}"/>
            </a:ext>
          </a:extLst>
        </xdr:cNvPr>
        <xdr:cNvPicPr>
          <a:picLocks noChangeAspect="1"/>
        </xdr:cNvPicPr>
      </xdr:nvPicPr>
      <xdr:blipFill>
        <a:blip xmlns:r="http://schemas.openxmlformats.org/officeDocument/2006/relationships" r:embed="rId13"/>
        <a:stretch>
          <a:fillRect/>
        </a:stretch>
      </xdr:blipFill>
      <xdr:spPr>
        <a:xfrm>
          <a:off x="8610600" y="47767875"/>
          <a:ext cx="1695450" cy="459045"/>
        </a:xfrm>
        <a:prstGeom prst="rect">
          <a:avLst/>
        </a:prstGeom>
      </xdr:spPr>
    </xdr:pic>
    <xdr:clientData/>
  </xdr:twoCellAnchor>
  <xdr:twoCellAnchor editAs="oneCell">
    <xdr:from>
      <xdr:col>14</xdr:col>
      <xdr:colOff>76200</xdr:colOff>
      <xdr:row>254</xdr:row>
      <xdr:rowOff>123825</xdr:rowOff>
    </xdr:from>
    <xdr:to>
      <xdr:col>16</xdr:col>
      <xdr:colOff>371475</xdr:colOff>
      <xdr:row>263</xdr:row>
      <xdr:rowOff>55107</xdr:rowOff>
    </xdr:to>
    <xdr:pic>
      <xdr:nvPicPr>
        <xdr:cNvPr id="16" name="Picture 15">
          <a:extLst>
            <a:ext uri="{FF2B5EF4-FFF2-40B4-BE49-F238E27FC236}">
              <a16:creationId xmlns:a16="http://schemas.microsoft.com/office/drawing/2014/main" id="{00000000-0008-0000-0500-000010000000}"/>
            </a:ext>
          </a:extLst>
        </xdr:cNvPr>
        <xdr:cNvPicPr>
          <a:picLocks noChangeAspect="1"/>
        </xdr:cNvPicPr>
      </xdr:nvPicPr>
      <xdr:blipFill>
        <a:blip xmlns:r="http://schemas.openxmlformats.org/officeDocument/2006/relationships" r:embed="rId14"/>
        <a:stretch>
          <a:fillRect/>
        </a:stretch>
      </xdr:blipFill>
      <xdr:spPr>
        <a:xfrm>
          <a:off x="8686800" y="49996725"/>
          <a:ext cx="1514475" cy="1388607"/>
        </a:xfrm>
        <a:prstGeom prst="rect">
          <a:avLst/>
        </a:prstGeom>
      </xdr:spPr>
    </xdr:pic>
    <xdr:clientData/>
  </xdr:twoCellAnchor>
  <xdr:twoCellAnchor editAs="oneCell">
    <xdr:from>
      <xdr:col>14</xdr:col>
      <xdr:colOff>0</xdr:colOff>
      <xdr:row>265</xdr:row>
      <xdr:rowOff>0</xdr:rowOff>
    </xdr:from>
    <xdr:to>
      <xdr:col>16</xdr:col>
      <xdr:colOff>429654</xdr:colOff>
      <xdr:row>273</xdr:row>
      <xdr:rowOff>38100</xdr:rowOff>
    </xdr:to>
    <xdr:pic>
      <xdr:nvPicPr>
        <xdr:cNvPr id="17" name="Picture 16">
          <a:extLst>
            <a:ext uri="{FF2B5EF4-FFF2-40B4-BE49-F238E27FC236}">
              <a16:creationId xmlns:a16="http://schemas.microsoft.com/office/drawing/2014/main" id="{00000000-0008-0000-0500-000011000000}"/>
            </a:ext>
          </a:extLst>
        </xdr:cNvPr>
        <xdr:cNvPicPr>
          <a:picLocks noChangeAspect="1"/>
        </xdr:cNvPicPr>
      </xdr:nvPicPr>
      <xdr:blipFill>
        <a:blip xmlns:r="http://schemas.openxmlformats.org/officeDocument/2006/relationships" r:embed="rId15"/>
        <a:stretch>
          <a:fillRect/>
        </a:stretch>
      </xdr:blipFill>
      <xdr:spPr>
        <a:xfrm>
          <a:off x="8610600" y="51654075"/>
          <a:ext cx="1648854" cy="1333500"/>
        </a:xfrm>
        <a:prstGeom prst="rect">
          <a:avLst/>
        </a:prstGeom>
      </xdr:spPr>
    </xdr:pic>
    <xdr:clientData/>
  </xdr:twoCellAnchor>
  <xdr:twoCellAnchor editAs="oneCell">
    <xdr:from>
      <xdr:col>14</xdr:col>
      <xdr:colOff>57150</xdr:colOff>
      <xdr:row>276</xdr:row>
      <xdr:rowOff>47626</xdr:rowOff>
    </xdr:from>
    <xdr:to>
      <xdr:col>16</xdr:col>
      <xdr:colOff>371475</xdr:colOff>
      <xdr:row>285</xdr:row>
      <xdr:rowOff>1417</xdr:rowOff>
    </xdr:to>
    <xdr:pic>
      <xdr:nvPicPr>
        <xdr:cNvPr id="18" name="Picture 17">
          <a:extLst>
            <a:ext uri="{FF2B5EF4-FFF2-40B4-BE49-F238E27FC236}">
              <a16:creationId xmlns:a16="http://schemas.microsoft.com/office/drawing/2014/main" id="{00000000-0008-0000-0500-000012000000}"/>
            </a:ext>
          </a:extLst>
        </xdr:cNvPr>
        <xdr:cNvPicPr>
          <a:picLocks noChangeAspect="1"/>
        </xdr:cNvPicPr>
      </xdr:nvPicPr>
      <xdr:blipFill>
        <a:blip xmlns:r="http://schemas.openxmlformats.org/officeDocument/2006/relationships" r:embed="rId16"/>
        <a:stretch>
          <a:fillRect/>
        </a:stretch>
      </xdr:blipFill>
      <xdr:spPr>
        <a:xfrm>
          <a:off x="8667750" y="53482876"/>
          <a:ext cx="1533525" cy="1406074"/>
        </a:xfrm>
        <a:prstGeom prst="rect">
          <a:avLst/>
        </a:prstGeom>
      </xdr:spPr>
    </xdr:pic>
    <xdr:clientData/>
  </xdr:twoCellAnchor>
  <xdr:twoCellAnchor editAs="oneCell">
    <xdr:from>
      <xdr:col>13</xdr:col>
      <xdr:colOff>390525</xdr:colOff>
      <xdr:row>294</xdr:row>
      <xdr:rowOff>114300</xdr:rowOff>
    </xdr:from>
    <xdr:to>
      <xdr:col>17</xdr:col>
      <xdr:colOff>27668</xdr:colOff>
      <xdr:row>298</xdr:row>
      <xdr:rowOff>76200</xdr:rowOff>
    </xdr:to>
    <xdr:pic>
      <xdr:nvPicPr>
        <xdr:cNvPr id="19" name="Picture 18">
          <a:extLst>
            <a:ext uri="{FF2B5EF4-FFF2-40B4-BE49-F238E27FC236}">
              <a16:creationId xmlns:a16="http://schemas.microsoft.com/office/drawing/2014/main" id="{00000000-0008-0000-0500-000013000000}"/>
            </a:ext>
          </a:extLst>
        </xdr:cNvPr>
        <xdr:cNvPicPr>
          <a:picLocks noChangeAspect="1"/>
        </xdr:cNvPicPr>
      </xdr:nvPicPr>
      <xdr:blipFill>
        <a:blip xmlns:r="http://schemas.openxmlformats.org/officeDocument/2006/relationships" r:embed="rId17"/>
        <a:stretch>
          <a:fillRect/>
        </a:stretch>
      </xdr:blipFill>
      <xdr:spPr>
        <a:xfrm>
          <a:off x="8391525" y="56302275"/>
          <a:ext cx="2075543" cy="609600"/>
        </a:xfrm>
        <a:prstGeom prst="rect">
          <a:avLst/>
        </a:prstGeom>
      </xdr:spPr>
    </xdr:pic>
    <xdr:clientData/>
  </xdr:twoCellAnchor>
  <xdr:twoCellAnchor editAs="oneCell">
    <xdr:from>
      <xdr:col>13</xdr:col>
      <xdr:colOff>447676</xdr:colOff>
      <xdr:row>300</xdr:row>
      <xdr:rowOff>0</xdr:rowOff>
    </xdr:from>
    <xdr:to>
      <xdr:col>16</xdr:col>
      <xdr:colOff>461904</xdr:colOff>
      <xdr:row>310</xdr:row>
      <xdr:rowOff>104775</xdr:rowOff>
    </xdr:to>
    <xdr:pic>
      <xdr:nvPicPr>
        <xdr:cNvPr id="20" name="Picture 19">
          <a:extLst>
            <a:ext uri="{FF2B5EF4-FFF2-40B4-BE49-F238E27FC236}">
              <a16:creationId xmlns:a16="http://schemas.microsoft.com/office/drawing/2014/main" id="{00000000-0008-0000-0500-000014000000}"/>
            </a:ext>
          </a:extLst>
        </xdr:cNvPr>
        <xdr:cNvPicPr>
          <a:picLocks noChangeAspect="1"/>
        </xdr:cNvPicPr>
      </xdr:nvPicPr>
      <xdr:blipFill>
        <a:blip xmlns:r="http://schemas.openxmlformats.org/officeDocument/2006/relationships" r:embed="rId18"/>
        <a:stretch>
          <a:fillRect/>
        </a:stretch>
      </xdr:blipFill>
      <xdr:spPr>
        <a:xfrm>
          <a:off x="8448676" y="57159525"/>
          <a:ext cx="1843028" cy="1724025"/>
        </a:xfrm>
        <a:prstGeom prst="rect">
          <a:avLst/>
        </a:prstGeom>
      </xdr:spPr>
    </xdr:pic>
    <xdr:clientData/>
  </xdr:twoCellAnchor>
  <xdr:twoCellAnchor editAs="oneCell">
    <xdr:from>
      <xdr:col>12</xdr:col>
      <xdr:colOff>0</xdr:colOff>
      <xdr:row>318</xdr:row>
      <xdr:rowOff>161924</xdr:rowOff>
    </xdr:from>
    <xdr:to>
      <xdr:col>14</xdr:col>
      <xdr:colOff>180975</xdr:colOff>
      <xdr:row>328</xdr:row>
      <xdr:rowOff>88003</xdr:rowOff>
    </xdr:to>
    <xdr:pic>
      <xdr:nvPicPr>
        <xdr:cNvPr id="21" name="Picture 20">
          <a:extLst>
            <a:ext uri="{FF2B5EF4-FFF2-40B4-BE49-F238E27FC236}">
              <a16:creationId xmlns:a16="http://schemas.microsoft.com/office/drawing/2014/main" id="{00000000-0008-0000-0500-000015000000}"/>
            </a:ext>
          </a:extLst>
        </xdr:cNvPr>
        <xdr:cNvPicPr>
          <a:picLocks noChangeAspect="1"/>
        </xdr:cNvPicPr>
      </xdr:nvPicPr>
      <xdr:blipFill>
        <a:blip xmlns:r="http://schemas.openxmlformats.org/officeDocument/2006/relationships" r:embed="rId19"/>
        <a:stretch>
          <a:fillRect/>
        </a:stretch>
      </xdr:blipFill>
      <xdr:spPr>
        <a:xfrm>
          <a:off x="8610600" y="60074174"/>
          <a:ext cx="1400175" cy="1545329"/>
        </a:xfrm>
        <a:prstGeom prst="rect">
          <a:avLst/>
        </a:prstGeom>
      </xdr:spPr>
    </xdr:pic>
    <xdr:clientData/>
  </xdr:twoCellAnchor>
  <xdr:twoCellAnchor editAs="oneCell">
    <xdr:from>
      <xdr:col>7</xdr:col>
      <xdr:colOff>447675</xdr:colOff>
      <xdr:row>338</xdr:row>
      <xdr:rowOff>28576</xdr:rowOff>
    </xdr:from>
    <xdr:to>
      <xdr:col>12</xdr:col>
      <xdr:colOff>123825</xdr:colOff>
      <xdr:row>361</xdr:row>
      <xdr:rowOff>124653</xdr:rowOff>
    </xdr:to>
    <xdr:pic>
      <xdr:nvPicPr>
        <xdr:cNvPr id="23" name="Picture 22">
          <a:extLst>
            <a:ext uri="{FF2B5EF4-FFF2-40B4-BE49-F238E27FC236}">
              <a16:creationId xmlns:a16="http://schemas.microsoft.com/office/drawing/2014/main" id="{00000000-0008-0000-0500-000017000000}"/>
            </a:ext>
          </a:extLst>
        </xdr:cNvPr>
        <xdr:cNvPicPr>
          <a:picLocks noChangeAspect="1"/>
        </xdr:cNvPicPr>
      </xdr:nvPicPr>
      <xdr:blipFill>
        <a:blip xmlns:r="http://schemas.openxmlformats.org/officeDocument/2006/relationships" r:embed="rId20"/>
        <a:stretch>
          <a:fillRect/>
        </a:stretch>
      </xdr:blipFill>
      <xdr:spPr>
        <a:xfrm>
          <a:off x="4791075" y="63341251"/>
          <a:ext cx="2724150" cy="3820352"/>
        </a:xfrm>
        <a:prstGeom prst="rect">
          <a:avLst/>
        </a:prstGeom>
      </xdr:spPr>
    </xdr:pic>
    <xdr:clientData/>
  </xdr:twoCellAnchor>
  <xdr:twoCellAnchor editAs="oneCell">
    <xdr:from>
      <xdr:col>6</xdr:col>
      <xdr:colOff>33618</xdr:colOff>
      <xdr:row>364</xdr:row>
      <xdr:rowOff>50988</xdr:rowOff>
    </xdr:from>
    <xdr:to>
      <xdr:col>12</xdr:col>
      <xdr:colOff>253966</xdr:colOff>
      <xdr:row>390</xdr:row>
      <xdr:rowOff>140764</xdr:rowOff>
    </xdr:to>
    <xdr:pic>
      <xdr:nvPicPr>
        <xdr:cNvPr id="24" name="Picture 23">
          <a:extLst>
            <a:ext uri="{FF2B5EF4-FFF2-40B4-BE49-F238E27FC236}">
              <a16:creationId xmlns:a16="http://schemas.microsoft.com/office/drawing/2014/main" id="{00000000-0008-0000-0500-000018000000}"/>
            </a:ext>
          </a:extLst>
        </xdr:cNvPr>
        <xdr:cNvPicPr>
          <a:picLocks noChangeAspect="1"/>
        </xdr:cNvPicPr>
      </xdr:nvPicPr>
      <xdr:blipFill>
        <a:blip xmlns:r="http://schemas.openxmlformats.org/officeDocument/2006/relationships" r:embed="rId21"/>
        <a:stretch>
          <a:fillRect/>
        </a:stretch>
      </xdr:blipFill>
      <xdr:spPr>
        <a:xfrm>
          <a:off x="3767418" y="67573713"/>
          <a:ext cx="3877948" cy="4299826"/>
        </a:xfrm>
        <a:prstGeom prst="rect">
          <a:avLst/>
        </a:prstGeom>
      </xdr:spPr>
    </xdr:pic>
    <xdr:clientData/>
  </xdr:twoCellAnchor>
  <xdr:twoCellAnchor editAs="oneCell">
    <xdr:from>
      <xdr:col>6</xdr:col>
      <xdr:colOff>289891</xdr:colOff>
      <xdr:row>392</xdr:row>
      <xdr:rowOff>57979</xdr:rowOff>
    </xdr:from>
    <xdr:to>
      <xdr:col>12</xdr:col>
      <xdr:colOff>575641</xdr:colOff>
      <xdr:row>417</xdr:row>
      <xdr:rowOff>138670</xdr:rowOff>
    </xdr:to>
    <xdr:pic>
      <xdr:nvPicPr>
        <xdr:cNvPr id="25" name="Picture 24">
          <a:extLst>
            <a:ext uri="{FF2B5EF4-FFF2-40B4-BE49-F238E27FC236}">
              <a16:creationId xmlns:a16="http://schemas.microsoft.com/office/drawing/2014/main" id="{00000000-0008-0000-0500-000019000000}"/>
            </a:ext>
          </a:extLst>
        </xdr:cNvPr>
        <xdr:cNvPicPr>
          <a:picLocks noChangeAspect="1"/>
        </xdr:cNvPicPr>
      </xdr:nvPicPr>
      <xdr:blipFill>
        <a:blip xmlns:r="http://schemas.openxmlformats.org/officeDocument/2006/relationships" r:embed="rId22"/>
        <a:stretch>
          <a:fillRect/>
        </a:stretch>
      </xdr:blipFill>
      <xdr:spPr>
        <a:xfrm>
          <a:off x="4033630" y="73607544"/>
          <a:ext cx="3963228" cy="4221995"/>
        </a:xfrm>
        <a:prstGeom prst="rect">
          <a:avLst/>
        </a:prstGeom>
      </xdr:spPr>
    </xdr:pic>
    <xdr:clientData/>
  </xdr:twoCellAnchor>
  <xdr:twoCellAnchor editAs="oneCell">
    <xdr:from>
      <xdr:col>9</xdr:col>
      <xdr:colOff>101843</xdr:colOff>
      <xdr:row>421</xdr:row>
      <xdr:rowOff>77281</xdr:rowOff>
    </xdr:from>
    <xdr:to>
      <xdr:col>15</xdr:col>
      <xdr:colOff>13921</xdr:colOff>
      <xdr:row>443</xdr:row>
      <xdr:rowOff>134532</xdr:rowOff>
    </xdr:to>
    <xdr:pic>
      <xdr:nvPicPr>
        <xdr:cNvPr id="26" name="Picture 25">
          <a:extLst>
            <a:ext uri="{FF2B5EF4-FFF2-40B4-BE49-F238E27FC236}">
              <a16:creationId xmlns:a16="http://schemas.microsoft.com/office/drawing/2014/main" id="{00000000-0008-0000-0500-00001A000000}"/>
            </a:ext>
          </a:extLst>
        </xdr:cNvPr>
        <xdr:cNvPicPr>
          <a:picLocks noChangeAspect="1"/>
        </xdr:cNvPicPr>
      </xdr:nvPicPr>
      <xdr:blipFill>
        <a:blip xmlns:r="http://schemas.openxmlformats.org/officeDocument/2006/relationships" r:embed="rId23"/>
        <a:stretch>
          <a:fillRect/>
        </a:stretch>
      </xdr:blipFill>
      <xdr:spPr>
        <a:xfrm>
          <a:off x="5664443" y="76829731"/>
          <a:ext cx="3569678" cy="3619601"/>
        </a:xfrm>
        <a:prstGeom prst="rect">
          <a:avLst/>
        </a:prstGeom>
      </xdr:spPr>
    </xdr:pic>
    <xdr:clientData/>
  </xdr:twoCellAnchor>
  <xdr:twoCellAnchor editAs="oneCell">
    <xdr:from>
      <xdr:col>7</xdr:col>
      <xdr:colOff>339591</xdr:colOff>
      <xdr:row>445</xdr:row>
      <xdr:rowOff>28574</xdr:rowOff>
    </xdr:from>
    <xdr:to>
      <xdr:col>12</xdr:col>
      <xdr:colOff>253641</xdr:colOff>
      <xdr:row>465</xdr:row>
      <xdr:rowOff>2905</xdr:rowOff>
    </xdr:to>
    <xdr:pic>
      <xdr:nvPicPr>
        <xdr:cNvPr id="27" name="Picture 26">
          <a:extLst>
            <a:ext uri="{FF2B5EF4-FFF2-40B4-BE49-F238E27FC236}">
              <a16:creationId xmlns:a16="http://schemas.microsoft.com/office/drawing/2014/main" id="{00000000-0008-0000-0500-00001B000000}"/>
            </a:ext>
          </a:extLst>
        </xdr:cNvPr>
        <xdr:cNvPicPr>
          <a:picLocks noChangeAspect="1"/>
        </xdr:cNvPicPr>
      </xdr:nvPicPr>
      <xdr:blipFill>
        <a:blip xmlns:r="http://schemas.openxmlformats.org/officeDocument/2006/relationships" r:embed="rId24"/>
        <a:stretch>
          <a:fillRect/>
        </a:stretch>
      </xdr:blipFill>
      <xdr:spPr>
        <a:xfrm>
          <a:off x="4682991" y="80667224"/>
          <a:ext cx="2962050" cy="3212831"/>
        </a:xfrm>
        <a:prstGeom prst="rect">
          <a:avLst/>
        </a:prstGeom>
      </xdr:spPr>
    </xdr:pic>
    <xdr:clientData/>
  </xdr:twoCellAnchor>
  <xdr:twoCellAnchor editAs="oneCell">
    <xdr:from>
      <xdr:col>2</xdr:col>
      <xdr:colOff>47625</xdr:colOff>
      <xdr:row>481</xdr:row>
      <xdr:rowOff>85500</xdr:rowOff>
    </xdr:from>
    <xdr:to>
      <xdr:col>12</xdr:col>
      <xdr:colOff>533400</xdr:colOff>
      <xdr:row>505</xdr:row>
      <xdr:rowOff>125887</xdr:rowOff>
    </xdr:to>
    <xdr:pic>
      <xdr:nvPicPr>
        <xdr:cNvPr id="22" name="Picture 21">
          <a:extLst>
            <a:ext uri="{FF2B5EF4-FFF2-40B4-BE49-F238E27FC236}">
              <a16:creationId xmlns:a16="http://schemas.microsoft.com/office/drawing/2014/main" id="{00000000-0008-0000-0500-000016000000}"/>
            </a:ext>
          </a:extLst>
        </xdr:cNvPr>
        <xdr:cNvPicPr>
          <a:picLocks noChangeAspect="1"/>
        </xdr:cNvPicPr>
      </xdr:nvPicPr>
      <xdr:blipFill>
        <a:blip xmlns:r="http://schemas.openxmlformats.org/officeDocument/2006/relationships" r:embed="rId25"/>
        <a:stretch>
          <a:fillRect/>
        </a:stretch>
      </xdr:blipFill>
      <xdr:spPr>
        <a:xfrm rot="5400000">
          <a:off x="2670619" y="85063931"/>
          <a:ext cx="3926587" cy="6581775"/>
        </a:xfrm>
        <a:prstGeom prst="rect">
          <a:avLst/>
        </a:prstGeom>
      </xdr:spPr>
    </xdr:pic>
    <xdr:clientData/>
  </xdr:twoCellAnchor>
  <xdr:twoCellAnchor editAs="oneCell">
    <xdr:from>
      <xdr:col>2</xdr:col>
      <xdr:colOff>28575</xdr:colOff>
      <xdr:row>510</xdr:row>
      <xdr:rowOff>137612</xdr:rowOff>
    </xdr:from>
    <xdr:to>
      <xdr:col>12</xdr:col>
      <xdr:colOff>4082</xdr:colOff>
      <xdr:row>530</xdr:row>
      <xdr:rowOff>122896</xdr:rowOff>
    </xdr:to>
    <xdr:pic>
      <xdr:nvPicPr>
        <xdr:cNvPr id="28" name="Picture 27">
          <a:extLst>
            <a:ext uri="{FF2B5EF4-FFF2-40B4-BE49-F238E27FC236}">
              <a16:creationId xmlns:a16="http://schemas.microsoft.com/office/drawing/2014/main" id="{00000000-0008-0000-0500-00001C000000}"/>
            </a:ext>
          </a:extLst>
        </xdr:cNvPr>
        <xdr:cNvPicPr>
          <a:picLocks noChangeAspect="1"/>
        </xdr:cNvPicPr>
      </xdr:nvPicPr>
      <xdr:blipFill>
        <a:blip xmlns:r="http://schemas.openxmlformats.org/officeDocument/2006/relationships" r:embed="rId26"/>
        <a:stretch>
          <a:fillRect/>
        </a:stretch>
      </xdr:blipFill>
      <xdr:spPr>
        <a:xfrm rot="5400000">
          <a:off x="2747837" y="89877525"/>
          <a:ext cx="3223784" cy="6071507"/>
        </a:xfrm>
        <a:prstGeom prst="rect">
          <a:avLst/>
        </a:prstGeom>
      </xdr:spPr>
    </xdr:pic>
    <xdr:clientData/>
  </xdr:twoCellAnchor>
  <xdr:twoCellAnchor editAs="oneCell">
    <xdr:from>
      <xdr:col>2</xdr:col>
      <xdr:colOff>69274</xdr:colOff>
      <xdr:row>536</xdr:row>
      <xdr:rowOff>43863</xdr:rowOff>
    </xdr:from>
    <xdr:to>
      <xdr:col>12</xdr:col>
      <xdr:colOff>17320</xdr:colOff>
      <xdr:row>557</xdr:row>
      <xdr:rowOff>57886</xdr:rowOff>
    </xdr:to>
    <xdr:pic>
      <xdr:nvPicPr>
        <xdr:cNvPr id="29" name="Picture 28">
          <a:extLst>
            <a:ext uri="{FF2B5EF4-FFF2-40B4-BE49-F238E27FC236}">
              <a16:creationId xmlns:a16="http://schemas.microsoft.com/office/drawing/2014/main" id="{00000000-0008-0000-0500-00001D000000}"/>
            </a:ext>
          </a:extLst>
        </xdr:cNvPr>
        <xdr:cNvPicPr>
          <a:picLocks noChangeAspect="1"/>
        </xdr:cNvPicPr>
      </xdr:nvPicPr>
      <xdr:blipFill>
        <a:blip xmlns:r="http://schemas.openxmlformats.org/officeDocument/2006/relationships" r:embed="rId27"/>
        <a:stretch>
          <a:fillRect/>
        </a:stretch>
      </xdr:blipFill>
      <xdr:spPr>
        <a:xfrm rot="5400000">
          <a:off x="2729263" y="90018829"/>
          <a:ext cx="3287159" cy="6009409"/>
        </a:xfrm>
        <a:prstGeom prst="rect">
          <a:avLst/>
        </a:prstGeom>
      </xdr:spPr>
    </xdr:pic>
    <xdr:clientData/>
  </xdr:twoCellAnchor>
  <xdr:twoCellAnchor editAs="oneCell">
    <xdr:from>
      <xdr:col>3</xdr:col>
      <xdr:colOff>58130</xdr:colOff>
      <xdr:row>562</xdr:row>
      <xdr:rowOff>56176</xdr:rowOff>
    </xdr:from>
    <xdr:to>
      <xdr:col>8</xdr:col>
      <xdr:colOff>257175</xdr:colOff>
      <xdr:row>578</xdr:row>
      <xdr:rowOff>143936</xdr:rowOff>
    </xdr:to>
    <xdr:pic>
      <xdr:nvPicPr>
        <xdr:cNvPr id="30" name="Picture 29">
          <a:extLst>
            <a:ext uri="{FF2B5EF4-FFF2-40B4-BE49-F238E27FC236}">
              <a16:creationId xmlns:a16="http://schemas.microsoft.com/office/drawing/2014/main" id="{00000000-0008-0000-0500-00001E000000}"/>
            </a:ext>
          </a:extLst>
        </xdr:cNvPr>
        <xdr:cNvPicPr>
          <a:picLocks noChangeAspect="1"/>
        </xdr:cNvPicPr>
      </xdr:nvPicPr>
      <xdr:blipFill>
        <a:blip xmlns:r="http://schemas.openxmlformats.org/officeDocument/2006/relationships" r:embed="rId28"/>
        <a:stretch>
          <a:fillRect/>
        </a:stretch>
      </xdr:blipFill>
      <xdr:spPr>
        <a:xfrm rot="5400000">
          <a:off x="2247373" y="99193883"/>
          <a:ext cx="2678560" cy="3247045"/>
        </a:xfrm>
        <a:prstGeom prst="rect">
          <a:avLst/>
        </a:prstGeom>
      </xdr:spPr>
    </xdr:pic>
    <xdr:clientData/>
  </xdr:twoCellAnchor>
  <xdr:twoCellAnchor editAs="oneCell">
    <xdr:from>
      <xdr:col>15</xdr:col>
      <xdr:colOff>0</xdr:colOff>
      <xdr:row>626</xdr:row>
      <xdr:rowOff>76200</xdr:rowOff>
    </xdr:from>
    <xdr:to>
      <xdr:col>18</xdr:col>
      <xdr:colOff>575087</xdr:colOff>
      <xdr:row>630</xdr:row>
      <xdr:rowOff>66675</xdr:rowOff>
    </xdr:to>
    <xdr:pic>
      <xdr:nvPicPr>
        <xdr:cNvPr id="31" name="Picture 30">
          <a:extLst>
            <a:ext uri="{FF2B5EF4-FFF2-40B4-BE49-F238E27FC236}">
              <a16:creationId xmlns:a16="http://schemas.microsoft.com/office/drawing/2014/main" id="{00000000-0008-0000-0500-00001F000000}"/>
            </a:ext>
          </a:extLst>
        </xdr:cNvPr>
        <xdr:cNvPicPr>
          <a:picLocks noChangeAspect="1"/>
        </xdr:cNvPicPr>
      </xdr:nvPicPr>
      <xdr:blipFill>
        <a:blip xmlns:r="http://schemas.openxmlformats.org/officeDocument/2006/relationships" r:embed="rId29"/>
        <a:stretch>
          <a:fillRect/>
        </a:stretch>
      </xdr:blipFill>
      <xdr:spPr>
        <a:xfrm>
          <a:off x="9220200" y="109861350"/>
          <a:ext cx="2403887" cy="638175"/>
        </a:xfrm>
        <a:prstGeom prst="rect">
          <a:avLst/>
        </a:prstGeom>
      </xdr:spPr>
    </xdr:pic>
    <xdr:clientData/>
  </xdr:twoCellAnchor>
  <xdr:twoCellAnchor editAs="oneCell">
    <xdr:from>
      <xdr:col>15</xdr:col>
      <xdr:colOff>57150</xdr:colOff>
      <xdr:row>632</xdr:row>
      <xdr:rowOff>57151</xdr:rowOff>
    </xdr:from>
    <xdr:to>
      <xdr:col>18</xdr:col>
      <xdr:colOff>171450</xdr:colOff>
      <xdr:row>639</xdr:row>
      <xdr:rowOff>59302</xdr:rowOff>
    </xdr:to>
    <xdr:pic>
      <xdr:nvPicPr>
        <xdr:cNvPr id="32" name="Picture 31">
          <a:extLst>
            <a:ext uri="{FF2B5EF4-FFF2-40B4-BE49-F238E27FC236}">
              <a16:creationId xmlns:a16="http://schemas.microsoft.com/office/drawing/2014/main" id="{00000000-0008-0000-0500-000020000000}"/>
            </a:ext>
          </a:extLst>
        </xdr:cNvPr>
        <xdr:cNvPicPr>
          <a:picLocks noChangeAspect="1"/>
        </xdr:cNvPicPr>
      </xdr:nvPicPr>
      <xdr:blipFill>
        <a:blip xmlns:r="http://schemas.openxmlformats.org/officeDocument/2006/relationships" r:embed="rId30"/>
        <a:stretch>
          <a:fillRect/>
        </a:stretch>
      </xdr:blipFill>
      <xdr:spPr>
        <a:xfrm>
          <a:off x="9277350" y="110813851"/>
          <a:ext cx="1943100" cy="1135626"/>
        </a:xfrm>
        <a:prstGeom prst="rect">
          <a:avLst/>
        </a:prstGeom>
      </xdr:spPr>
    </xdr:pic>
    <xdr:clientData/>
  </xdr:twoCellAnchor>
  <xdr:twoCellAnchor editAs="oneCell">
    <xdr:from>
      <xdr:col>20</xdr:col>
      <xdr:colOff>476250</xdr:colOff>
      <xdr:row>26</xdr:row>
      <xdr:rowOff>76200</xdr:rowOff>
    </xdr:from>
    <xdr:to>
      <xdr:col>22</xdr:col>
      <xdr:colOff>561975</xdr:colOff>
      <xdr:row>35</xdr:row>
      <xdr:rowOff>59079</xdr:rowOff>
    </xdr:to>
    <xdr:pic>
      <xdr:nvPicPr>
        <xdr:cNvPr id="33" name="Picture 32">
          <a:extLst>
            <a:ext uri="{FF2B5EF4-FFF2-40B4-BE49-F238E27FC236}">
              <a16:creationId xmlns:a16="http://schemas.microsoft.com/office/drawing/2014/main" id="{00000000-0008-0000-0500-000021000000}"/>
            </a:ext>
          </a:extLst>
        </xdr:cNvPr>
        <xdr:cNvPicPr>
          <a:picLocks noChangeAspect="1"/>
        </xdr:cNvPicPr>
      </xdr:nvPicPr>
      <xdr:blipFill>
        <a:blip xmlns:r="http://schemas.openxmlformats.org/officeDocument/2006/relationships" r:embed="rId31"/>
        <a:stretch>
          <a:fillRect/>
        </a:stretch>
      </xdr:blipFill>
      <xdr:spPr>
        <a:xfrm>
          <a:off x="12744450" y="4286250"/>
          <a:ext cx="1304925" cy="144020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3.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hyperlink" Target="http://www.clinicaltrials.gov/ct2/show/study/NCT00728689?term=st-246&amp;rank=3&amp;sect=X01256" TargetMode="External"/><Relationship Id="rId2" Type="http://schemas.openxmlformats.org/officeDocument/2006/relationships/hyperlink" Target="http://www.clinicaltrials.gov/ct2/show/study/NCT00431951?term=st-246&amp;rank=2&amp;sect=X01256" TargetMode="External"/><Relationship Id="rId1" Type="http://schemas.openxmlformats.org/officeDocument/2006/relationships/hyperlink" Target="http://www.clinicaltrials.gov/ct2/show/record/NCT00907803?term=st-246&amp;rank=1&amp;sect=X01256" TargetMode="External"/><Relationship Id="rId4"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8" Type="http://schemas.openxmlformats.org/officeDocument/2006/relationships/hyperlink" Target="https://d.docs.live.net/9ffda80931a57275/Models%20Backup/SIGA/Court%20rulings/court%20ruling%202013.5.24.pdf" TargetMode="External"/><Relationship Id="rId3" Type="http://schemas.openxmlformats.org/officeDocument/2006/relationships/hyperlink" Target="https://d.docs.live.net/9ffda80931a57275/Models%20Backup/SIGA/Court%20rulings/court%20ruling%202008.1.16.pdf" TargetMode="External"/><Relationship Id="rId7" Type="http://schemas.openxmlformats.org/officeDocument/2006/relationships/hyperlink" Target="https://d.docs.live.net/9ffda80931a57275/Models%20Backup/SIGA/Court%20rulings/court%20ruling%202012.5.31.pdf" TargetMode="External"/><Relationship Id="rId2" Type="http://schemas.openxmlformats.org/officeDocument/2006/relationships/hyperlink" Target="https://d.docs.live.net/9ffda80931a57275/Models%20Backup/SIGA/Court%20rulings/court%20ruling%202009.7.10.pdf" TargetMode="External"/><Relationship Id="rId1" Type="http://schemas.openxmlformats.org/officeDocument/2006/relationships/hyperlink" Target="https://d.docs.live.net/9ffda80931a57275/Models%20Backup/SIGA/Court%20rulings/court%20ruling%202008.1.16.pdf" TargetMode="External"/><Relationship Id="rId6" Type="http://schemas.openxmlformats.org/officeDocument/2006/relationships/hyperlink" Target="https://d.docs.live.net/9ffda80931a57275/Models%20Backup/SIGA/Court%20rulings/court%20ruling%202011.12.16.pdf" TargetMode="External"/><Relationship Id="rId5" Type="http://schemas.openxmlformats.org/officeDocument/2006/relationships/hyperlink" Target="https://d.docs.live.net/9ffda80931a57275/Models%20Backup/SIGA/Court%20rulings/court%20ruling%202011.9.22.pdf" TargetMode="External"/><Relationship Id="rId10" Type="http://schemas.openxmlformats.org/officeDocument/2006/relationships/printerSettings" Target="../printerSettings/printerSettings5.bin"/><Relationship Id="rId4" Type="http://schemas.openxmlformats.org/officeDocument/2006/relationships/hyperlink" Target="https://d.docs.live.net/9ffda80931a57275/Models%20Backup/SIGA/Court%20rulings/court%20ruling%202010.11.23.pdf" TargetMode="External"/><Relationship Id="rId9" Type="http://schemas.openxmlformats.org/officeDocument/2006/relationships/hyperlink" Target="https://d.docs.live.net/9ffda80931a57275/Models%20Backup/SIGA/Court%20rulings/court%20ruling%202014.8.8.pdf"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http://www.google.com/patents/US8492434" TargetMode="External"/><Relationship Id="rId13" Type="http://schemas.openxmlformats.org/officeDocument/2006/relationships/printerSettings" Target="../printerSettings/printerSettings6.bin"/><Relationship Id="rId3" Type="http://schemas.openxmlformats.org/officeDocument/2006/relationships/hyperlink" Target="http://www.google.com/patents/US8664274" TargetMode="External"/><Relationship Id="rId7" Type="http://schemas.openxmlformats.org/officeDocument/2006/relationships/hyperlink" Target="http://www.google.com/patents/US8518951" TargetMode="External"/><Relationship Id="rId12" Type="http://schemas.openxmlformats.org/officeDocument/2006/relationships/hyperlink" Target="https://www.google.com/patents/US8518960?dq=patent+number+8,518,960&amp;hl=en&amp;sa=X&amp;ei=ZtslVPSqLcigoQTboYLwCQ&amp;ved=0CB8Q6AEwAA" TargetMode="External"/><Relationship Id="rId2" Type="http://schemas.openxmlformats.org/officeDocument/2006/relationships/hyperlink" Target="http://www.google.com/patents/US8754082" TargetMode="External"/><Relationship Id="rId1" Type="http://schemas.openxmlformats.org/officeDocument/2006/relationships/hyperlink" Target="http://www.google.com/patents/US8791110" TargetMode="External"/><Relationship Id="rId6" Type="http://schemas.openxmlformats.org/officeDocument/2006/relationships/hyperlink" Target="http://www.google.com/patents/US8623347" TargetMode="External"/><Relationship Id="rId11" Type="http://schemas.openxmlformats.org/officeDocument/2006/relationships/hyperlink" Target="http://www.google.com.ar/patents/US7977365" TargetMode="External"/><Relationship Id="rId5" Type="http://schemas.openxmlformats.org/officeDocument/2006/relationships/hyperlink" Target="http://www.google.com/patents/US8629170" TargetMode="External"/><Relationship Id="rId10" Type="http://schemas.openxmlformats.org/officeDocument/2006/relationships/hyperlink" Target="http://www.google.com/patents/US8410149" TargetMode="External"/><Relationship Id="rId4" Type="http://schemas.openxmlformats.org/officeDocument/2006/relationships/hyperlink" Target="https://www.google.com/patents/US8658697?dq=patent+number+8658697&amp;hl=en&amp;sa=X&amp;ei=J9AlVO2IJ4PeoAS65YCoBg&amp;ved=0CB8Q6AEwAA" TargetMode="External"/><Relationship Id="rId9" Type="http://schemas.openxmlformats.org/officeDocument/2006/relationships/hyperlink" Target="http://www.google.com/patents/US8461177" TargetMode="External"/><Relationship Id="rId14"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B2:N26"/>
  <sheetViews>
    <sheetView zoomScaleNormal="100" workbookViewId="0">
      <selection activeCell="M6" sqref="M6"/>
    </sheetView>
  </sheetViews>
  <sheetFormatPr defaultRowHeight="12.75"/>
  <cols>
    <col min="1" max="1" width="3" style="77" customWidth="1"/>
    <col min="2" max="2" width="19.5703125" style="77" customWidth="1"/>
    <col min="3" max="3" width="22" style="77" customWidth="1"/>
    <col min="4" max="4" width="10.140625" style="77" bestFit="1" customWidth="1"/>
    <col min="5" max="5" width="8.85546875" style="77" customWidth="1"/>
    <col min="6" max="6" width="12.85546875" style="77" bestFit="1" customWidth="1"/>
    <col min="7" max="7" width="25.5703125" style="77" bestFit="1" customWidth="1"/>
    <col min="8" max="8" width="14.85546875" style="77" customWidth="1"/>
    <col min="9" max="9" width="12.28515625" style="77" bestFit="1" customWidth="1"/>
    <col min="10" max="10" width="9.140625" style="77"/>
    <col min="11" max="12" width="7.5703125" style="77" customWidth="1"/>
    <col min="13" max="13" width="7" style="77" customWidth="1"/>
    <col min="14" max="16384" width="9.140625" style="77"/>
  </cols>
  <sheetData>
    <row r="2" spans="2:14">
      <c r="B2" s="73" t="s">
        <v>0</v>
      </c>
      <c r="C2" s="74" t="s">
        <v>2</v>
      </c>
      <c r="D2" s="74" t="s">
        <v>3</v>
      </c>
      <c r="E2" s="74" t="s">
        <v>4</v>
      </c>
      <c r="F2" s="74" t="s">
        <v>5</v>
      </c>
      <c r="G2" s="75" t="s">
        <v>16</v>
      </c>
      <c r="H2" s="75" t="s">
        <v>17</v>
      </c>
      <c r="I2" s="76" t="s">
        <v>6</v>
      </c>
      <c r="K2" s="77" t="s">
        <v>8</v>
      </c>
      <c r="L2" s="78">
        <v>16</v>
      </c>
    </row>
    <row r="3" spans="2:14">
      <c r="B3" s="79" t="s">
        <v>618</v>
      </c>
      <c r="C3" s="80" t="s">
        <v>7</v>
      </c>
      <c r="D3" s="81" t="s">
        <v>52</v>
      </c>
      <c r="E3" s="82" t="s">
        <v>178</v>
      </c>
      <c r="F3" s="81" t="s">
        <v>53</v>
      </c>
      <c r="G3" s="80" t="s">
        <v>54</v>
      </c>
      <c r="H3" s="81" t="s">
        <v>175</v>
      </c>
      <c r="I3" s="83">
        <v>2023</v>
      </c>
      <c r="K3" s="77" t="s">
        <v>9</v>
      </c>
      <c r="L3" s="84">
        <v>72.566367</v>
      </c>
      <c r="M3" s="85" t="s">
        <v>615</v>
      </c>
    </row>
    <row r="4" spans="2:14">
      <c r="B4" s="86" t="s">
        <v>55</v>
      </c>
      <c r="C4" s="87" t="s">
        <v>56</v>
      </c>
      <c r="D4" s="87" t="s">
        <v>57</v>
      </c>
      <c r="E4" s="82">
        <v>1</v>
      </c>
      <c r="F4" s="87" t="s">
        <v>58</v>
      </c>
      <c r="G4" s="87" t="s">
        <v>59</v>
      </c>
      <c r="H4" s="87" t="s">
        <v>176</v>
      </c>
      <c r="I4" s="88">
        <v>2026</v>
      </c>
      <c r="K4" s="77" t="s">
        <v>10</v>
      </c>
      <c r="L4" s="84">
        <f>L3*L2</f>
        <v>1161.061872</v>
      </c>
      <c r="M4" s="89"/>
    </row>
    <row r="5" spans="2:14">
      <c r="B5" s="90" t="s">
        <v>1</v>
      </c>
      <c r="C5" s="87" t="s">
        <v>60</v>
      </c>
      <c r="D5" s="87" t="s">
        <v>57</v>
      </c>
      <c r="E5" s="82">
        <v>1</v>
      </c>
      <c r="F5" s="87" t="s">
        <v>58</v>
      </c>
      <c r="G5" s="87" t="s">
        <v>59</v>
      </c>
      <c r="H5" s="87" t="s">
        <v>61</v>
      </c>
      <c r="I5" s="88">
        <v>2026</v>
      </c>
      <c r="K5" s="77" t="s">
        <v>11</v>
      </c>
      <c r="L5" s="84">
        <v>153.25991400000001</v>
      </c>
      <c r="M5" s="85" t="s">
        <v>615</v>
      </c>
      <c r="N5" s="91"/>
    </row>
    <row r="6" spans="2:14">
      <c r="B6" s="86" t="s">
        <v>62</v>
      </c>
      <c r="C6" s="87" t="s">
        <v>63</v>
      </c>
      <c r="D6" s="87" t="s">
        <v>57</v>
      </c>
      <c r="E6" s="82">
        <v>1</v>
      </c>
      <c r="F6" s="87" t="s">
        <v>58</v>
      </c>
      <c r="G6" s="87" t="s">
        <v>59</v>
      </c>
      <c r="H6" s="87" t="s">
        <v>61</v>
      </c>
      <c r="I6" s="88">
        <v>2026</v>
      </c>
      <c r="K6" s="77" t="s">
        <v>12</v>
      </c>
      <c r="L6" s="84">
        <v>0</v>
      </c>
      <c r="M6" s="85" t="s">
        <v>615</v>
      </c>
    </row>
    <row r="7" spans="2:14">
      <c r="B7" s="86" t="s">
        <v>64</v>
      </c>
      <c r="C7" s="87" t="s">
        <v>65</v>
      </c>
      <c r="D7" s="87" t="s">
        <v>57</v>
      </c>
      <c r="E7" s="82">
        <v>1</v>
      </c>
      <c r="F7" s="87" t="s">
        <v>58</v>
      </c>
      <c r="G7" s="87" t="s">
        <v>59</v>
      </c>
      <c r="H7" s="87" t="s">
        <v>66</v>
      </c>
      <c r="I7" s="88">
        <v>2026</v>
      </c>
      <c r="K7" s="77" t="s">
        <v>13</v>
      </c>
      <c r="L7" s="84">
        <f>L4-L5+L6</f>
        <v>1007.801958</v>
      </c>
    </row>
    <row r="8" spans="2:14">
      <c r="B8" s="92" t="s">
        <v>67</v>
      </c>
      <c r="C8" s="93" t="s">
        <v>174</v>
      </c>
      <c r="D8" s="94" t="s">
        <v>57</v>
      </c>
      <c r="E8" s="95">
        <v>1</v>
      </c>
      <c r="F8" s="94" t="s">
        <v>58</v>
      </c>
      <c r="G8" s="94" t="s">
        <v>59</v>
      </c>
      <c r="H8" s="94" t="s">
        <v>66</v>
      </c>
      <c r="I8" s="96">
        <v>2026</v>
      </c>
      <c r="K8" s="91"/>
      <c r="L8" s="78"/>
    </row>
    <row r="9" spans="2:14">
      <c r="C9" s="97"/>
      <c r="D9" s="97"/>
      <c r="E9" s="97"/>
      <c r="F9" s="97"/>
      <c r="G9" s="97"/>
      <c r="H9" s="97"/>
      <c r="I9" s="97"/>
    </row>
    <row r="10" spans="2:14">
      <c r="C10" s="97"/>
      <c r="D10" s="97"/>
      <c r="E10" s="97"/>
      <c r="F10" s="97"/>
      <c r="G10" s="97"/>
      <c r="H10" s="97"/>
      <c r="I10" s="97"/>
    </row>
    <row r="11" spans="2:14">
      <c r="C11" s="97"/>
      <c r="D11" s="97"/>
      <c r="E11" s="97"/>
      <c r="F11" s="99" t="s">
        <v>51</v>
      </c>
      <c r="I11" s="97"/>
    </row>
    <row r="12" spans="2:14">
      <c r="C12" s="97"/>
      <c r="D12" s="97"/>
      <c r="E12" s="97"/>
      <c r="F12" s="99" t="s">
        <v>68</v>
      </c>
      <c r="I12" s="97"/>
    </row>
    <row r="13" spans="2:14">
      <c r="C13" s="97"/>
      <c r="D13" s="97"/>
      <c r="E13" s="97"/>
      <c r="F13" s="99" t="s">
        <v>69</v>
      </c>
      <c r="I13" s="97"/>
    </row>
    <row r="14" spans="2:14">
      <c r="C14" s="97"/>
      <c r="D14" s="97"/>
      <c r="E14" s="97"/>
      <c r="F14" s="99" t="s">
        <v>70</v>
      </c>
      <c r="I14" s="97"/>
    </row>
    <row r="15" spans="2:14">
      <c r="C15" s="97"/>
      <c r="D15" s="97"/>
      <c r="E15" s="97"/>
      <c r="F15" s="99" t="s">
        <v>71</v>
      </c>
      <c r="I15" s="97"/>
    </row>
    <row r="16" spans="2:14">
      <c r="C16" s="97"/>
      <c r="D16" s="97"/>
      <c r="E16" s="97"/>
      <c r="F16" s="99" t="s">
        <v>72</v>
      </c>
      <c r="I16" s="97"/>
    </row>
    <row r="17" spans="2:9">
      <c r="C17" s="97"/>
      <c r="D17" s="97"/>
      <c r="E17" s="97"/>
      <c r="F17" s="99" t="s">
        <v>73</v>
      </c>
      <c r="I17" s="97"/>
    </row>
    <row r="18" spans="2:9">
      <c r="C18" s="97"/>
      <c r="D18" s="97"/>
      <c r="E18" s="97"/>
      <c r="F18" s="99" t="s">
        <v>74</v>
      </c>
      <c r="I18" s="97"/>
    </row>
    <row r="19" spans="2:9">
      <c r="C19" s="97"/>
      <c r="D19" s="97"/>
      <c r="E19" s="97"/>
      <c r="F19" s="99" t="s">
        <v>75</v>
      </c>
      <c r="I19" s="97"/>
    </row>
    <row r="20" spans="2:9">
      <c r="C20" s="97"/>
      <c r="D20" s="97"/>
      <c r="E20" s="97"/>
      <c r="F20" s="99" t="s">
        <v>77</v>
      </c>
      <c r="I20" s="97"/>
    </row>
    <row r="21" spans="2:9">
      <c r="C21" s="97"/>
      <c r="D21" s="97"/>
      <c r="E21" s="97"/>
      <c r="F21" s="100" t="s">
        <v>76</v>
      </c>
      <c r="I21" s="97"/>
    </row>
    <row r="22" spans="2:9">
      <c r="B22" s="91"/>
      <c r="C22" s="97"/>
      <c r="D22" s="97"/>
      <c r="E22" s="97"/>
      <c r="F22" s="97"/>
      <c r="I22" s="97"/>
    </row>
    <row r="23" spans="2:9">
      <c r="B23" s="98"/>
      <c r="C23" s="97"/>
      <c r="D23" s="97"/>
      <c r="E23" s="97"/>
      <c r="F23" s="97"/>
      <c r="I23" s="97"/>
    </row>
    <row r="24" spans="2:9">
      <c r="B24" s="91"/>
    </row>
    <row r="26" spans="2:9">
      <c r="B26" s="91"/>
    </row>
  </sheetData>
  <phoneticPr fontId="1" type="noConversion"/>
  <hyperlinks>
    <hyperlink ref="B3" location="TPOXX!A1" display="TPOXX (tecovirimat)" xr:uid="{00000000-0004-0000-0000-000000000000}"/>
  </hyperlinks>
  <pageMargins left="0.25" right="0.25" top="0.75" bottom="0.75" header="0.3" footer="0.3"/>
  <pageSetup scale="52"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E3C55D-9118-482B-8720-4989D85F03BD}">
  <dimension ref="A1:O92"/>
  <sheetViews>
    <sheetView tabSelected="1" workbookViewId="0">
      <selection activeCell="F4" sqref="F4"/>
    </sheetView>
  </sheetViews>
  <sheetFormatPr defaultRowHeight="12.75"/>
  <cols>
    <col min="1" max="1" width="5" bestFit="1" customWidth="1"/>
  </cols>
  <sheetData>
    <row r="1" spans="1:14">
      <c r="A1" s="102" t="s">
        <v>14</v>
      </c>
    </row>
    <row r="2" spans="1:14">
      <c r="C2" s="101">
        <v>44770</v>
      </c>
      <c r="D2" s="101">
        <v>44775</v>
      </c>
      <c r="E2" s="101">
        <v>44778</v>
      </c>
      <c r="F2" s="101"/>
      <c r="G2" s="101"/>
      <c r="H2" t="s">
        <v>701</v>
      </c>
      <c r="I2" t="s">
        <v>700</v>
      </c>
      <c r="J2" t="s">
        <v>702</v>
      </c>
      <c r="K2" t="s">
        <v>703</v>
      </c>
      <c r="L2" t="s">
        <v>701</v>
      </c>
      <c r="M2" t="s">
        <v>700</v>
      </c>
      <c r="N2" s="104" t="s">
        <v>702</v>
      </c>
    </row>
    <row r="3" spans="1:14">
      <c r="C3" s="101"/>
      <c r="D3" s="101"/>
      <c r="E3" s="101"/>
      <c r="F3" s="101"/>
      <c r="G3" s="101"/>
    </row>
    <row r="4" spans="1:14">
      <c r="B4" s="104" t="s">
        <v>704</v>
      </c>
      <c r="C4" s="105">
        <f>SUM(C5:C91)</f>
        <v>21148</v>
      </c>
      <c r="D4" s="105">
        <f>SUM(D5:D90)</f>
        <v>23618</v>
      </c>
      <c r="E4" s="105">
        <f>SUM(E5:E97)</f>
        <v>28220</v>
      </c>
      <c r="F4" s="106">
        <f>+E4/C4-1</f>
        <v>0.33440514469453375</v>
      </c>
    </row>
    <row r="5" spans="1:14">
      <c r="B5" t="s">
        <v>699</v>
      </c>
      <c r="C5">
        <v>3</v>
      </c>
      <c r="D5">
        <v>3</v>
      </c>
      <c r="E5">
        <v>4</v>
      </c>
      <c r="H5" s="101">
        <v>44698</v>
      </c>
      <c r="I5" s="103">
        <v>1</v>
      </c>
      <c r="J5" s="103">
        <f>+I5</f>
        <v>1</v>
      </c>
      <c r="K5" s="103"/>
      <c r="L5" s="101">
        <v>44698</v>
      </c>
      <c r="M5">
        <v>1</v>
      </c>
      <c r="N5">
        <f>+M5</f>
        <v>1</v>
      </c>
    </row>
    <row r="6" spans="1:14">
      <c r="B6" t="s">
        <v>698</v>
      </c>
      <c r="C6">
        <v>20</v>
      </c>
      <c r="D6">
        <v>20</v>
      </c>
      <c r="E6">
        <v>31</v>
      </c>
      <c r="H6" s="101">
        <f>+H5+1</f>
        <v>44699</v>
      </c>
      <c r="I6">
        <v>0</v>
      </c>
      <c r="J6" s="103">
        <f>+J5+I6</f>
        <v>1</v>
      </c>
      <c r="L6" s="101">
        <v>44699</v>
      </c>
      <c r="M6">
        <v>0</v>
      </c>
      <c r="N6">
        <f>+M6+N5</f>
        <v>1</v>
      </c>
    </row>
    <row r="7" spans="1:14">
      <c r="B7" t="s">
        <v>697</v>
      </c>
      <c r="C7">
        <v>44</v>
      </c>
      <c r="D7">
        <v>45</v>
      </c>
      <c r="E7">
        <v>58</v>
      </c>
      <c r="H7" s="101">
        <f>+H6+1</f>
        <v>44700</v>
      </c>
      <c r="I7">
        <v>0</v>
      </c>
      <c r="J7" s="103">
        <f>+J6+I7</f>
        <v>1</v>
      </c>
      <c r="L7" s="101">
        <v>44700</v>
      </c>
      <c r="M7">
        <v>0</v>
      </c>
      <c r="N7">
        <f t="shared" ref="N7:N70" si="0">+M7+N6</f>
        <v>1</v>
      </c>
    </row>
    <row r="8" spans="1:14">
      <c r="B8" t="s">
        <v>696</v>
      </c>
      <c r="C8">
        <v>118</v>
      </c>
      <c r="D8">
        <v>132</v>
      </c>
      <c r="E8">
        <v>160</v>
      </c>
      <c r="H8" s="101">
        <v>44701</v>
      </c>
      <c r="I8" s="103">
        <v>1</v>
      </c>
      <c r="J8" s="103">
        <f>+J7+I8</f>
        <v>2</v>
      </c>
      <c r="K8" s="103"/>
      <c r="L8" s="101">
        <v>44701</v>
      </c>
      <c r="M8">
        <v>1</v>
      </c>
      <c r="N8">
        <f t="shared" si="0"/>
        <v>2</v>
      </c>
    </row>
    <row r="9" spans="1:14">
      <c r="B9" t="s">
        <v>695</v>
      </c>
      <c r="C9">
        <v>1</v>
      </c>
      <c r="D9">
        <v>1</v>
      </c>
      <c r="E9">
        <v>1</v>
      </c>
      <c r="H9" s="101">
        <v>44702</v>
      </c>
      <c r="I9" s="103">
        <v>2</v>
      </c>
      <c r="J9" s="103">
        <f t="shared" ref="J9:J40" si="1">+I9+J8</f>
        <v>4</v>
      </c>
      <c r="K9" s="103"/>
      <c r="L9" s="101">
        <v>44702</v>
      </c>
      <c r="M9">
        <v>2</v>
      </c>
      <c r="N9">
        <f t="shared" si="0"/>
        <v>4</v>
      </c>
    </row>
    <row r="10" spans="1:14">
      <c r="B10" t="s">
        <v>694</v>
      </c>
      <c r="C10">
        <v>1</v>
      </c>
      <c r="D10">
        <v>1</v>
      </c>
      <c r="E10">
        <v>1</v>
      </c>
      <c r="H10" s="101">
        <v>44704</v>
      </c>
      <c r="I10" s="103">
        <v>2</v>
      </c>
      <c r="J10" s="103">
        <f t="shared" si="1"/>
        <v>6</v>
      </c>
      <c r="K10" s="103"/>
      <c r="L10" s="101">
        <v>44703</v>
      </c>
      <c r="M10">
        <v>1</v>
      </c>
      <c r="N10">
        <f t="shared" si="0"/>
        <v>5</v>
      </c>
    </row>
    <row r="11" spans="1:14">
      <c r="B11" t="s">
        <v>693</v>
      </c>
      <c r="C11">
        <v>393</v>
      </c>
      <c r="D11">
        <v>393</v>
      </c>
      <c r="E11">
        <v>482</v>
      </c>
      <c r="H11" s="101">
        <v>44705</v>
      </c>
      <c r="I11" s="103">
        <v>2</v>
      </c>
      <c r="J11" s="103">
        <f t="shared" si="1"/>
        <v>8</v>
      </c>
      <c r="K11" s="103"/>
      <c r="L11" s="101">
        <v>44704</v>
      </c>
      <c r="M11">
        <v>4</v>
      </c>
      <c r="N11">
        <f t="shared" si="0"/>
        <v>9</v>
      </c>
    </row>
    <row r="12" spans="1:14">
      <c r="B12" t="s">
        <v>692</v>
      </c>
      <c r="C12">
        <v>3</v>
      </c>
      <c r="D12">
        <v>3</v>
      </c>
      <c r="E12">
        <v>3</v>
      </c>
      <c r="H12" s="101">
        <v>44706</v>
      </c>
      <c r="I12" s="103">
        <v>2</v>
      </c>
      <c r="J12" s="103">
        <f t="shared" si="1"/>
        <v>10</v>
      </c>
      <c r="K12" s="103"/>
      <c r="L12" s="101">
        <v>44705</v>
      </c>
      <c r="M12">
        <v>1</v>
      </c>
      <c r="N12">
        <f t="shared" si="0"/>
        <v>10</v>
      </c>
    </row>
    <row r="13" spans="1:14">
      <c r="B13" t="s">
        <v>691</v>
      </c>
      <c r="C13">
        <v>1</v>
      </c>
      <c r="D13">
        <v>1</v>
      </c>
      <c r="E13">
        <v>1</v>
      </c>
      <c r="H13" s="101">
        <v>44707</v>
      </c>
      <c r="I13" s="103">
        <v>2</v>
      </c>
      <c r="J13" s="103">
        <f t="shared" si="1"/>
        <v>12</v>
      </c>
      <c r="K13" s="103">
        <f>SUM(I5:I13)</f>
        <v>12</v>
      </c>
      <c r="L13" s="101">
        <v>44706</v>
      </c>
      <c r="M13">
        <v>2</v>
      </c>
      <c r="N13">
        <f t="shared" si="0"/>
        <v>12</v>
      </c>
    </row>
    <row r="14" spans="1:14">
      <c r="B14" t="s">
        <v>690</v>
      </c>
      <c r="C14">
        <v>1</v>
      </c>
      <c r="D14">
        <v>1</v>
      </c>
      <c r="E14">
        <v>3</v>
      </c>
      <c r="H14" s="101">
        <v>44708</v>
      </c>
      <c r="I14" s="103">
        <v>1</v>
      </c>
      <c r="J14" s="103">
        <f t="shared" si="1"/>
        <v>13</v>
      </c>
      <c r="K14" s="103">
        <f t="shared" ref="K14:K45" si="2">SUM(I8:I14)</f>
        <v>12</v>
      </c>
      <c r="L14" s="101">
        <v>44707</v>
      </c>
      <c r="M14">
        <v>2</v>
      </c>
      <c r="N14">
        <f t="shared" si="0"/>
        <v>14</v>
      </c>
    </row>
    <row r="15" spans="1:14">
      <c r="E15">
        <v>1</v>
      </c>
      <c r="H15" s="101">
        <v>44710</v>
      </c>
      <c r="I15" s="103">
        <v>2</v>
      </c>
      <c r="J15" s="103">
        <f t="shared" si="1"/>
        <v>15</v>
      </c>
      <c r="K15" s="103">
        <f t="shared" si="2"/>
        <v>13</v>
      </c>
      <c r="L15" s="101">
        <v>44708</v>
      </c>
      <c r="M15">
        <v>3</v>
      </c>
      <c r="N15">
        <f t="shared" si="0"/>
        <v>17</v>
      </c>
    </row>
    <row r="16" spans="1:14">
      <c r="B16" t="s">
        <v>689</v>
      </c>
      <c r="C16">
        <v>696</v>
      </c>
      <c r="D16">
        <v>978</v>
      </c>
      <c r="E16">
        <v>1474</v>
      </c>
      <c r="H16" s="101">
        <v>44712</v>
      </c>
      <c r="I16" s="103">
        <v>3</v>
      </c>
      <c r="J16" s="103">
        <f t="shared" si="1"/>
        <v>18</v>
      </c>
      <c r="K16" s="103">
        <f t="shared" si="2"/>
        <v>14</v>
      </c>
      <c r="L16" s="101">
        <v>44709</v>
      </c>
      <c r="M16">
        <v>0</v>
      </c>
      <c r="N16">
        <f t="shared" si="0"/>
        <v>17</v>
      </c>
    </row>
    <row r="17" spans="2:14">
      <c r="B17" t="s">
        <v>688</v>
      </c>
      <c r="C17">
        <v>4</v>
      </c>
      <c r="D17">
        <v>4</v>
      </c>
      <c r="E17">
        <v>4</v>
      </c>
      <c r="H17" s="101">
        <v>44713</v>
      </c>
      <c r="I17" s="103">
        <v>1</v>
      </c>
      <c r="J17" s="103">
        <f t="shared" si="1"/>
        <v>19</v>
      </c>
      <c r="K17" s="103">
        <f t="shared" si="2"/>
        <v>13</v>
      </c>
      <c r="L17" s="101">
        <v>44710</v>
      </c>
      <c r="M17">
        <v>1</v>
      </c>
      <c r="N17">
        <f t="shared" si="0"/>
        <v>18</v>
      </c>
    </row>
    <row r="18" spans="2:14">
      <c r="B18" t="s">
        <v>687</v>
      </c>
      <c r="C18">
        <v>7</v>
      </c>
      <c r="D18">
        <v>7</v>
      </c>
      <c r="E18">
        <v>7</v>
      </c>
      <c r="H18" s="101">
        <v>44714</v>
      </c>
      <c r="I18" s="103">
        <v>3</v>
      </c>
      <c r="J18" s="103">
        <f t="shared" si="1"/>
        <v>22</v>
      </c>
      <c r="K18" s="103">
        <f t="shared" si="2"/>
        <v>14</v>
      </c>
      <c r="L18" s="101">
        <v>44711</v>
      </c>
      <c r="M18">
        <v>0</v>
      </c>
      <c r="N18">
        <f t="shared" si="0"/>
        <v>18</v>
      </c>
    </row>
    <row r="19" spans="2:14">
      <c r="B19" t="s">
        <v>686</v>
      </c>
      <c r="C19">
        <v>745</v>
      </c>
      <c r="D19">
        <v>803</v>
      </c>
      <c r="E19">
        <v>957</v>
      </c>
      <c r="H19" s="101">
        <v>44715</v>
      </c>
      <c r="I19" s="103">
        <v>4</v>
      </c>
      <c r="J19" s="103">
        <f t="shared" si="1"/>
        <v>26</v>
      </c>
      <c r="K19" s="103">
        <f t="shared" si="2"/>
        <v>16</v>
      </c>
      <c r="L19" s="101">
        <v>44712</v>
      </c>
      <c r="M19">
        <v>3</v>
      </c>
      <c r="N19">
        <f t="shared" si="0"/>
        <v>21</v>
      </c>
    </row>
    <row r="20" spans="2:14">
      <c r="B20" t="s">
        <v>685</v>
      </c>
      <c r="C20">
        <v>8</v>
      </c>
      <c r="D20">
        <v>8</v>
      </c>
      <c r="E20">
        <v>8</v>
      </c>
      <c r="H20" s="101">
        <v>44716</v>
      </c>
      <c r="I20" s="103">
        <v>1</v>
      </c>
      <c r="J20" s="103">
        <f t="shared" si="1"/>
        <v>27</v>
      </c>
      <c r="K20" s="103">
        <f t="shared" si="2"/>
        <v>15</v>
      </c>
      <c r="L20" s="101">
        <v>44713</v>
      </c>
      <c r="M20">
        <v>1</v>
      </c>
      <c r="N20">
        <f t="shared" si="0"/>
        <v>22</v>
      </c>
    </row>
    <row r="21" spans="2:14">
      <c r="B21" t="s">
        <v>684</v>
      </c>
      <c r="C21">
        <v>45</v>
      </c>
      <c r="D21">
        <v>55</v>
      </c>
      <c r="E21">
        <v>69</v>
      </c>
      <c r="H21" s="101">
        <v>44718</v>
      </c>
      <c r="I21" s="103">
        <v>6</v>
      </c>
      <c r="J21" s="103">
        <f t="shared" si="1"/>
        <v>33</v>
      </c>
      <c r="K21" s="103">
        <f t="shared" si="2"/>
        <v>20</v>
      </c>
      <c r="L21" s="101">
        <v>44714</v>
      </c>
      <c r="M21">
        <v>3</v>
      </c>
      <c r="N21">
        <f t="shared" si="0"/>
        <v>25</v>
      </c>
    </row>
    <row r="22" spans="2:14">
      <c r="B22" t="s">
        <v>683</v>
      </c>
      <c r="C22">
        <v>12</v>
      </c>
      <c r="D22">
        <v>12</v>
      </c>
      <c r="E22">
        <v>20</v>
      </c>
      <c r="H22" s="101">
        <v>44719</v>
      </c>
      <c r="I22" s="103">
        <v>2</v>
      </c>
      <c r="J22" s="103">
        <f t="shared" si="1"/>
        <v>35</v>
      </c>
      <c r="K22" s="103">
        <f t="shared" si="2"/>
        <v>20</v>
      </c>
      <c r="L22" s="101">
        <v>44715</v>
      </c>
      <c r="M22">
        <v>6</v>
      </c>
      <c r="N22">
        <f t="shared" si="0"/>
        <v>31</v>
      </c>
    </row>
    <row r="23" spans="2:14">
      <c r="B23" t="s">
        <v>682</v>
      </c>
      <c r="C23">
        <v>3</v>
      </c>
      <c r="D23">
        <v>3</v>
      </c>
      <c r="E23">
        <v>3</v>
      </c>
      <c r="H23" s="101">
        <v>44720</v>
      </c>
      <c r="I23" s="103">
        <v>5</v>
      </c>
      <c r="J23" s="103">
        <f t="shared" si="1"/>
        <v>40</v>
      </c>
      <c r="K23" s="103">
        <f t="shared" si="2"/>
        <v>22</v>
      </c>
      <c r="L23" s="101">
        <v>44716</v>
      </c>
      <c r="M23">
        <v>2</v>
      </c>
      <c r="N23">
        <f t="shared" si="0"/>
        <v>33</v>
      </c>
    </row>
    <row r="24" spans="2:14">
      <c r="B24" t="s">
        <v>681</v>
      </c>
      <c r="C24">
        <v>11</v>
      </c>
      <c r="D24">
        <v>12</v>
      </c>
      <c r="E24">
        <v>12</v>
      </c>
      <c r="H24" s="101">
        <v>44721</v>
      </c>
      <c r="I24" s="103">
        <v>2</v>
      </c>
      <c r="J24" s="103">
        <f t="shared" si="1"/>
        <v>42</v>
      </c>
      <c r="K24" s="103">
        <f t="shared" si="2"/>
        <v>23</v>
      </c>
      <c r="L24" s="101">
        <v>44717</v>
      </c>
      <c r="M24">
        <v>0</v>
      </c>
      <c r="N24">
        <f t="shared" si="0"/>
        <v>33</v>
      </c>
    </row>
    <row r="25" spans="2:14">
      <c r="E25">
        <v>1</v>
      </c>
      <c r="H25" s="101">
        <v>44722</v>
      </c>
      <c r="I25" s="103">
        <v>4</v>
      </c>
      <c r="J25" s="103">
        <f t="shared" si="1"/>
        <v>46</v>
      </c>
      <c r="K25" s="103">
        <f t="shared" si="2"/>
        <v>24</v>
      </c>
      <c r="L25" s="101">
        <v>44718</v>
      </c>
      <c r="M25">
        <v>5</v>
      </c>
      <c r="N25">
        <f t="shared" si="0"/>
        <v>38</v>
      </c>
    </row>
    <row r="26" spans="2:14">
      <c r="B26" t="s">
        <v>680</v>
      </c>
      <c r="C26">
        <v>19</v>
      </c>
      <c r="D26">
        <v>20</v>
      </c>
      <c r="E26">
        <v>28</v>
      </c>
      <c r="H26" s="101">
        <v>44723</v>
      </c>
      <c r="I26" s="103">
        <v>4</v>
      </c>
      <c r="J26" s="103">
        <f t="shared" si="1"/>
        <v>50</v>
      </c>
      <c r="K26" s="103">
        <f t="shared" si="2"/>
        <v>24</v>
      </c>
      <c r="L26" s="101">
        <v>44719</v>
      </c>
      <c r="M26">
        <v>4</v>
      </c>
      <c r="N26">
        <f t="shared" si="0"/>
        <v>42</v>
      </c>
    </row>
    <row r="27" spans="2:14">
      <c r="B27" t="s">
        <v>679</v>
      </c>
      <c r="C27">
        <v>163</v>
      </c>
      <c r="D27">
        <v>163</v>
      </c>
      <c r="E27">
        <v>163</v>
      </c>
      <c r="H27" s="101">
        <v>44724</v>
      </c>
      <c r="I27" s="103">
        <v>2</v>
      </c>
      <c r="J27" s="103">
        <f t="shared" si="1"/>
        <v>52</v>
      </c>
      <c r="K27" s="103">
        <f t="shared" si="2"/>
        <v>25</v>
      </c>
      <c r="L27" s="101">
        <v>44720</v>
      </c>
      <c r="M27">
        <v>6</v>
      </c>
      <c r="N27">
        <f t="shared" si="0"/>
        <v>48</v>
      </c>
    </row>
    <row r="28" spans="2:14">
      <c r="B28" t="s">
        <v>678</v>
      </c>
      <c r="C28">
        <v>76</v>
      </c>
      <c r="D28">
        <v>99</v>
      </c>
      <c r="E28">
        <v>114</v>
      </c>
      <c r="H28" s="101">
        <v>44725</v>
      </c>
      <c r="I28" s="103">
        <v>2</v>
      </c>
      <c r="J28" s="103">
        <f t="shared" si="1"/>
        <v>54</v>
      </c>
      <c r="K28" s="103">
        <f t="shared" si="2"/>
        <v>21</v>
      </c>
      <c r="L28" s="101">
        <v>44721</v>
      </c>
      <c r="M28">
        <v>7</v>
      </c>
      <c r="N28">
        <f t="shared" si="0"/>
        <v>55</v>
      </c>
    </row>
    <row r="29" spans="2:14">
      <c r="B29" t="s">
        <v>677</v>
      </c>
      <c r="C29">
        <v>3</v>
      </c>
      <c r="D29">
        <v>3</v>
      </c>
      <c r="E29">
        <v>4</v>
      </c>
      <c r="H29" s="101">
        <v>44726</v>
      </c>
      <c r="I29" s="103">
        <v>11</v>
      </c>
      <c r="J29" s="103">
        <f t="shared" si="1"/>
        <v>65</v>
      </c>
      <c r="K29" s="103">
        <f t="shared" si="2"/>
        <v>30</v>
      </c>
      <c r="L29" s="101">
        <v>44722</v>
      </c>
      <c r="M29">
        <v>4</v>
      </c>
      <c r="N29">
        <f t="shared" si="0"/>
        <v>59</v>
      </c>
    </row>
    <row r="30" spans="2:14">
      <c r="B30" t="s">
        <v>676</v>
      </c>
      <c r="C30">
        <v>3</v>
      </c>
      <c r="D30">
        <v>3</v>
      </c>
      <c r="E30">
        <v>6</v>
      </c>
      <c r="H30" s="101">
        <v>44727</v>
      </c>
      <c r="I30" s="103">
        <v>7</v>
      </c>
      <c r="J30" s="103">
        <f t="shared" si="1"/>
        <v>72</v>
      </c>
      <c r="K30" s="103">
        <f t="shared" si="2"/>
        <v>32</v>
      </c>
      <c r="L30" s="101">
        <v>44723</v>
      </c>
      <c r="M30">
        <v>2</v>
      </c>
      <c r="N30">
        <f t="shared" si="0"/>
        <v>61</v>
      </c>
    </row>
    <row r="31" spans="2:14">
      <c r="B31" t="s">
        <v>675</v>
      </c>
      <c r="C31">
        <v>5</v>
      </c>
      <c r="D31">
        <v>6</v>
      </c>
      <c r="E31">
        <v>9</v>
      </c>
      <c r="H31" s="101">
        <v>44728</v>
      </c>
      <c r="I31" s="103">
        <v>13</v>
      </c>
      <c r="J31" s="103">
        <f t="shared" si="1"/>
        <v>85</v>
      </c>
      <c r="K31" s="103">
        <f t="shared" si="2"/>
        <v>43</v>
      </c>
      <c r="L31" s="101">
        <v>44724</v>
      </c>
      <c r="M31">
        <v>5</v>
      </c>
      <c r="N31">
        <f t="shared" si="0"/>
        <v>66</v>
      </c>
    </row>
    <row r="32" spans="2:14">
      <c r="B32" t="s">
        <v>674</v>
      </c>
      <c r="C32">
        <v>17</v>
      </c>
      <c r="D32">
        <v>17</v>
      </c>
      <c r="E32">
        <v>22</v>
      </c>
      <c r="H32" s="101">
        <v>44729</v>
      </c>
      <c r="I32" s="103">
        <v>4</v>
      </c>
      <c r="J32" s="103">
        <f t="shared" si="1"/>
        <v>89</v>
      </c>
      <c r="K32" s="103">
        <f t="shared" si="2"/>
        <v>43</v>
      </c>
      <c r="L32" s="101">
        <v>44725</v>
      </c>
      <c r="M32">
        <v>3</v>
      </c>
      <c r="N32">
        <f t="shared" si="0"/>
        <v>69</v>
      </c>
    </row>
    <row r="33" spans="2:15">
      <c r="B33" t="s">
        <v>673</v>
      </c>
      <c r="C33">
        <v>1837</v>
      </c>
      <c r="D33">
        <v>1955</v>
      </c>
      <c r="E33">
        <v>2423</v>
      </c>
      <c r="H33" s="101">
        <v>44730</v>
      </c>
      <c r="I33" s="103">
        <v>11</v>
      </c>
      <c r="J33" s="103">
        <f t="shared" si="1"/>
        <v>100</v>
      </c>
      <c r="K33" s="103">
        <f t="shared" si="2"/>
        <v>50</v>
      </c>
      <c r="L33" s="101">
        <v>44726</v>
      </c>
      <c r="M33">
        <v>15</v>
      </c>
      <c r="N33">
        <f t="shared" si="0"/>
        <v>84</v>
      </c>
    </row>
    <row r="34" spans="2:15">
      <c r="B34" t="s">
        <v>672</v>
      </c>
      <c r="C34">
        <v>1</v>
      </c>
      <c r="D34">
        <v>1</v>
      </c>
      <c r="E34">
        <v>1</v>
      </c>
      <c r="H34" s="101">
        <v>44731</v>
      </c>
      <c r="I34" s="103">
        <v>5</v>
      </c>
      <c r="J34" s="103">
        <f t="shared" si="1"/>
        <v>105</v>
      </c>
      <c r="K34" s="103">
        <f t="shared" si="2"/>
        <v>53</v>
      </c>
      <c r="L34" s="101">
        <v>44727</v>
      </c>
      <c r="M34">
        <v>10</v>
      </c>
      <c r="N34">
        <f t="shared" si="0"/>
        <v>94</v>
      </c>
    </row>
    <row r="35" spans="2:15">
      <c r="B35" t="s">
        <v>671</v>
      </c>
      <c r="C35">
        <v>2540</v>
      </c>
      <c r="D35">
        <v>2677</v>
      </c>
      <c r="E35">
        <v>2887</v>
      </c>
      <c r="H35" s="101">
        <v>44732</v>
      </c>
      <c r="I35" s="103">
        <v>7</v>
      </c>
      <c r="J35" s="103">
        <f t="shared" si="1"/>
        <v>112</v>
      </c>
      <c r="K35" s="103">
        <f t="shared" si="2"/>
        <v>58</v>
      </c>
      <c r="L35" s="101">
        <v>44728</v>
      </c>
      <c r="M35">
        <v>17</v>
      </c>
      <c r="N35">
        <f t="shared" si="0"/>
        <v>111</v>
      </c>
    </row>
    <row r="36" spans="2:15">
      <c r="B36" t="s">
        <v>670</v>
      </c>
      <c r="C36">
        <v>30</v>
      </c>
      <c r="D36">
        <v>30</v>
      </c>
      <c r="E36">
        <v>30</v>
      </c>
      <c r="H36" s="101">
        <v>44733</v>
      </c>
      <c r="I36" s="103">
        <v>15</v>
      </c>
      <c r="J36" s="103">
        <f t="shared" si="1"/>
        <v>127</v>
      </c>
      <c r="K36" s="103">
        <f t="shared" si="2"/>
        <v>62</v>
      </c>
      <c r="L36" s="101">
        <v>44729</v>
      </c>
      <c r="M36">
        <v>8</v>
      </c>
      <c r="N36">
        <f t="shared" si="0"/>
        <v>119</v>
      </c>
    </row>
    <row r="37" spans="2:15">
      <c r="B37" t="s">
        <v>669</v>
      </c>
      <c r="C37">
        <v>5</v>
      </c>
      <c r="D37">
        <v>5</v>
      </c>
      <c r="E37">
        <v>5</v>
      </c>
      <c r="H37" s="101">
        <v>44734</v>
      </c>
      <c r="I37" s="103">
        <v>19</v>
      </c>
      <c r="J37" s="103">
        <f t="shared" si="1"/>
        <v>146</v>
      </c>
      <c r="K37" s="103">
        <f t="shared" si="2"/>
        <v>74</v>
      </c>
      <c r="L37" s="101">
        <v>44730</v>
      </c>
      <c r="M37">
        <v>9</v>
      </c>
      <c r="N37">
        <f t="shared" si="0"/>
        <v>128</v>
      </c>
    </row>
    <row r="38" spans="2:15">
      <c r="B38" t="s">
        <v>668</v>
      </c>
      <c r="C38">
        <v>32</v>
      </c>
      <c r="D38">
        <v>32</v>
      </c>
      <c r="E38">
        <v>39</v>
      </c>
      <c r="H38" s="101">
        <v>44735</v>
      </c>
      <c r="I38" s="103">
        <v>19</v>
      </c>
      <c r="J38" s="103">
        <f t="shared" si="1"/>
        <v>165</v>
      </c>
      <c r="K38" s="103">
        <f t="shared" si="2"/>
        <v>80</v>
      </c>
      <c r="L38" s="101">
        <v>44731</v>
      </c>
      <c r="M38">
        <v>4</v>
      </c>
      <c r="N38">
        <f t="shared" si="0"/>
        <v>132</v>
      </c>
      <c r="O38" s="103">
        <f t="shared" ref="O38:O55" si="3">AVERAGE(M32:M38)</f>
        <v>9.4285714285714288</v>
      </c>
    </row>
    <row r="39" spans="2:15">
      <c r="E39">
        <v>1</v>
      </c>
      <c r="H39" s="101">
        <v>44736</v>
      </c>
      <c r="I39" s="103">
        <v>35</v>
      </c>
      <c r="J39" s="103">
        <f t="shared" si="1"/>
        <v>200</v>
      </c>
      <c r="K39" s="103">
        <f t="shared" si="2"/>
        <v>111</v>
      </c>
      <c r="L39" s="101">
        <v>44732</v>
      </c>
      <c r="M39">
        <v>11</v>
      </c>
      <c r="N39">
        <f t="shared" si="0"/>
        <v>143</v>
      </c>
      <c r="O39" s="103">
        <f t="shared" si="3"/>
        <v>10.571428571428571</v>
      </c>
    </row>
    <row r="40" spans="2:15">
      <c r="E40">
        <v>1</v>
      </c>
      <c r="H40" s="101">
        <v>44737</v>
      </c>
      <c r="I40" s="103">
        <v>12</v>
      </c>
      <c r="J40" s="103">
        <f t="shared" si="1"/>
        <v>212</v>
      </c>
      <c r="K40" s="103">
        <f t="shared" si="2"/>
        <v>112</v>
      </c>
      <c r="L40" s="101">
        <v>44733</v>
      </c>
      <c r="M40">
        <v>14</v>
      </c>
      <c r="N40">
        <f t="shared" si="0"/>
        <v>157</v>
      </c>
      <c r="O40" s="103">
        <f t="shared" si="3"/>
        <v>10.428571428571429</v>
      </c>
    </row>
    <row r="41" spans="2:15">
      <c r="B41" t="s">
        <v>667</v>
      </c>
      <c r="C41">
        <v>37</v>
      </c>
      <c r="D41">
        <v>39</v>
      </c>
      <c r="E41">
        <v>48</v>
      </c>
      <c r="H41" s="101">
        <v>44738</v>
      </c>
      <c r="I41" s="103">
        <v>12</v>
      </c>
      <c r="J41" s="103">
        <f t="shared" ref="J41:J72" si="4">+I41+J40</f>
        <v>224</v>
      </c>
      <c r="K41" s="103">
        <f t="shared" si="2"/>
        <v>119</v>
      </c>
      <c r="L41" s="101">
        <v>44734</v>
      </c>
      <c r="M41">
        <v>20</v>
      </c>
      <c r="N41">
        <f t="shared" si="0"/>
        <v>177</v>
      </c>
      <c r="O41" s="103">
        <f t="shared" si="3"/>
        <v>11.857142857142858</v>
      </c>
    </row>
    <row r="42" spans="2:15">
      <c r="B42" t="s">
        <v>666</v>
      </c>
      <c r="C42">
        <v>9</v>
      </c>
      <c r="D42">
        <v>9</v>
      </c>
      <c r="E42">
        <v>11</v>
      </c>
      <c r="H42" s="101">
        <v>44739</v>
      </c>
      <c r="I42" s="103">
        <v>53</v>
      </c>
      <c r="J42" s="103">
        <f t="shared" si="4"/>
        <v>277</v>
      </c>
      <c r="K42" s="103">
        <f t="shared" si="2"/>
        <v>165</v>
      </c>
      <c r="L42" s="101">
        <v>44735</v>
      </c>
      <c r="M42">
        <v>20</v>
      </c>
      <c r="N42">
        <f t="shared" si="0"/>
        <v>197</v>
      </c>
      <c r="O42" s="103">
        <f t="shared" si="3"/>
        <v>12.285714285714286</v>
      </c>
    </row>
    <row r="43" spans="2:15">
      <c r="B43" t="s">
        <v>665</v>
      </c>
      <c r="C43">
        <v>4</v>
      </c>
      <c r="D43">
        <v>4</v>
      </c>
      <c r="E43">
        <v>6</v>
      </c>
      <c r="H43" s="101">
        <v>44740</v>
      </c>
      <c r="I43" s="103">
        <v>30</v>
      </c>
      <c r="J43" s="103">
        <f t="shared" si="4"/>
        <v>307</v>
      </c>
      <c r="K43" s="103">
        <f t="shared" si="2"/>
        <v>180</v>
      </c>
      <c r="L43" s="101">
        <v>44736</v>
      </c>
      <c r="M43">
        <v>48</v>
      </c>
      <c r="N43">
        <f t="shared" si="0"/>
        <v>245</v>
      </c>
      <c r="O43" s="103">
        <f t="shared" si="3"/>
        <v>18</v>
      </c>
    </row>
    <row r="44" spans="2:15">
      <c r="B44" t="s">
        <v>664</v>
      </c>
      <c r="C44">
        <v>85</v>
      </c>
      <c r="D44">
        <v>85</v>
      </c>
      <c r="E44">
        <v>97</v>
      </c>
      <c r="H44" s="101">
        <v>44741</v>
      </c>
      <c r="I44" s="103">
        <v>42</v>
      </c>
      <c r="J44" s="103">
        <f t="shared" si="4"/>
        <v>349</v>
      </c>
      <c r="K44" s="103">
        <f t="shared" si="2"/>
        <v>203</v>
      </c>
      <c r="L44" s="101">
        <v>44737</v>
      </c>
      <c r="M44">
        <v>12</v>
      </c>
      <c r="N44">
        <f t="shared" si="0"/>
        <v>257</v>
      </c>
      <c r="O44" s="103">
        <f t="shared" si="3"/>
        <v>18.428571428571427</v>
      </c>
    </row>
    <row r="45" spans="2:15">
      <c r="B45" t="s">
        <v>663</v>
      </c>
      <c r="C45">
        <v>133</v>
      </c>
      <c r="D45">
        <v>146</v>
      </c>
      <c r="E45">
        <v>160</v>
      </c>
      <c r="H45" s="101">
        <v>44742</v>
      </c>
      <c r="I45" s="103">
        <v>57</v>
      </c>
      <c r="J45" s="103">
        <f t="shared" si="4"/>
        <v>406</v>
      </c>
      <c r="K45" s="103">
        <f t="shared" si="2"/>
        <v>241</v>
      </c>
      <c r="L45" s="101">
        <v>44738</v>
      </c>
      <c r="M45">
        <v>9</v>
      </c>
      <c r="N45">
        <f t="shared" si="0"/>
        <v>266</v>
      </c>
      <c r="O45" s="103">
        <f t="shared" si="3"/>
        <v>19.142857142857142</v>
      </c>
    </row>
    <row r="46" spans="2:15">
      <c r="B46" t="s">
        <v>662</v>
      </c>
      <c r="C46">
        <v>426</v>
      </c>
      <c r="D46">
        <v>479</v>
      </c>
      <c r="E46">
        <v>545</v>
      </c>
      <c r="H46" s="101">
        <v>44743</v>
      </c>
      <c r="I46" s="103">
        <v>52</v>
      </c>
      <c r="J46" s="103">
        <f t="shared" si="4"/>
        <v>458</v>
      </c>
      <c r="K46" s="103">
        <f t="shared" ref="K46:K77" si="5">SUM(I40:I46)</f>
        <v>258</v>
      </c>
      <c r="L46" s="101">
        <v>44739</v>
      </c>
      <c r="M46">
        <v>60</v>
      </c>
      <c r="N46">
        <f t="shared" si="0"/>
        <v>326</v>
      </c>
      <c r="O46" s="103">
        <f t="shared" si="3"/>
        <v>26.142857142857142</v>
      </c>
    </row>
    <row r="47" spans="2:15">
      <c r="B47" t="s">
        <v>661</v>
      </c>
      <c r="C47">
        <v>2</v>
      </c>
      <c r="D47">
        <v>2</v>
      </c>
      <c r="E47">
        <v>2</v>
      </c>
      <c r="H47" s="101">
        <v>44744</v>
      </c>
      <c r="I47" s="103">
        <v>16</v>
      </c>
      <c r="J47" s="103">
        <f t="shared" si="4"/>
        <v>474</v>
      </c>
      <c r="K47" s="103">
        <f t="shared" si="5"/>
        <v>262</v>
      </c>
      <c r="L47" s="101">
        <v>44740</v>
      </c>
      <c r="M47">
        <v>40</v>
      </c>
      <c r="N47">
        <f t="shared" si="0"/>
        <v>366</v>
      </c>
      <c r="O47" s="103">
        <f t="shared" si="3"/>
        <v>29.857142857142858</v>
      </c>
    </row>
    <row r="48" spans="2:15">
      <c r="B48" t="s">
        <v>660</v>
      </c>
      <c r="C48">
        <v>2</v>
      </c>
      <c r="D48">
        <v>2</v>
      </c>
      <c r="E48">
        <v>2</v>
      </c>
      <c r="H48" s="101">
        <v>44745</v>
      </c>
      <c r="I48" s="103">
        <v>11</v>
      </c>
      <c r="J48" s="103">
        <f t="shared" si="4"/>
        <v>485</v>
      </c>
      <c r="K48" s="103">
        <f t="shared" si="5"/>
        <v>261</v>
      </c>
      <c r="L48" s="101">
        <v>44741</v>
      </c>
      <c r="M48">
        <v>42</v>
      </c>
      <c r="N48">
        <f t="shared" si="0"/>
        <v>408</v>
      </c>
      <c r="O48" s="103">
        <f t="shared" si="3"/>
        <v>33</v>
      </c>
    </row>
    <row r="49" spans="2:15">
      <c r="B49" t="s">
        <v>659</v>
      </c>
      <c r="C49">
        <v>3</v>
      </c>
      <c r="D49">
        <v>3</v>
      </c>
      <c r="E49">
        <v>3</v>
      </c>
      <c r="H49" s="101">
        <v>44746</v>
      </c>
      <c r="I49" s="103">
        <v>7</v>
      </c>
      <c r="J49" s="103">
        <f t="shared" si="4"/>
        <v>492</v>
      </c>
      <c r="K49" s="103">
        <f t="shared" si="5"/>
        <v>215</v>
      </c>
      <c r="L49" s="101">
        <v>44742</v>
      </c>
      <c r="M49">
        <v>57</v>
      </c>
      <c r="N49">
        <f t="shared" si="0"/>
        <v>465</v>
      </c>
      <c r="O49" s="103">
        <f t="shared" si="3"/>
        <v>38.285714285714285</v>
      </c>
    </row>
    <row r="50" spans="2:15">
      <c r="B50" t="s">
        <v>658</v>
      </c>
      <c r="C50">
        <v>4</v>
      </c>
      <c r="D50">
        <v>4</v>
      </c>
      <c r="E50">
        <v>6</v>
      </c>
      <c r="H50" s="101">
        <v>44747</v>
      </c>
      <c r="I50" s="103">
        <v>37</v>
      </c>
      <c r="J50" s="103">
        <f t="shared" si="4"/>
        <v>529</v>
      </c>
      <c r="K50" s="103">
        <f t="shared" si="5"/>
        <v>222</v>
      </c>
      <c r="L50" s="101">
        <v>44743</v>
      </c>
      <c r="M50">
        <v>54</v>
      </c>
      <c r="N50">
        <f t="shared" si="0"/>
        <v>519</v>
      </c>
      <c r="O50" s="103">
        <f t="shared" si="3"/>
        <v>39.142857142857146</v>
      </c>
    </row>
    <row r="51" spans="2:15">
      <c r="B51" t="s">
        <v>657</v>
      </c>
      <c r="C51">
        <v>1</v>
      </c>
      <c r="D51">
        <v>1</v>
      </c>
      <c r="E51">
        <v>2</v>
      </c>
      <c r="H51" s="101">
        <v>44748</v>
      </c>
      <c r="I51" s="103">
        <v>45</v>
      </c>
      <c r="J51" s="103">
        <f t="shared" si="4"/>
        <v>574</v>
      </c>
      <c r="K51" s="103">
        <f t="shared" si="5"/>
        <v>225</v>
      </c>
      <c r="L51" s="101">
        <v>44744</v>
      </c>
      <c r="M51">
        <v>15</v>
      </c>
      <c r="N51">
        <f t="shared" si="0"/>
        <v>534</v>
      </c>
      <c r="O51" s="103">
        <f t="shared" si="3"/>
        <v>39.571428571428569</v>
      </c>
    </row>
    <row r="52" spans="2:15">
      <c r="E52">
        <v>3</v>
      </c>
      <c r="H52" s="101">
        <v>44749</v>
      </c>
      <c r="I52" s="103">
        <v>52</v>
      </c>
      <c r="J52" s="103">
        <f t="shared" si="4"/>
        <v>626</v>
      </c>
      <c r="K52" s="103">
        <f t="shared" si="5"/>
        <v>220</v>
      </c>
      <c r="L52" s="101">
        <v>44745</v>
      </c>
      <c r="M52">
        <v>8</v>
      </c>
      <c r="N52">
        <f t="shared" si="0"/>
        <v>542</v>
      </c>
      <c r="O52" s="103">
        <f t="shared" si="3"/>
        <v>39.428571428571431</v>
      </c>
    </row>
    <row r="53" spans="2:15">
      <c r="B53" t="s">
        <v>656</v>
      </c>
      <c r="C53">
        <v>23</v>
      </c>
      <c r="D53">
        <v>30</v>
      </c>
      <c r="E53">
        <v>32</v>
      </c>
      <c r="H53" s="101">
        <v>44750</v>
      </c>
      <c r="I53" s="103">
        <v>37</v>
      </c>
      <c r="J53" s="103">
        <f t="shared" si="4"/>
        <v>663</v>
      </c>
      <c r="K53" s="103">
        <f t="shared" si="5"/>
        <v>205</v>
      </c>
      <c r="L53" s="101">
        <v>44746</v>
      </c>
      <c r="M53">
        <v>24</v>
      </c>
      <c r="N53">
        <f t="shared" si="0"/>
        <v>566</v>
      </c>
      <c r="O53" s="103">
        <f t="shared" si="3"/>
        <v>34.285714285714285</v>
      </c>
    </row>
    <row r="54" spans="2:15">
      <c r="B54" t="s">
        <v>655</v>
      </c>
      <c r="C54">
        <v>17</v>
      </c>
      <c r="D54">
        <v>17</v>
      </c>
      <c r="E54">
        <v>17</v>
      </c>
      <c r="H54" s="101">
        <v>44751</v>
      </c>
      <c r="I54" s="103">
        <v>37</v>
      </c>
      <c r="J54" s="103">
        <f t="shared" si="4"/>
        <v>700</v>
      </c>
      <c r="K54" s="103">
        <f t="shared" si="5"/>
        <v>226</v>
      </c>
      <c r="L54" s="101">
        <v>44747</v>
      </c>
      <c r="M54">
        <v>36</v>
      </c>
      <c r="N54">
        <f t="shared" si="0"/>
        <v>602</v>
      </c>
      <c r="O54" s="103">
        <f t="shared" si="3"/>
        <v>33.714285714285715</v>
      </c>
    </row>
    <row r="55" spans="2:15">
      <c r="B55" t="s">
        <v>654</v>
      </c>
      <c r="C55">
        <v>1</v>
      </c>
      <c r="D55">
        <v>1</v>
      </c>
      <c r="E55">
        <v>1</v>
      </c>
      <c r="H55" s="101">
        <v>44752</v>
      </c>
      <c r="I55" s="103">
        <v>7</v>
      </c>
      <c r="J55" s="103">
        <f t="shared" si="4"/>
        <v>707</v>
      </c>
      <c r="K55" s="103">
        <f t="shared" si="5"/>
        <v>222</v>
      </c>
      <c r="L55" s="101">
        <v>44748</v>
      </c>
      <c r="M55">
        <v>46</v>
      </c>
      <c r="N55">
        <f t="shared" si="0"/>
        <v>648</v>
      </c>
      <c r="O55" s="103">
        <f t="shared" si="3"/>
        <v>34.285714285714285</v>
      </c>
    </row>
    <row r="56" spans="2:15">
      <c r="B56" t="s">
        <v>653</v>
      </c>
      <c r="C56">
        <v>59</v>
      </c>
      <c r="D56">
        <v>59</v>
      </c>
      <c r="E56">
        <v>91</v>
      </c>
      <c r="H56" s="101">
        <v>44753</v>
      </c>
      <c r="I56" s="103">
        <v>100</v>
      </c>
      <c r="J56" s="103">
        <f t="shared" si="4"/>
        <v>807</v>
      </c>
      <c r="K56" s="103">
        <f t="shared" si="5"/>
        <v>315</v>
      </c>
      <c r="L56" s="101">
        <v>44749</v>
      </c>
      <c r="M56">
        <v>53</v>
      </c>
      <c r="N56">
        <f t="shared" si="0"/>
        <v>701</v>
      </c>
      <c r="O56" s="103">
        <f t="shared" ref="O56:O82" si="6">AVERAGE(M50:M56)</f>
        <v>33.714285714285715</v>
      </c>
    </row>
    <row r="57" spans="2:15">
      <c r="B57" t="s">
        <v>652</v>
      </c>
      <c r="C57">
        <v>1</v>
      </c>
      <c r="D57">
        <v>1</v>
      </c>
      <c r="E57">
        <v>1</v>
      </c>
      <c r="H57" s="101">
        <v>44754</v>
      </c>
      <c r="I57" s="103">
        <v>212</v>
      </c>
      <c r="J57" s="103">
        <f t="shared" si="4"/>
        <v>1019</v>
      </c>
      <c r="K57" s="103">
        <f t="shared" si="5"/>
        <v>490</v>
      </c>
      <c r="L57" s="101">
        <v>44750</v>
      </c>
      <c r="M57">
        <v>36</v>
      </c>
      <c r="N57">
        <f t="shared" si="0"/>
        <v>737</v>
      </c>
      <c r="O57" s="103">
        <f t="shared" si="6"/>
        <v>31.142857142857142</v>
      </c>
    </row>
    <row r="58" spans="2:15">
      <c r="E58">
        <v>1</v>
      </c>
      <c r="H58" s="101">
        <v>44755</v>
      </c>
      <c r="I58" s="103">
        <v>140</v>
      </c>
      <c r="J58" s="103">
        <f t="shared" si="4"/>
        <v>1159</v>
      </c>
      <c r="K58" s="103">
        <f t="shared" si="5"/>
        <v>585</v>
      </c>
      <c r="L58" s="101">
        <v>44751</v>
      </c>
      <c r="M58">
        <v>41</v>
      </c>
      <c r="N58">
        <f t="shared" si="0"/>
        <v>778</v>
      </c>
      <c r="O58" s="103">
        <f t="shared" si="6"/>
        <v>34.857142857142854</v>
      </c>
    </row>
    <row r="59" spans="2:15">
      <c r="B59" t="s">
        <v>651</v>
      </c>
      <c r="C59">
        <v>878</v>
      </c>
      <c r="D59">
        <v>925</v>
      </c>
      <c r="E59">
        <v>959</v>
      </c>
      <c r="H59" s="101">
        <v>44756</v>
      </c>
      <c r="I59" s="103">
        <v>216</v>
      </c>
      <c r="J59" s="103">
        <f t="shared" si="4"/>
        <v>1375</v>
      </c>
      <c r="K59" s="103">
        <f t="shared" si="5"/>
        <v>749</v>
      </c>
      <c r="L59" s="101">
        <v>44752</v>
      </c>
      <c r="M59">
        <v>7</v>
      </c>
      <c r="N59">
        <f t="shared" si="0"/>
        <v>785</v>
      </c>
      <c r="O59" s="103">
        <f t="shared" si="6"/>
        <v>34.714285714285715</v>
      </c>
    </row>
    <row r="60" spans="2:15">
      <c r="B60" t="s">
        <v>650</v>
      </c>
      <c r="C60">
        <v>1</v>
      </c>
      <c r="D60">
        <v>1</v>
      </c>
      <c r="E60">
        <v>1</v>
      </c>
      <c r="H60" s="101">
        <v>44757</v>
      </c>
      <c r="I60" s="103">
        <v>159</v>
      </c>
      <c r="J60" s="103">
        <f t="shared" si="4"/>
        <v>1534</v>
      </c>
      <c r="K60" s="103">
        <f t="shared" si="5"/>
        <v>871</v>
      </c>
      <c r="L60" s="101">
        <v>44753</v>
      </c>
      <c r="M60">
        <v>95</v>
      </c>
      <c r="N60">
        <f t="shared" si="0"/>
        <v>880</v>
      </c>
      <c r="O60" s="103">
        <f t="shared" si="6"/>
        <v>44.857142857142854</v>
      </c>
    </row>
    <row r="61" spans="2:15">
      <c r="B61" t="s">
        <v>649</v>
      </c>
      <c r="C61">
        <v>2</v>
      </c>
      <c r="D61">
        <v>2</v>
      </c>
      <c r="E61">
        <v>3</v>
      </c>
      <c r="H61" s="101">
        <v>44758</v>
      </c>
      <c r="I61" s="103">
        <v>7</v>
      </c>
      <c r="J61" s="103">
        <f t="shared" si="4"/>
        <v>1541</v>
      </c>
      <c r="K61" s="103">
        <f t="shared" si="5"/>
        <v>841</v>
      </c>
      <c r="L61" s="101">
        <v>44754</v>
      </c>
      <c r="M61">
        <v>157</v>
      </c>
      <c r="N61">
        <f t="shared" si="0"/>
        <v>1037</v>
      </c>
      <c r="O61" s="103">
        <f t="shared" si="6"/>
        <v>62.142857142857146</v>
      </c>
    </row>
    <row r="62" spans="2:15">
      <c r="B62" t="s">
        <v>648</v>
      </c>
      <c r="C62">
        <v>133</v>
      </c>
      <c r="D62">
        <v>133</v>
      </c>
      <c r="E62">
        <v>133</v>
      </c>
      <c r="H62" s="101">
        <v>44759</v>
      </c>
      <c r="I62" s="103">
        <v>1</v>
      </c>
      <c r="J62" s="103">
        <f t="shared" si="4"/>
        <v>1542</v>
      </c>
      <c r="K62" s="103">
        <f t="shared" si="5"/>
        <v>835</v>
      </c>
      <c r="L62" s="101">
        <v>44755</v>
      </c>
      <c r="M62">
        <v>141</v>
      </c>
      <c r="N62">
        <f t="shared" si="0"/>
        <v>1178</v>
      </c>
      <c r="O62" s="103">
        <f t="shared" si="6"/>
        <v>75.714285714285708</v>
      </c>
    </row>
    <row r="63" spans="2:15">
      <c r="B63" t="s">
        <v>647</v>
      </c>
      <c r="C63">
        <v>51</v>
      </c>
      <c r="D63">
        <v>55</v>
      </c>
      <c r="E63">
        <v>64</v>
      </c>
      <c r="H63" s="101">
        <v>44760</v>
      </c>
      <c r="I63" s="103">
        <v>195</v>
      </c>
      <c r="J63" s="103">
        <f t="shared" si="4"/>
        <v>1737</v>
      </c>
      <c r="K63" s="103">
        <f t="shared" si="5"/>
        <v>930</v>
      </c>
      <c r="L63" s="101">
        <v>44756</v>
      </c>
      <c r="M63">
        <v>209</v>
      </c>
      <c r="N63">
        <f t="shared" si="0"/>
        <v>1387</v>
      </c>
      <c r="O63" s="103">
        <f t="shared" si="6"/>
        <v>98</v>
      </c>
    </row>
    <row r="64" spans="2:15">
      <c r="B64" t="s">
        <v>646</v>
      </c>
      <c r="C64">
        <v>1</v>
      </c>
      <c r="D64">
        <v>1</v>
      </c>
      <c r="E64">
        <v>1</v>
      </c>
      <c r="H64" s="101">
        <v>44761</v>
      </c>
      <c r="I64" s="103">
        <v>301</v>
      </c>
      <c r="J64" s="103">
        <f t="shared" si="4"/>
        <v>2038</v>
      </c>
      <c r="K64" s="103">
        <f t="shared" si="5"/>
        <v>1019</v>
      </c>
      <c r="L64" s="101">
        <v>44757</v>
      </c>
      <c r="M64">
        <v>152</v>
      </c>
      <c r="N64">
        <f t="shared" si="0"/>
        <v>1539</v>
      </c>
      <c r="O64" s="103">
        <f t="shared" si="6"/>
        <v>114.57142857142857</v>
      </c>
    </row>
    <row r="65" spans="2:15">
      <c r="B65" t="s">
        <v>645</v>
      </c>
      <c r="C65">
        <v>251</v>
      </c>
      <c r="D65">
        <v>305</v>
      </c>
      <c r="E65">
        <v>340</v>
      </c>
      <c r="H65" s="101">
        <v>44762</v>
      </c>
      <c r="I65" s="103">
        <v>256</v>
      </c>
      <c r="J65" s="103">
        <f t="shared" si="4"/>
        <v>2294</v>
      </c>
      <c r="K65" s="103">
        <f t="shared" si="5"/>
        <v>1135</v>
      </c>
      <c r="L65" s="101">
        <v>44758</v>
      </c>
      <c r="M65">
        <v>7</v>
      </c>
      <c r="N65">
        <f t="shared" si="0"/>
        <v>1546</v>
      </c>
      <c r="O65" s="103">
        <f t="shared" si="6"/>
        <v>109.71428571428571</v>
      </c>
    </row>
    <row r="66" spans="2:15">
      <c r="D66">
        <v>1</v>
      </c>
      <c r="E66">
        <v>1</v>
      </c>
      <c r="H66" s="101">
        <v>44763</v>
      </c>
      <c r="I66" s="103">
        <v>184</v>
      </c>
      <c r="J66" s="103">
        <f t="shared" si="4"/>
        <v>2478</v>
      </c>
      <c r="K66" s="103">
        <f t="shared" si="5"/>
        <v>1103</v>
      </c>
      <c r="L66" s="101">
        <v>44759</v>
      </c>
      <c r="M66">
        <v>1</v>
      </c>
      <c r="N66">
        <f t="shared" si="0"/>
        <v>1547</v>
      </c>
      <c r="O66" s="103">
        <f t="shared" si="6"/>
        <v>108.85714285714286</v>
      </c>
    </row>
    <row r="67" spans="2:15">
      <c r="B67" t="s">
        <v>644</v>
      </c>
      <c r="C67">
        <v>53</v>
      </c>
      <c r="D67">
        <v>59</v>
      </c>
      <c r="E67">
        <v>76</v>
      </c>
      <c r="H67" s="101">
        <v>44764</v>
      </c>
      <c r="I67" s="103">
        <v>308</v>
      </c>
      <c r="J67" s="103">
        <f t="shared" si="4"/>
        <v>2786</v>
      </c>
      <c r="K67" s="103">
        <f t="shared" si="5"/>
        <v>1252</v>
      </c>
      <c r="L67" s="101">
        <v>44760</v>
      </c>
      <c r="M67">
        <v>168</v>
      </c>
      <c r="N67">
        <f t="shared" si="0"/>
        <v>1715</v>
      </c>
      <c r="O67" s="103">
        <f t="shared" si="6"/>
        <v>119.28571428571429</v>
      </c>
    </row>
    <row r="68" spans="2:15">
      <c r="B68" t="s">
        <v>643</v>
      </c>
      <c r="C68">
        <v>588</v>
      </c>
      <c r="D68">
        <v>633</v>
      </c>
      <c r="E68">
        <v>710</v>
      </c>
      <c r="H68" s="101">
        <v>44765</v>
      </c>
      <c r="I68" s="103">
        <v>9</v>
      </c>
      <c r="J68" s="103">
        <f t="shared" si="4"/>
        <v>2795</v>
      </c>
      <c r="K68" s="103">
        <f t="shared" si="5"/>
        <v>1254</v>
      </c>
      <c r="L68" s="101">
        <v>44761</v>
      </c>
      <c r="M68">
        <v>292</v>
      </c>
      <c r="N68">
        <f t="shared" si="0"/>
        <v>2007</v>
      </c>
      <c r="O68" s="103">
        <f t="shared" si="6"/>
        <v>138.57142857142858</v>
      </c>
    </row>
    <row r="69" spans="2:15">
      <c r="B69" t="s">
        <v>642</v>
      </c>
      <c r="C69">
        <v>2</v>
      </c>
      <c r="D69">
        <v>2</v>
      </c>
      <c r="E69">
        <v>2</v>
      </c>
      <c r="H69" s="101">
        <v>44766</v>
      </c>
      <c r="I69" s="103">
        <v>2</v>
      </c>
      <c r="J69" s="103">
        <f t="shared" si="4"/>
        <v>2797</v>
      </c>
      <c r="K69" s="103">
        <f t="shared" si="5"/>
        <v>1255</v>
      </c>
      <c r="L69" s="101">
        <v>44762</v>
      </c>
      <c r="M69">
        <v>255</v>
      </c>
      <c r="N69">
        <f t="shared" si="0"/>
        <v>2262</v>
      </c>
      <c r="O69" s="103">
        <f t="shared" si="6"/>
        <v>154.85714285714286</v>
      </c>
    </row>
    <row r="70" spans="2:15">
      <c r="B70" t="s">
        <v>641</v>
      </c>
      <c r="C70">
        <v>2</v>
      </c>
      <c r="D70">
        <v>2</v>
      </c>
      <c r="E70">
        <v>2</v>
      </c>
      <c r="H70" s="101">
        <v>44767</v>
      </c>
      <c r="I70" s="103">
        <v>439</v>
      </c>
      <c r="J70" s="103">
        <f t="shared" si="4"/>
        <v>3236</v>
      </c>
      <c r="K70" s="103">
        <f t="shared" si="5"/>
        <v>1499</v>
      </c>
      <c r="L70" s="101">
        <v>44763</v>
      </c>
      <c r="M70">
        <v>183</v>
      </c>
      <c r="N70">
        <f t="shared" si="0"/>
        <v>2445</v>
      </c>
      <c r="O70" s="103">
        <f t="shared" si="6"/>
        <v>151.14285714285714</v>
      </c>
    </row>
    <row r="71" spans="2:15">
      <c r="B71" t="s">
        <v>640</v>
      </c>
      <c r="C71">
        <v>20</v>
      </c>
      <c r="D71">
        <v>21</v>
      </c>
      <c r="E71">
        <v>22</v>
      </c>
      <c r="L71" s="101">
        <v>44764</v>
      </c>
      <c r="M71">
        <v>322</v>
      </c>
      <c r="N71">
        <f t="shared" ref="N71:N83" si="7">+M71+N70</f>
        <v>2767</v>
      </c>
      <c r="O71" s="103">
        <f t="shared" si="6"/>
        <v>175.42857142857142</v>
      </c>
    </row>
    <row r="72" spans="2:15">
      <c r="B72" t="s">
        <v>639</v>
      </c>
      <c r="C72">
        <v>1</v>
      </c>
      <c r="D72">
        <v>1</v>
      </c>
      <c r="E72">
        <v>1</v>
      </c>
      <c r="L72" s="101">
        <v>44765</v>
      </c>
      <c r="M72">
        <v>13</v>
      </c>
      <c r="N72">
        <f t="shared" si="7"/>
        <v>2780</v>
      </c>
      <c r="O72" s="103">
        <f t="shared" si="6"/>
        <v>176.28571428571428</v>
      </c>
    </row>
    <row r="73" spans="2:15">
      <c r="B73" t="s">
        <v>638</v>
      </c>
      <c r="C73">
        <v>3</v>
      </c>
      <c r="D73">
        <v>3</v>
      </c>
      <c r="E73">
        <v>1</v>
      </c>
      <c r="L73" s="101">
        <v>44766</v>
      </c>
      <c r="M73">
        <v>6</v>
      </c>
      <c r="N73">
        <f t="shared" si="7"/>
        <v>2786</v>
      </c>
      <c r="O73" s="103">
        <f t="shared" si="6"/>
        <v>177</v>
      </c>
    </row>
    <row r="74" spans="2:15">
      <c r="E74">
        <v>5</v>
      </c>
      <c r="L74" s="101">
        <v>44767</v>
      </c>
      <c r="M74">
        <v>812</v>
      </c>
      <c r="N74">
        <f t="shared" si="7"/>
        <v>3598</v>
      </c>
      <c r="O74" s="103">
        <f t="shared" si="6"/>
        <v>269</v>
      </c>
    </row>
    <row r="75" spans="2:15">
      <c r="B75" t="s">
        <v>637</v>
      </c>
      <c r="C75">
        <v>10</v>
      </c>
      <c r="D75">
        <v>10</v>
      </c>
      <c r="E75">
        <v>10</v>
      </c>
      <c r="L75" s="101">
        <v>44768</v>
      </c>
      <c r="M75">
        <v>586</v>
      </c>
      <c r="N75">
        <f t="shared" si="7"/>
        <v>4184</v>
      </c>
      <c r="O75" s="103">
        <f t="shared" si="6"/>
        <v>311</v>
      </c>
    </row>
    <row r="76" spans="2:15">
      <c r="B76" t="s">
        <v>636</v>
      </c>
      <c r="C76">
        <v>11</v>
      </c>
      <c r="D76">
        <v>11</v>
      </c>
      <c r="E76">
        <v>15</v>
      </c>
      <c r="L76" s="101">
        <v>44769</v>
      </c>
      <c r="M76">
        <v>476</v>
      </c>
      <c r="N76">
        <f t="shared" si="7"/>
        <v>4660</v>
      </c>
      <c r="O76" s="103">
        <f t="shared" si="6"/>
        <v>342.57142857142856</v>
      </c>
    </row>
    <row r="77" spans="2:15">
      <c r="B77" t="s">
        <v>635</v>
      </c>
      <c r="C77">
        <v>3</v>
      </c>
      <c r="D77">
        <v>6</v>
      </c>
      <c r="E77">
        <v>8</v>
      </c>
      <c r="L77" s="101">
        <v>44770</v>
      </c>
      <c r="M77">
        <v>184</v>
      </c>
      <c r="N77">
        <f t="shared" si="7"/>
        <v>4844</v>
      </c>
      <c r="O77" s="103">
        <f t="shared" si="6"/>
        <v>342.71428571428572</v>
      </c>
    </row>
    <row r="78" spans="2:15">
      <c r="B78" t="s">
        <v>634</v>
      </c>
      <c r="C78">
        <v>33</v>
      </c>
      <c r="D78">
        <v>33</v>
      </c>
      <c r="E78">
        <v>37</v>
      </c>
      <c r="L78" s="101">
        <v>44771</v>
      </c>
      <c r="M78">
        <v>435</v>
      </c>
      <c r="N78">
        <f t="shared" si="7"/>
        <v>5279</v>
      </c>
      <c r="O78" s="108">
        <f t="shared" si="6"/>
        <v>358.85714285714283</v>
      </c>
    </row>
    <row r="79" spans="2:15">
      <c r="B79" t="s">
        <v>633</v>
      </c>
      <c r="C79">
        <v>3</v>
      </c>
      <c r="D79">
        <v>3</v>
      </c>
      <c r="E79">
        <v>3</v>
      </c>
      <c r="L79" s="101">
        <v>44772</v>
      </c>
      <c r="M79">
        <v>16</v>
      </c>
      <c r="N79">
        <f t="shared" si="7"/>
        <v>5295</v>
      </c>
      <c r="O79" s="108">
        <f t="shared" si="6"/>
        <v>359.28571428571428</v>
      </c>
    </row>
    <row r="80" spans="2:15">
      <c r="B80" t="s">
        <v>632</v>
      </c>
      <c r="C80">
        <v>1</v>
      </c>
      <c r="D80">
        <v>1</v>
      </c>
      <c r="E80">
        <v>1</v>
      </c>
      <c r="L80" s="101">
        <v>44773</v>
      </c>
      <c r="M80">
        <v>14</v>
      </c>
      <c r="N80">
        <f t="shared" si="7"/>
        <v>5309</v>
      </c>
      <c r="O80" s="108">
        <f t="shared" si="6"/>
        <v>360.42857142857144</v>
      </c>
    </row>
    <row r="81" spans="2:15">
      <c r="B81" t="s">
        <v>631</v>
      </c>
      <c r="C81">
        <v>3738</v>
      </c>
      <c r="D81">
        <v>4298</v>
      </c>
      <c r="E81">
        <v>4942</v>
      </c>
      <c r="L81" s="101">
        <v>44774</v>
      </c>
      <c r="M81">
        <v>562</v>
      </c>
      <c r="N81">
        <f t="shared" si="7"/>
        <v>5871</v>
      </c>
      <c r="O81" s="103">
        <f t="shared" si="6"/>
        <v>324.71428571428572</v>
      </c>
    </row>
    <row r="82" spans="2:15">
      <c r="E82">
        <v>1</v>
      </c>
      <c r="G82" s="107">
        <f>+D90/C90-1</f>
        <v>0.18426416632694664</v>
      </c>
      <c r="L82" s="101">
        <v>44775</v>
      </c>
      <c r="M82">
        <v>516</v>
      </c>
      <c r="N82">
        <f t="shared" si="7"/>
        <v>6387</v>
      </c>
      <c r="O82" s="103">
        <f t="shared" si="6"/>
        <v>314.71428571428572</v>
      </c>
    </row>
    <row r="83" spans="2:15">
      <c r="B83" t="s">
        <v>630</v>
      </c>
      <c r="C83">
        <v>85</v>
      </c>
      <c r="D83">
        <v>88</v>
      </c>
      <c r="E83">
        <v>111</v>
      </c>
      <c r="L83" s="101">
        <v>44776</v>
      </c>
      <c r="M83">
        <v>229</v>
      </c>
      <c r="N83">
        <f t="shared" si="7"/>
        <v>6616</v>
      </c>
      <c r="O83" s="103">
        <f>AVERAGE(M77:M83)</f>
        <v>279.42857142857144</v>
      </c>
    </row>
    <row r="84" spans="2:15">
      <c r="B84" t="s">
        <v>629</v>
      </c>
      <c r="C84">
        <v>264</v>
      </c>
      <c r="D84">
        <v>272</v>
      </c>
      <c r="E84">
        <v>316</v>
      </c>
    </row>
    <row r="85" spans="2:15">
      <c r="B85" t="s">
        <v>628</v>
      </c>
      <c r="C85">
        <v>2</v>
      </c>
      <c r="D85">
        <v>2</v>
      </c>
      <c r="E85">
        <v>2</v>
      </c>
    </row>
    <row r="86" spans="2:15">
      <c r="B86" t="s">
        <v>627</v>
      </c>
      <c r="C86">
        <v>2</v>
      </c>
      <c r="D86">
        <v>2</v>
      </c>
      <c r="E86">
        <v>4</v>
      </c>
    </row>
    <row r="87" spans="2:15">
      <c r="B87" t="s">
        <v>626</v>
      </c>
      <c r="C87">
        <v>1</v>
      </c>
      <c r="D87">
        <v>1</v>
      </c>
      <c r="E87">
        <v>1</v>
      </c>
    </row>
    <row r="88" spans="2:15">
      <c r="B88" t="s">
        <v>625</v>
      </c>
      <c r="C88">
        <v>16</v>
      </c>
      <c r="D88">
        <v>16</v>
      </c>
      <c r="E88">
        <v>16</v>
      </c>
    </row>
    <row r="89" spans="2:15">
      <c r="B89" t="s">
        <v>624</v>
      </c>
      <c r="C89">
        <v>2432</v>
      </c>
      <c r="D89">
        <v>2546</v>
      </c>
      <c r="E89">
        <v>2859</v>
      </c>
    </row>
    <row r="90" spans="2:15">
      <c r="B90" t="s">
        <v>623</v>
      </c>
      <c r="C90">
        <v>4906</v>
      </c>
      <c r="D90">
        <v>5810</v>
      </c>
      <c r="E90">
        <v>7509</v>
      </c>
    </row>
    <row r="91" spans="2:15">
      <c r="B91" s="104" t="s">
        <v>705</v>
      </c>
      <c r="C91">
        <v>1</v>
      </c>
      <c r="D91">
        <v>1</v>
      </c>
      <c r="E91">
        <v>2</v>
      </c>
    </row>
    <row r="92" spans="2:15">
      <c r="B92" t="s">
        <v>622</v>
      </c>
      <c r="C92">
        <v>0</v>
      </c>
      <c r="D92">
        <v>1</v>
      </c>
      <c r="E92">
        <v>1</v>
      </c>
    </row>
  </sheetData>
  <hyperlinks>
    <hyperlink ref="A1" location="Main!A1" display="Main" xr:uid="{4884B59D-B83D-46A3-A1A6-F4AB66462268}"/>
  </hyperlinks>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L84"/>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RowHeight="12.75"/>
  <cols>
    <col min="1" max="1" width="5" style="8" bestFit="1" customWidth="1"/>
    <col min="2" max="2" width="20.7109375" style="8" customWidth="1"/>
    <col min="3" max="20" width="9.140625" style="9"/>
    <col min="21" max="21" width="9.140625" style="8"/>
    <col min="22" max="23" width="9.140625" style="34"/>
    <col min="24" max="27" width="9.140625" style="8"/>
    <col min="28" max="28" width="9.140625" style="34"/>
    <col min="29" max="36" width="9.140625" style="8"/>
    <col min="37" max="38" width="9.140625" style="34"/>
    <col min="39" max="16384" width="9.140625" style="8"/>
  </cols>
  <sheetData>
    <row r="1" spans="1:64">
      <c r="A1" s="21" t="s">
        <v>14</v>
      </c>
      <c r="V1" s="10"/>
      <c r="AC1" s="10"/>
      <c r="AD1" s="10"/>
    </row>
    <row r="2" spans="1:64">
      <c r="C2" s="9" t="s">
        <v>23</v>
      </c>
      <c r="D2" s="9" t="s">
        <v>20</v>
      </c>
      <c r="E2" s="9" t="s">
        <v>24</v>
      </c>
      <c r="F2" s="9" t="s">
        <v>25</v>
      </c>
      <c r="G2" s="9" t="s">
        <v>30</v>
      </c>
      <c r="H2" s="9" t="s">
        <v>29</v>
      </c>
      <c r="I2" s="9" t="s">
        <v>28</v>
      </c>
      <c r="J2" s="9" t="s">
        <v>27</v>
      </c>
      <c r="K2" s="9" t="s">
        <v>107</v>
      </c>
      <c r="L2" s="9" t="s">
        <v>108</v>
      </c>
      <c r="M2" s="9" t="s">
        <v>109</v>
      </c>
      <c r="N2" s="9" t="s">
        <v>110</v>
      </c>
      <c r="O2" s="9" t="s">
        <v>111</v>
      </c>
      <c r="P2" s="9" t="s">
        <v>112</v>
      </c>
      <c r="Q2" s="9" t="s">
        <v>113</v>
      </c>
      <c r="R2" s="9" t="s">
        <v>114</v>
      </c>
      <c r="S2" s="9" t="s">
        <v>115</v>
      </c>
      <c r="T2" s="9" t="s">
        <v>50</v>
      </c>
      <c r="U2" s="9" t="s">
        <v>144</v>
      </c>
      <c r="V2" s="9" t="s">
        <v>145</v>
      </c>
      <c r="X2" s="8">
        <v>2010</v>
      </c>
      <c r="Y2" s="8">
        <v>2011</v>
      </c>
      <c r="Z2" s="8">
        <v>2012</v>
      </c>
      <c r="AA2" s="8">
        <v>2013</v>
      </c>
      <c r="AB2" s="34">
        <v>2014</v>
      </c>
      <c r="AC2" s="8">
        <v>2015</v>
      </c>
      <c r="AD2" s="8">
        <v>2016</v>
      </c>
      <c r="AE2" s="8">
        <v>2017</v>
      </c>
      <c r="AF2" s="8">
        <v>2018</v>
      </c>
      <c r="AG2" s="8">
        <v>2019</v>
      </c>
      <c r="AH2" s="8">
        <v>2020</v>
      </c>
      <c r="AI2" s="8">
        <v>2021</v>
      </c>
      <c r="AJ2" s="8">
        <v>2022</v>
      </c>
      <c r="AK2" s="34">
        <v>2023</v>
      </c>
      <c r="AL2" s="34">
        <v>2024</v>
      </c>
      <c r="AM2" s="8">
        <f>AL2+1</f>
        <v>2025</v>
      </c>
      <c r="AN2" s="34">
        <f t="shared" ref="AN2:BL2" si="0">AM2+1</f>
        <v>2026</v>
      </c>
      <c r="AO2" s="34">
        <f t="shared" si="0"/>
        <v>2027</v>
      </c>
      <c r="AP2" s="34">
        <f t="shared" si="0"/>
        <v>2028</v>
      </c>
      <c r="AQ2" s="34">
        <f t="shared" si="0"/>
        <v>2029</v>
      </c>
      <c r="AR2" s="34">
        <f t="shared" si="0"/>
        <v>2030</v>
      </c>
      <c r="AS2" s="34">
        <f t="shared" si="0"/>
        <v>2031</v>
      </c>
      <c r="AT2" s="34">
        <f t="shared" si="0"/>
        <v>2032</v>
      </c>
      <c r="AU2" s="34">
        <f t="shared" si="0"/>
        <v>2033</v>
      </c>
      <c r="AV2" s="34">
        <f t="shared" si="0"/>
        <v>2034</v>
      </c>
      <c r="AW2" s="34">
        <f t="shared" si="0"/>
        <v>2035</v>
      </c>
      <c r="AX2" s="34">
        <f t="shared" si="0"/>
        <v>2036</v>
      </c>
      <c r="AY2" s="34">
        <f t="shared" si="0"/>
        <v>2037</v>
      </c>
      <c r="AZ2" s="34">
        <f t="shared" si="0"/>
        <v>2038</v>
      </c>
      <c r="BA2" s="34">
        <f t="shared" si="0"/>
        <v>2039</v>
      </c>
      <c r="BB2" s="34">
        <f t="shared" si="0"/>
        <v>2040</v>
      </c>
      <c r="BC2" s="34">
        <f t="shared" si="0"/>
        <v>2041</v>
      </c>
      <c r="BD2" s="34">
        <f t="shared" si="0"/>
        <v>2042</v>
      </c>
      <c r="BE2" s="34">
        <f t="shared" si="0"/>
        <v>2043</v>
      </c>
      <c r="BF2" s="34">
        <f t="shared" si="0"/>
        <v>2044</v>
      </c>
      <c r="BG2" s="34">
        <f t="shared" si="0"/>
        <v>2045</v>
      </c>
      <c r="BH2" s="34">
        <f t="shared" si="0"/>
        <v>2046</v>
      </c>
      <c r="BI2" s="34">
        <f t="shared" si="0"/>
        <v>2047</v>
      </c>
      <c r="BJ2" s="34">
        <f t="shared" si="0"/>
        <v>2048</v>
      </c>
      <c r="BK2" s="34">
        <f t="shared" si="0"/>
        <v>2049</v>
      </c>
      <c r="BL2" s="34">
        <f t="shared" si="0"/>
        <v>2050</v>
      </c>
    </row>
    <row r="3" spans="1:64">
      <c r="B3" s="8" t="s">
        <v>49</v>
      </c>
      <c r="F3" s="9">
        <f>X3-SUM(C3:E3)</f>
        <v>0</v>
      </c>
      <c r="J3" s="9">
        <f>Y3-SUM(G3:I3)</f>
        <v>0</v>
      </c>
      <c r="N3" s="9">
        <f>Z3-SUM(K3:M3)</f>
        <v>0</v>
      </c>
      <c r="R3" s="9">
        <f>AA3-SUM(O3:Q3)</f>
        <v>0</v>
      </c>
      <c r="U3" s="33">
        <f>((AA43-Z43)-(T43-R43))/2</f>
        <v>39.65525049999998</v>
      </c>
      <c r="V3" s="10">
        <f>U3</f>
        <v>39.65525049999998</v>
      </c>
      <c r="AA3" s="26"/>
      <c r="AB3" s="33">
        <f>SUM(S3:V3)</f>
        <v>79.31050099999996</v>
      </c>
      <c r="AC3" s="10">
        <v>105.17016899999999</v>
      </c>
      <c r="AD3" s="10">
        <v>62.419330000000059</v>
      </c>
    </row>
    <row r="4" spans="1:64">
      <c r="B4" s="7" t="s">
        <v>44</v>
      </c>
      <c r="C4" s="25">
        <v>5.0752110000000004</v>
      </c>
      <c r="D4" s="25">
        <v>4.4467530000000002</v>
      </c>
      <c r="E4" s="25">
        <v>6.6318570000000001</v>
      </c>
      <c r="F4" s="25">
        <f>X4-SUM(C4:E4)</f>
        <v>3.0620159999999998</v>
      </c>
      <c r="G4" s="25">
        <v>1.6967209999999999</v>
      </c>
      <c r="H4" s="25">
        <v>2.4910559999999999</v>
      </c>
      <c r="I4" s="25">
        <v>3.5779480000000001</v>
      </c>
      <c r="J4" s="25">
        <f>Y4-SUM(G4:I4)</f>
        <v>4.9600670000000004</v>
      </c>
      <c r="K4" s="25">
        <v>1.4657519999999999</v>
      </c>
      <c r="L4" s="25">
        <v>2.7011639999999999</v>
      </c>
      <c r="M4" s="25">
        <v>2.2898200000000002</v>
      </c>
      <c r="N4" s="25">
        <f>Z4-SUM(K4:M4)</f>
        <v>2.5140989999999999</v>
      </c>
      <c r="O4" s="25">
        <v>1.3283640000000001</v>
      </c>
      <c r="P4" s="25">
        <v>0.96466700000000005</v>
      </c>
      <c r="Q4" s="25">
        <v>2.2921429999999998</v>
      </c>
      <c r="R4" s="33">
        <f>AA4-SUM(O4:Q4)</f>
        <v>0.93412600000000001</v>
      </c>
      <c r="S4" s="25">
        <v>0.54941499999999999</v>
      </c>
      <c r="T4" s="25">
        <v>0.65061199999999997</v>
      </c>
      <c r="U4" s="33">
        <v>0.65061199999999997</v>
      </c>
      <c r="V4" s="33">
        <v>0.65061199999999997</v>
      </c>
      <c r="X4" s="25">
        <v>19.215837000000001</v>
      </c>
      <c r="Y4" s="25">
        <v>12.725792</v>
      </c>
      <c r="Z4" s="25">
        <v>8.9708349999999992</v>
      </c>
      <c r="AA4" s="25">
        <v>5.5193000000000003</v>
      </c>
      <c r="AB4" s="33">
        <f>SUM(S4:V4)</f>
        <v>2.5012509999999999</v>
      </c>
      <c r="AC4" s="10">
        <f>AB4</f>
        <v>2.5012509999999999</v>
      </c>
      <c r="AD4" s="10">
        <f t="shared" ref="AD4:AL4" si="1">AC4</f>
        <v>2.5012509999999999</v>
      </c>
      <c r="AE4" s="10">
        <v>0</v>
      </c>
      <c r="AF4" s="10">
        <f t="shared" si="1"/>
        <v>0</v>
      </c>
      <c r="AG4" s="10">
        <f t="shared" si="1"/>
        <v>0</v>
      </c>
      <c r="AH4" s="10">
        <f t="shared" si="1"/>
        <v>0</v>
      </c>
      <c r="AI4" s="10">
        <f t="shared" si="1"/>
        <v>0</v>
      </c>
      <c r="AJ4" s="10">
        <f t="shared" si="1"/>
        <v>0</v>
      </c>
      <c r="AK4" s="10">
        <f t="shared" si="1"/>
        <v>0</v>
      </c>
      <c r="AL4" s="10">
        <f t="shared" si="1"/>
        <v>0</v>
      </c>
    </row>
    <row r="5" spans="1:64">
      <c r="B5" s="7" t="s">
        <v>36</v>
      </c>
      <c r="C5" s="11">
        <f t="shared" ref="C5:V5" si="2">C3+C4</f>
        <v>5.0752110000000004</v>
      </c>
      <c r="D5" s="25">
        <f t="shared" si="2"/>
        <v>4.4467530000000002</v>
      </c>
      <c r="E5" s="25">
        <f t="shared" si="2"/>
        <v>6.6318570000000001</v>
      </c>
      <c r="F5" s="25">
        <f t="shared" si="2"/>
        <v>3.0620159999999998</v>
      </c>
      <c r="G5" s="25">
        <f t="shared" si="2"/>
        <v>1.6967209999999999</v>
      </c>
      <c r="H5" s="25">
        <f t="shared" si="2"/>
        <v>2.4910559999999999</v>
      </c>
      <c r="I5" s="25">
        <f t="shared" si="2"/>
        <v>3.5779480000000001</v>
      </c>
      <c r="J5" s="25">
        <f>J3+J4</f>
        <v>4.9600670000000004</v>
      </c>
      <c r="K5" s="25">
        <f t="shared" si="2"/>
        <v>1.4657519999999999</v>
      </c>
      <c r="L5" s="25">
        <f t="shared" si="2"/>
        <v>2.7011639999999999</v>
      </c>
      <c r="M5" s="25">
        <f t="shared" si="2"/>
        <v>2.2898200000000002</v>
      </c>
      <c r="N5" s="25">
        <f>N3+N4</f>
        <v>2.5140989999999999</v>
      </c>
      <c r="O5" s="25">
        <f t="shared" si="2"/>
        <v>1.3283640000000001</v>
      </c>
      <c r="P5" s="25">
        <f t="shared" si="2"/>
        <v>0.96466700000000005</v>
      </c>
      <c r="Q5" s="25">
        <f t="shared" si="2"/>
        <v>2.2921429999999998</v>
      </c>
      <c r="R5" s="33">
        <f>R3+R4</f>
        <v>0.93412600000000001</v>
      </c>
      <c r="S5" s="25">
        <f t="shared" si="2"/>
        <v>0.54941499999999999</v>
      </c>
      <c r="T5" s="25">
        <f t="shared" si="2"/>
        <v>0.65061199999999997</v>
      </c>
      <c r="U5" s="33">
        <f t="shared" si="2"/>
        <v>40.305862499999982</v>
      </c>
      <c r="V5" s="33">
        <f t="shared" si="2"/>
        <v>40.305862499999982</v>
      </c>
      <c r="W5" s="33"/>
      <c r="X5" s="25">
        <f t="shared" ref="X5:Y5" si="3">X3+X4</f>
        <v>19.215837000000001</v>
      </c>
      <c r="Y5" s="25">
        <f t="shared" si="3"/>
        <v>12.725792</v>
      </c>
      <c r="Z5" s="25">
        <f t="shared" ref="Z5:AA5" si="4">Z3+Z4</f>
        <v>8.9708349999999992</v>
      </c>
      <c r="AA5" s="25">
        <f t="shared" si="4"/>
        <v>5.5193000000000003</v>
      </c>
      <c r="AB5" s="33">
        <f t="shared" ref="AB5:AJ5" si="5">AB3+AB4</f>
        <v>81.811751999999956</v>
      </c>
      <c r="AC5" s="11">
        <f t="shared" si="5"/>
        <v>107.67141999999998</v>
      </c>
      <c r="AD5" s="11">
        <f t="shared" si="5"/>
        <v>64.920581000000055</v>
      </c>
      <c r="AE5" s="11">
        <f t="shared" si="5"/>
        <v>0</v>
      </c>
      <c r="AF5" s="11">
        <f t="shared" si="5"/>
        <v>0</v>
      </c>
      <c r="AG5" s="11">
        <f t="shared" si="5"/>
        <v>0</v>
      </c>
      <c r="AH5" s="11">
        <f t="shared" si="5"/>
        <v>0</v>
      </c>
      <c r="AI5" s="11">
        <f t="shared" si="5"/>
        <v>0</v>
      </c>
      <c r="AJ5" s="11">
        <f t="shared" si="5"/>
        <v>0</v>
      </c>
      <c r="AK5" s="33">
        <f t="shared" ref="AK5:AL5" si="6">AK3+AK4</f>
        <v>0</v>
      </c>
      <c r="AL5" s="33">
        <f t="shared" si="6"/>
        <v>0</v>
      </c>
    </row>
    <row r="6" spans="1:64">
      <c r="B6" s="7" t="s">
        <v>152</v>
      </c>
      <c r="C6" s="11"/>
      <c r="D6" s="25"/>
      <c r="E6" s="25"/>
      <c r="F6" s="25">
        <f>X6-SUM(C6:E6)</f>
        <v>0</v>
      </c>
      <c r="G6" s="25"/>
      <c r="H6" s="25"/>
      <c r="I6" s="25"/>
      <c r="J6" s="25">
        <f>Y6-SUM(G6:I6)</f>
        <v>0</v>
      </c>
      <c r="K6" s="25"/>
      <c r="L6" s="25"/>
      <c r="M6" s="25"/>
      <c r="N6" s="25">
        <f>Z6-SUM(K6:M6)</f>
        <v>0</v>
      </c>
      <c r="O6" s="25"/>
      <c r="P6" s="25"/>
      <c r="Q6" s="25"/>
      <c r="R6" s="33">
        <f>AA6-SUM(O6:Q6)</f>
        <v>0</v>
      </c>
      <c r="S6" s="25"/>
      <c r="T6" s="25"/>
      <c r="U6" s="33">
        <f>U5*(1-U53)</f>
        <v>4.0305862499999972</v>
      </c>
      <c r="V6" s="33">
        <f t="shared" ref="V6" si="7">V5*(1-V53)</f>
        <v>4.0305862499999972</v>
      </c>
      <c r="W6" s="33"/>
      <c r="X6" s="25"/>
      <c r="Y6" s="25"/>
      <c r="Z6" s="25"/>
      <c r="AA6" s="25"/>
      <c r="AB6" s="33">
        <f>SUM(S6:V6)</f>
        <v>8.0611724999999943</v>
      </c>
      <c r="AC6" s="11">
        <f t="shared" ref="AC6:AL6" si="8">AC5*(1-AC53)</f>
        <v>10.767141999999996</v>
      </c>
      <c r="AD6" s="33">
        <f t="shared" si="8"/>
        <v>6.4920581000000039</v>
      </c>
      <c r="AE6" s="33">
        <f>AE5*(1-AE53)</f>
        <v>0</v>
      </c>
      <c r="AF6" s="33">
        <f t="shared" si="8"/>
        <v>0</v>
      </c>
      <c r="AG6" s="33">
        <f t="shared" si="8"/>
        <v>0</v>
      </c>
      <c r="AH6" s="33">
        <f t="shared" si="8"/>
        <v>0</v>
      </c>
      <c r="AI6" s="33">
        <f t="shared" si="8"/>
        <v>0</v>
      </c>
      <c r="AJ6" s="33">
        <f t="shared" si="8"/>
        <v>0</v>
      </c>
      <c r="AK6" s="33">
        <f t="shared" si="8"/>
        <v>0</v>
      </c>
      <c r="AL6" s="33">
        <f t="shared" si="8"/>
        <v>0</v>
      </c>
    </row>
    <row r="7" spans="1:64">
      <c r="B7" s="7" t="s">
        <v>116</v>
      </c>
      <c r="C7" s="11">
        <f>C5-C6</f>
        <v>5.0752110000000004</v>
      </c>
      <c r="D7" s="25">
        <f t="shared" ref="D7:AJ7" si="9">D5-D6</f>
        <v>4.4467530000000002</v>
      </c>
      <c r="E7" s="25">
        <f t="shared" si="9"/>
        <v>6.6318570000000001</v>
      </c>
      <c r="F7" s="25">
        <f t="shared" si="9"/>
        <v>3.0620159999999998</v>
      </c>
      <c r="G7" s="25">
        <f>G5-G6</f>
        <v>1.6967209999999999</v>
      </c>
      <c r="H7" s="25">
        <f t="shared" si="9"/>
        <v>2.4910559999999999</v>
      </c>
      <c r="I7" s="25">
        <f t="shared" si="9"/>
        <v>3.5779480000000001</v>
      </c>
      <c r="J7" s="25">
        <f>J5-J6</f>
        <v>4.9600670000000004</v>
      </c>
      <c r="K7" s="25">
        <f>K5-K6</f>
        <v>1.4657519999999999</v>
      </c>
      <c r="L7" s="25">
        <f t="shared" si="9"/>
        <v>2.7011639999999999</v>
      </c>
      <c r="M7" s="25">
        <f t="shared" si="9"/>
        <v>2.2898200000000002</v>
      </c>
      <c r="N7" s="25">
        <f>N5-N6</f>
        <v>2.5140989999999999</v>
      </c>
      <c r="O7" s="25">
        <f>O5-O6</f>
        <v>1.3283640000000001</v>
      </c>
      <c r="P7" s="25">
        <f t="shared" si="9"/>
        <v>0.96466700000000005</v>
      </c>
      <c r="Q7" s="25">
        <f t="shared" si="9"/>
        <v>2.2921429999999998</v>
      </c>
      <c r="R7" s="33">
        <f>R5-R6</f>
        <v>0.93412600000000001</v>
      </c>
      <c r="S7" s="25">
        <f t="shared" si="9"/>
        <v>0.54941499999999999</v>
      </c>
      <c r="T7" s="25">
        <f t="shared" si="9"/>
        <v>0.65061199999999997</v>
      </c>
      <c r="U7" s="33">
        <f t="shared" si="9"/>
        <v>36.275276249999983</v>
      </c>
      <c r="V7" s="33">
        <f t="shared" si="9"/>
        <v>36.275276249999983</v>
      </c>
      <c r="W7" s="33"/>
      <c r="X7" s="25">
        <f t="shared" ref="X7:Y7" si="10">X5-X6</f>
        <v>19.215837000000001</v>
      </c>
      <c r="Y7" s="25">
        <f t="shared" si="10"/>
        <v>12.725792</v>
      </c>
      <c r="Z7" s="25">
        <f t="shared" ref="Z7:AA7" si="11">Z5-Z6</f>
        <v>8.9708349999999992</v>
      </c>
      <c r="AA7" s="25">
        <f t="shared" si="11"/>
        <v>5.5193000000000003</v>
      </c>
      <c r="AB7" s="33">
        <f t="shared" si="9"/>
        <v>73.750579499999958</v>
      </c>
      <c r="AC7" s="11">
        <f t="shared" si="9"/>
        <v>96.904277999999991</v>
      </c>
      <c r="AD7" s="11">
        <f t="shared" si="9"/>
        <v>58.428522900000054</v>
      </c>
      <c r="AE7" s="11">
        <f t="shared" si="9"/>
        <v>0</v>
      </c>
      <c r="AF7" s="11">
        <f t="shared" si="9"/>
        <v>0</v>
      </c>
      <c r="AG7" s="11">
        <f t="shared" si="9"/>
        <v>0</v>
      </c>
      <c r="AH7" s="11">
        <f t="shared" si="9"/>
        <v>0</v>
      </c>
      <c r="AI7" s="11">
        <f t="shared" si="9"/>
        <v>0</v>
      </c>
      <c r="AJ7" s="11">
        <f t="shared" si="9"/>
        <v>0</v>
      </c>
      <c r="AK7" s="33">
        <f t="shared" ref="AK7:AL7" si="12">AK5-AK6</f>
        <v>0</v>
      </c>
      <c r="AL7" s="33">
        <f t="shared" si="12"/>
        <v>0</v>
      </c>
    </row>
    <row r="8" spans="1:64">
      <c r="B8" s="7" t="s">
        <v>45</v>
      </c>
      <c r="C8" s="25">
        <v>1.968791</v>
      </c>
      <c r="D8" s="25">
        <v>2.2338249999999999</v>
      </c>
      <c r="E8" s="25">
        <v>1.389259</v>
      </c>
      <c r="F8" s="25">
        <f>X8-SUM(C8:E8)</f>
        <v>2.5387939999999993</v>
      </c>
      <c r="G8" s="25">
        <v>4.2500559999999998</v>
      </c>
      <c r="H8" s="25">
        <v>9.3505409999999998</v>
      </c>
      <c r="I8" s="25">
        <v>3.9686050000000002</v>
      </c>
      <c r="J8" s="25">
        <f>Y8-SUM(G8:I8)</f>
        <v>6.3625109999999978</v>
      </c>
      <c r="K8" s="25">
        <v>2.2138770000000001</v>
      </c>
      <c r="L8" s="25">
        <v>3.474691</v>
      </c>
      <c r="M8" s="25">
        <v>3.1387109999999998</v>
      </c>
      <c r="N8" s="25">
        <f>Z8-SUM(K8:M8)</f>
        <v>2.582851999999999</v>
      </c>
      <c r="O8" s="25">
        <v>3.0313490000000001</v>
      </c>
      <c r="P8" s="25">
        <v>3.1661489999999999</v>
      </c>
      <c r="Q8" s="25">
        <v>3.2657349999999998</v>
      </c>
      <c r="R8" s="33">
        <f>AA8-SUM(O8:Q8)</f>
        <v>3.7815860000000008</v>
      </c>
      <c r="S8" s="25">
        <v>3.0886580000000001</v>
      </c>
      <c r="T8" s="25">
        <v>2.7990539999999999</v>
      </c>
      <c r="U8" s="10">
        <f t="shared" ref="U8:V8" si="13">U5*U55</f>
        <v>2.7999999999999994</v>
      </c>
      <c r="V8" s="10">
        <f t="shared" si="13"/>
        <v>2.7999999999999994</v>
      </c>
      <c r="X8" s="25">
        <v>8.1306689999999993</v>
      </c>
      <c r="Y8" s="25">
        <v>23.931712999999998</v>
      </c>
      <c r="Z8" s="25">
        <v>11.410131</v>
      </c>
      <c r="AA8" s="25">
        <v>13.244819</v>
      </c>
      <c r="AB8" s="33">
        <f>SUM(S8:V8)</f>
        <v>11.487711999999998</v>
      </c>
      <c r="AC8" s="10">
        <f>AC5*AC55</f>
        <v>11.843856199999998</v>
      </c>
      <c r="AD8" s="10">
        <f>AD5*AD55</f>
        <v>7.1412639100000064</v>
      </c>
      <c r="AE8" s="10">
        <f t="shared" ref="AE8:AL8" si="14">AE5*AE55</f>
        <v>0</v>
      </c>
      <c r="AF8" s="10">
        <f t="shared" si="14"/>
        <v>0</v>
      </c>
      <c r="AG8" s="10">
        <f t="shared" si="14"/>
        <v>0</v>
      </c>
      <c r="AH8" s="10">
        <f t="shared" si="14"/>
        <v>0</v>
      </c>
      <c r="AI8" s="10">
        <f t="shared" si="14"/>
        <v>0</v>
      </c>
      <c r="AJ8" s="10">
        <f t="shared" si="14"/>
        <v>0</v>
      </c>
      <c r="AK8" s="10">
        <f t="shared" si="14"/>
        <v>0</v>
      </c>
      <c r="AL8" s="10">
        <f t="shared" si="14"/>
        <v>0</v>
      </c>
    </row>
    <row r="9" spans="1:64">
      <c r="B9" s="7" t="s">
        <v>46</v>
      </c>
      <c r="C9" s="11">
        <v>5.8270229999999996</v>
      </c>
      <c r="D9" s="25">
        <v>4.9299609999999996</v>
      </c>
      <c r="E9" s="25">
        <v>7.4197490000000004</v>
      </c>
      <c r="F9" s="25">
        <f>X9-SUM(C9:E9)</f>
        <v>4.4822260000000007</v>
      </c>
      <c r="G9" s="25">
        <v>3.5662780000000001</v>
      </c>
      <c r="H9" s="25">
        <v>3.8353860000000002</v>
      </c>
      <c r="I9" s="25">
        <v>5.1704129999999999</v>
      </c>
      <c r="J9" s="25">
        <f>Y9-SUM(G9:I9)</f>
        <v>5.7952709999999996</v>
      </c>
      <c r="K9" s="25">
        <v>4.4645380000000001</v>
      </c>
      <c r="L9" s="25">
        <v>5.1825159999999997</v>
      </c>
      <c r="M9" s="25">
        <v>4.1700309999999998</v>
      </c>
      <c r="N9" s="25">
        <f>Z9-SUM(K9:M9)</f>
        <v>4.3959509999999984</v>
      </c>
      <c r="O9" s="25">
        <v>3.6454689999999998</v>
      </c>
      <c r="P9" s="25">
        <v>3.1307010000000002</v>
      </c>
      <c r="Q9" s="25">
        <v>4.2609700000000004</v>
      </c>
      <c r="R9" s="33">
        <f>AA9-SUM(O9:Q9)</f>
        <v>2.8193599999999996</v>
      </c>
      <c r="S9" s="25">
        <v>2.813456</v>
      </c>
      <c r="T9" s="25">
        <v>2.3718689999999998</v>
      </c>
      <c r="U9" s="10">
        <f>U5*U54</f>
        <v>2.015293124999999</v>
      </c>
      <c r="V9" s="10">
        <f t="shared" ref="V9" si="15">V5*V54</f>
        <v>2.015293124999999</v>
      </c>
      <c r="X9" s="25">
        <v>22.658958999999999</v>
      </c>
      <c r="Y9" s="25">
        <v>18.367348</v>
      </c>
      <c r="Z9" s="25">
        <v>18.213035999999999</v>
      </c>
      <c r="AA9" s="25">
        <v>13.8565</v>
      </c>
      <c r="AB9" s="33">
        <f>SUM(S9:V9)</f>
        <v>9.2159112499999978</v>
      </c>
      <c r="AC9" s="10">
        <f>AC5*AC54</f>
        <v>0</v>
      </c>
      <c r="AD9" s="10">
        <f t="shared" ref="AD9:AL9" si="16">AD5*AD54</f>
        <v>0</v>
      </c>
      <c r="AE9" s="10">
        <f>AE5*AE54</f>
        <v>0</v>
      </c>
      <c r="AF9" s="10">
        <f t="shared" si="16"/>
        <v>0</v>
      </c>
      <c r="AG9" s="10">
        <f t="shared" si="16"/>
        <v>0</v>
      </c>
      <c r="AH9" s="10">
        <f t="shared" si="16"/>
        <v>0</v>
      </c>
      <c r="AI9" s="10">
        <f t="shared" si="16"/>
        <v>0</v>
      </c>
      <c r="AJ9" s="10">
        <f t="shared" si="16"/>
        <v>0</v>
      </c>
      <c r="AK9" s="10">
        <f t="shared" si="16"/>
        <v>0</v>
      </c>
      <c r="AL9" s="10">
        <f t="shared" si="16"/>
        <v>0</v>
      </c>
    </row>
    <row r="10" spans="1:64">
      <c r="B10" s="7" t="s">
        <v>117</v>
      </c>
      <c r="C10" s="11">
        <v>0.32033899999999998</v>
      </c>
      <c r="D10" s="25">
        <v>0.30566100000000002</v>
      </c>
      <c r="E10" s="25">
        <v>0.234511</v>
      </c>
      <c r="F10" s="25">
        <f>X10-SUM(C10:E10)</f>
        <v>0.28808600000000006</v>
      </c>
      <c r="G10" s="25">
        <v>0.34182699999999999</v>
      </c>
      <c r="H10" s="25">
        <v>0.41304800000000003</v>
      </c>
      <c r="I10" s="25">
        <v>0.482074</v>
      </c>
      <c r="J10" s="25">
        <f>Y10-SUM(G10:I10)</f>
        <v>0.57121899999999992</v>
      </c>
      <c r="K10" s="25">
        <v>0.33629799999999999</v>
      </c>
      <c r="L10" s="25">
        <v>0.37631999999999999</v>
      </c>
      <c r="M10" s="25">
        <v>0.37687700000000002</v>
      </c>
      <c r="N10" s="25">
        <f>Z10-SUM(K10:M10)</f>
        <v>0.79391000000000012</v>
      </c>
      <c r="O10" s="25">
        <v>0.45815600000000001</v>
      </c>
      <c r="P10" s="25">
        <v>0.30058099999999999</v>
      </c>
      <c r="Q10" s="25">
        <v>0.32905400000000001</v>
      </c>
      <c r="R10" s="33">
        <f>AA10-SUM(O10:Q10)</f>
        <v>0.33342700000000014</v>
      </c>
      <c r="S10" s="25">
        <v>0.28573599999999999</v>
      </c>
      <c r="T10" s="25">
        <v>0.22619800000000001</v>
      </c>
      <c r="U10" s="10">
        <f>T10</f>
        <v>0.22619800000000001</v>
      </c>
      <c r="V10" s="10">
        <f>U10</f>
        <v>0.22619800000000001</v>
      </c>
      <c r="X10" s="25">
        <v>1.1485970000000001</v>
      </c>
      <c r="Y10" s="25">
        <v>1.808168</v>
      </c>
      <c r="Z10" s="25">
        <v>1.883405</v>
      </c>
      <c r="AA10" s="25">
        <v>1.4212180000000001</v>
      </c>
      <c r="AB10" s="33">
        <f>SUM(S10:V10)</f>
        <v>0.96433000000000002</v>
      </c>
      <c r="AC10" s="10">
        <v>0</v>
      </c>
      <c r="AD10" s="10">
        <f>AC10</f>
        <v>0</v>
      </c>
      <c r="AE10" s="10">
        <f t="shared" ref="AE10:AL11" si="17">AD10</f>
        <v>0</v>
      </c>
      <c r="AF10" s="10">
        <f t="shared" si="17"/>
        <v>0</v>
      </c>
      <c r="AG10" s="10">
        <f t="shared" si="17"/>
        <v>0</v>
      </c>
      <c r="AH10" s="10">
        <f t="shared" si="17"/>
        <v>0</v>
      </c>
      <c r="AI10" s="10">
        <f t="shared" si="17"/>
        <v>0</v>
      </c>
      <c r="AJ10" s="10">
        <f t="shared" si="17"/>
        <v>0</v>
      </c>
      <c r="AK10" s="10">
        <f t="shared" si="17"/>
        <v>0</v>
      </c>
      <c r="AL10" s="10">
        <f t="shared" si="17"/>
        <v>0</v>
      </c>
    </row>
    <row r="11" spans="1:64" s="26" customFormat="1">
      <c r="B11" s="27" t="s">
        <v>172</v>
      </c>
      <c r="C11" s="25"/>
      <c r="D11" s="25"/>
      <c r="E11" s="25"/>
      <c r="F11" s="25"/>
      <c r="G11" s="25"/>
      <c r="H11" s="25"/>
      <c r="I11" s="25"/>
      <c r="J11" s="25"/>
      <c r="K11" s="25"/>
      <c r="L11" s="25"/>
      <c r="M11" s="25"/>
      <c r="N11" s="25">
        <f>Z11-SUM(K11:M11)</f>
        <v>0.17299300000000001</v>
      </c>
      <c r="O11" s="25">
        <v>0.37355500000000003</v>
      </c>
      <c r="P11" s="25">
        <v>0.37632300000000002</v>
      </c>
      <c r="Q11" s="25">
        <v>0.29343799999999998</v>
      </c>
      <c r="R11" s="33">
        <f>AA11-SUM(O11:Q11)</f>
        <v>0.16401600000000016</v>
      </c>
      <c r="S11" s="25">
        <v>0.14082900000000001</v>
      </c>
      <c r="T11" s="25">
        <v>0.123609</v>
      </c>
      <c r="U11" s="10">
        <f>(T39+T45)*$AP$24/4</f>
        <v>7.4423100000000006E-2</v>
      </c>
      <c r="V11" s="10">
        <f>(T39+T45)*$AP$24/4</f>
        <v>7.4423100000000006E-2</v>
      </c>
      <c r="W11" s="34"/>
      <c r="X11" s="25"/>
      <c r="Y11" s="25"/>
      <c r="Z11" s="25">
        <v>0.17299300000000001</v>
      </c>
      <c r="AA11" s="25">
        <v>1.2073320000000001</v>
      </c>
      <c r="AB11" s="33">
        <f>SUM(S11:V11)</f>
        <v>0.41328420000000005</v>
      </c>
      <c r="AC11" s="10">
        <f>((AB39+AB45)*$AP$24)-(AB24*$AP$25)</f>
        <v>-6.9907261018749995</v>
      </c>
      <c r="AD11" s="10">
        <f>((AC39+AC45)*$AP$24)-(AC24*$AP$25)</f>
        <v>-10.442644148195312</v>
      </c>
      <c r="AE11" s="10">
        <v>0</v>
      </c>
      <c r="AF11" s="10">
        <f>AE11</f>
        <v>0</v>
      </c>
      <c r="AG11" s="10">
        <f t="shared" si="17"/>
        <v>0</v>
      </c>
      <c r="AH11" s="10">
        <f t="shared" si="17"/>
        <v>0</v>
      </c>
      <c r="AI11" s="10">
        <f t="shared" si="17"/>
        <v>0</v>
      </c>
      <c r="AJ11" s="10">
        <f t="shared" si="17"/>
        <v>0</v>
      </c>
      <c r="AK11" s="10">
        <f t="shared" si="17"/>
        <v>0</v>
      </c>
      <c r="AL11" s="10">
        <f t="shared" si="17"/>
        <v>0</v>
      </c>
    </row>
    <row r="12" spans="1:64">
      <c r="B12" s="7" t="s">
        <v>47</v>
      </c>
      <c r="C12" s="11">
        <f>C8+C9+C10+C11</f>
        <v>8.1161530000000006</v>
      </c>
      <c r="D12" s="25">
        <f t="shared" ref="D12:O12" si="18">D8+D9+D10+D11</f>
        <v>7.4694469999999997</v>
      </c>
      <c r="E12" s="25">
        <f t="shared" si="18"/>
        <v>9.0435189999999999</v>
      </c>
      <c r="F12" s="25">
        <f t="shared" si="18"/>
        <v>7.3091059999999999</v>
      </c>
      <c r="G12" s="25">
        <f t="shared" si="18"/>
        <v>8.1581609999999998</v>
      </c>
      <c r="H12" s="25">
        <f t="shared" si="18"/>
        <v>13.598974999999999</v>
      </c>
      <c r="I12" s="25">
        <f t="shared" si="18"/>
        <v>9.6210920000000009</v>
      </c>
      <c r="J12" s="25">
        <f t="shared" si="18"/>
        <v>12.729000999999997</v>
      </c>
      <c r="K12" s="25">
        <f t="shared" si="18"/>
        <v>7.0147130000000004</v>
      </c>
      <c r="L12" s="25">
        <f t="shared" si="18"/>
        <v>9.0335269999999994</v>
      </c>
      <c r="M12" s="25">
        <f t="shared" si="18"/>
        <v>7.685619</v>
      </c>
      <c r="N12" s="25">
        <f t="shared" si="18"/>
        <v>7.9457059999999977</v>
      </c>
      <c r="O12" s="25">
        <f t="shared" si="18"/>
        <v>7.5085289999999993</v>
      </c>
      <c r="P12" s="25">
        <f t="shared" ref="P12" si="19">P8+P9+P10+P11</f>
        <v>6.9737540000000005</v>
      </c>
      <c r="Q12" s="25">
        <f t="shared" ref="Q12:AL12" si="20">Q8+Q9+Q10+Q11</f>
        <v>8.1491969999999991</v>
      </c>
      <c r="R12" s="33">
        <f>R8+R9+R10+R11</f>
        <v>7.0983890000000009</v>
      </c>
      <c r="S12" s="25">
        <f t="shared" si="20"/>
        <v>6.3286790000000002</v>
      </c>
      <c r="T12" s="25">
        <f t="shared" si="20"/>
        <v>5.5207300000000004</v>
      </c>
      <c r="U12" s="33">
        <f t="shared" si="20"/>
        <v>5.1159142249999983</v>
      </c>
      <c r="V12" s="33">
        <f t="shared" si="20"/>
        <v>5.1159142249999983</v>
      </c>
      <c r="W12" s="33"/>
      <c r="X12" s="25">
        <f t="shared" si="20"/>
        <v>31.938224999999999</v>
      </c>
      <c r="Y12" s="25">
        <f t="shared" si="20"/>
        <v>44.107228999999997</v>
      </c>
      <c r="Z12" s="25">
        <f t="shared" si="20"/>
        <v>31.679565</v>
      </c>
      <c r="AA12" s="25">
        <f t="shared" si="20"/>
        <v>29.729869000000001</v>
      </c>
      <c r="AB12" s="33">
        <f t="shared" si="20"/>
        <v>22.081237449999996</v>
      </c>
      <c r="AC12" s="33">
        <f t="shared" si="20"/>
        <v>4.8531300981249981</v>
      </c>
      <c r="AD12" s="33">
        <f t="shared" si="20"/>
        <v>-3.3013802381953052</v>
      </c>
      <c r="AE12" s="33">
        <f t="shared" si="20"/>
        <v>0</v>
      </c>
      <c r="AF12" s="33">
        <f t="shared" si="20"/>
        <v>0</v>
      </c>
      <c r="AG12" s="33">
        <f t="shared" si="20"/>
        <v>0</v>
      </c>
      <c r="AH12" s="33">
        <f t="shared" si="20"/>
        <v>0</v>
      </c>
      <c r="AI12" s="33">
        <f t="shared" si="20"/>
        <v>0</v>
      </c>
      <c r="AJ12" s="33">
        <f t="shared" si="20"/>
        <v>0</v>
      </c>
      <c r="AK12" s="33">
        <f t="shared" si="20"/>
        <v>0</v>
      </c>
      <c r="AL12" s="33">
        <f t="shared" si="20"/>
        <v>0</v>
      </c>
    </row>
    <row r="13" spans="1:64" s="12" customFormat="1">
      <c r="B13" s="13" t="s">
        <v>38</v>
      </c>
      <c r="C13" s="14">
        <f t="shared" ref="C13:T13" si="21">C7-C12</f>
        <v>-3.0409420000000003</v>
      </c>
      <c r="D13" s="14">
        <f t="shared" si="21"/>
        <v>-3.0226939999999995</v>
      </c>
      <c r="E13" s="14">
        <f t="shared" si="21"/>
        <v>-2.4116619999999998</v>
      </c>
      <c r="F13" s="14">
        <f t="shared" si="21"/>
        <v>-4.24709</v>
      </c>
      <c r="G13" s="14">
        <f t="shared" si="21"/>
        <v>-6.4614399999999996</v>
      </c>
      <c r="H13" s="14">
        <f t="shared" si="21"/>
        <v>-11.107918999999999</v>
      </c>
      <c r="I13" s="14">
        <f t="shared" si="21"/>
        <v>-6.0431440000000007</v>
      </c>
      <c r="J13" s="14">
        <f t="shared" si="21"/>
        <v>-7.7689339999999962</v>
      </c>
      <c r="K13" s="14">
        <f t="shared" si="21"/>
        <v>-5.5489610000000003</v>
      </c>
      <c r="L13" s="14">
        <f t="shared" si="21"/>
        <v>-6.3323629999999991</v>
      </c>
      <c r="M13" s="14">
        <f t="shared" si="21"/>
        <v>-5.3957990000000002</v>
      </c>
      <c r="N13" s="14">
        <f t="shared" si="21"/>
        <v>-5.4316069999999979</v>
      </c>
      <c r="O13" s="14">
        <f t="shared" si="21"/>
        <v>-6.1801649999999988</v>
      </c>
      <c r="P13" s="14">
        <f t="shared" si="21"/>
        <v>-6.0090870000000001</v>
      </c>
      <c r="Q13" s="14">
        <f t="shared" si="21"/>
        <v>-5.8570539999999998</v>
      </c>
      <c r="R13" s="14">
        <f t="shared" si="21"/>
        <v>-6.1642630000000009</v>
      </c>
      <c r="S13" s="14">
        <f t="shared" si="21"/>
        <v>-5.7792640000000004</v>
      </c>
      <c r="T13" s="14">
        <f t="shared" si="21"/>
        <v>-4.8701180000000006</v>
      </c>
      <c r="U13" s="14">
        <f t="shared" ref="U13" si="22">U7-U12</f>
        <v>31.159362024999986</v>
      </c>
      <c r="V13" s="14">
        <f t="shared" ref="V13" si="23">V7-V12</f>
        <v>31.159362024999986</v>
      </c>
      <c r="W13" s="14"/>
      <c r="X13" s="14">
        <f t="shared" ref="X13:AB13" si="24">X7-X12</f>
        <v>-12.722387999999999</v>
      </c>
      <c r="Y13" s="14">
        <f t="shared" si="24"/>
        <v>-31.381436999999998</v>
      </c>
      <c r="Z13" s="14">
        <f t="shared" si="24"/>
        <v>-22.708730000000003</v>
      </c>
      <c r="AA13" s="14">
        <f t="shared" si="24"/>
        <v>-24.210569</v>
      </c>
      <c r="AB13" s="14">
        <f t="shared" si="24"/>
        <v>51.669342049999962</v>
      </c>
      <c r="AC13" s="14">
        <f t="shared" ref="AC13" si="25">AC7-AC12</f>
        <v>92.051147901874998</v>
      </c>
      <c r="AD13" s="14">
        <f t="shared" ref="AD13" si="26">AD7-AD12</f>
        <v>61.729903138195361</v>
      </c>
      <c r="AE13" s="14">
        <f t="shared" ref="AE13" si="27">AE7-AE12</f>
        <v>0</v>
      </c>
      <c r="AF13" s="14">
        <f t="shared" ref="AF13" si="28">AF7-AF12</f>
        <v>0</v>
      </c>
      <c r="AG13" s="14">
        <f t="shared" ref="AG13" si="29">AG7-AG12</f>
        <v>0</v>
      </c>
      <c r="AH13" s="14">
        <f t="shared" ref="AH13" si="30">AH7-AH12</f>
        <v>0</v>
      </c>
      <c r="AI13" s="14">
        <f t="shared" ref="AI13" si="31">AI7-AI12</f>
        <v>0</v>
      </c>
      <c r="AJ13" s="14">
        <f t="shared" ref="AJ13" si="32">AJ7-AJ12</f>
        <v>0</v>
      </c>
      <c r="AK13" s="14">
        <f t="shared" ref="AK13" si="33">AK7-AK12</f>
        <v>0</v>
      </c>
      <c r="AL13" s="14">
        <f t="shared" ref="AL13" si="34">AL7-AL12</f>
        <v>0</v>
      </c>
    </row>
    <row r="14" spans="1:64" s="12" customFormat="1">
      <c r="B14" s="13" t="s">
        <v>173</v>
      </c>
      <c r="C14" s="14">
        <f>-1.368516+0.001323</f>
        <v>-1.3671930000000001</v>
      </c>
      <c r="D14" s="14">
        <f>-1.548927+0.003361</f>
        <v>-1.545566</v>
      </c>
      <c r="E14" s="14">
        <f>-2.018644+0.000528</f>
        <v>-2.018116</v>
      </c>
      <c r="F14" s="14">
        <f>X14-SUM(C14:E14)</f>
        <v>-10.542076</v>
      </c>
      <c r="G14" s="14">
        <f>1.762958-0.002793</f>
        <v>1.760165</v>
      </c>
      <c r="H14" s="14">
        <f>2.039851+0.002006</f>
        <v>2.0418570000000003</v>
      </c>
      <c r="I14" s="14">
        <f>4.726054+0.000329</f>
        <v>4.7263830000000002</v>
      </c>
      <c r="J14" s="14">
        <f>Y14-SUM(G14:I14)</f>
        <v>0.41556200000000132</v>
      </c>
      <c r="K14" s="14">
        <f>-0.436813+0.000162</f>
        <v>-0.43665100000000001</v>
      </c>
      <c r="L14" s="14">
        <f>0.325012+0.000074</f>
        <v>0.32508600000000004</v>
      </c>
      <c r="M14" s="14">
        <f>-0.015032+0.000094</f>
        <v>-1.4938E-2</v>
      </c>
      <c r="N14" s="14">
        <f>Z14-SUM(K14:M14)</f>
        <v>0.46292699999999998</v>
      </c>
      <c r="O14" s="14">
        <f>-0.974199+0.000103</f>
        <v>-0.97409600000000007</v>
      </c>
      <c r="P14" s="14">
        <f>0.980289+0.001382</f>
        <v>0.98167099999999996</v>
      </c>
      <c r="Q14" s="14">
        <f>-0.734955+0.000005</f>
        <v>-0.73494999999999999</v>
      </c>
      <c r="R14" s="14">
        <f>AA14-SUM(O14:Q14)</f>
        <v>0.14217200000000019</v>
      </c>
      <c r="S14" s="14">
        <f>0.156105+0.000005</f>
        <v>0.15611</v>
      </c>
      <c r="T14" s="14">
        <f>0.145788+0.001051</f>
        <v>0.146839</v>
      </c>
      <c r="U14" s="12">
        <v>0</v>
      </c>
      <c r="V14" s="12">
        <v>0</v>
      </c>
      <c r="X14" s="14">
        <f>-15.957068+0.484117</f>
        <v>-15.472951</v>
      </c>
      <c r="Y14" s="14">
        <f>8.930906+0.013061</f>
        <v>8.9439670000000007</v>
      </c>
      <c r="Z14" s="14">
        <f>0.335902+0.000522</f>
        <v>0.336424</v>
      </c>
      <c r="AA14" s="14">
        <f>-0.073756+0.001497-0.512944</f>
        <v>-0.58520299999999992</v>
      </c>
      <c r="AB14" s="14">
        <f>SUM(S14:V14)</f>
        <v>0.30294900000000002</v>
      </c>
      <c r="AC14" s="12">
        <v>0</v>
      </c>
      <c r="AD14" s="12">
        <v>0</v>
      </c>
      <c r="AE14" s="12">
        <v>0</v>
      </c>
      <c r="AF14" s="12">
        <v>0</v>
      </c>
      <c r="AG14" s="12">
        <v>0</v>
      </c>
      <c r="AH14" s="12">
        <v>0</v>
      </c>
      <c r="AI14" s="12">
        <v>0</v>
      </c>
      <c r="AJ14" s="12">
        <v>0</v>
      </c>
      <c r="AK14" s="12">
        <v>0</v>
      </c>
      <c r="AL14" s="12">
        <v>0</v>
      </c>
    </row>
    <row r="15" spans="1:64" s="12" customFormat="1">
      <c r="B15" s="13" t="s">
        <v>37</v>
      </c>
      <c r="C15" s="14">
        <f>C13+C14</f>
        <v>-4.4081350000000006</v>
      </c>
      <c r="D15" s="14">
        <f t="shared" ref="D15:F15" si="35">D13+D14</f>
        <v>-4.5682599999999995</v>
      </c>
      <c r="E15" s="14">
        <f t="shared" si="35"/>
        <v>-4.4297779999999998</v>
      </c>
      <c r="F15" s="14">
        <f t="shared" si="35"/>
        <v>-14.789166</v>
      </c>
      <c r="G15" s="14">
        <f>G13+G14</f>
        <v>-4.7012749999999999</v>
      </c>
      <c r="H15" s="14">
        <f t="shared" ref="H15" si="36">H13+H14</f>
        <v>-9.0660619999999987</v>
      </c>
      <c r="I15" s="14">
        <f t="shared" ref="I15" si="37">I13+I14</f>
        <v>-1.3167610000000005</v>
      </c>
      <c r="J15" s="14">
        <f>J13+J14</f>
        <v>-7.3533719999999949</v>
      </c>
      <c r="K15" s="14">
        <f>K13+K14</f>
        <v>-5.9856120000000006</v>
      </c>
      <c r="L15" s="14">
        <f t="shared" ref="L15" si="38">L13+L14</f>
        <v>-6.0072769999999993</v>
      </c>
      <c r="M15" s="14">
        <f t="shared" ref="M15" si="39">M13+M14</f>
        <v>-5.4107370000000001</v>
      </c>
      <c r="N15" s="14">
        <f>N13+N14</f>
        <v>-4.9686799999999982</v>
      </c>
      <c r="O15" s="14">
        <f>O13+O14</f>
        <v>-7.1542609999999991</v>
      </c>
      <c r="P15" s="14">
        <f t="shared" ref="P15" si="40">P13+P14</f>
        <v>-5.0274160000000006</v>
      </c>
      <c r="Q15" s="14">
        <f t="shared" ref="Q15" si="41">Q13+Q14</f>
        <v>-6.5920039999999993</v>
      </c>
      <c r="R15" s="14">
        <f>R13+R14</f>
        <v>-6.0220910000000005</v>
      </c>
      <c r="S15" s="14">
        <f t="shared" ref="S15" si="42">S13+S14</f>
        <v>-5.6231540000000004</v>
      </c>
      <c r="T15" s="14">
        <f t="shared" ref="T15:V15" si="43">T13+T14</f>
        <v>-4.7232790000000007</v>
      </c>
      <c r="U15" s="14">
        <f t="shared" si="43"/>
        <v>31.159362024999986</v>
      </c>
      <c r="V15" s="14">
        <f t="shared" si="43"/>
        <v>31.159362024999986</v>
      </c>
      <c r="W15" s="14"/>
      <c r="X15" s="14">
        <f t="shared" ref="X15:AB15" si="44">X13+X14</f>
        <v>-28.195338999999997</v>
      </c>
      <c r="Y15" s="14">
        <f t="shared" si="44"/>
        <v>-22.437469999999998</v>
      </c>
      <c r="Z15" s="14">
        <f t="shared" si="44"/>
        <v>-22.372306000000002</v>
      </c>
      <c r="AA15" s="14">
        <f t="shared" si="44"/>
        <v>-24.795771999999999</v>
      </c>
      <c r="AB15" s="14">
        <f t="shared" si="44"/>
        <v>51.97229104999996</v>
      </c>
      <c r="AC15" s="14">
        <f t="shared" ref="AC15:AJ15" si="45">AC13+AC14</f>
        <v>92.051147901874998</v>
      </c>
      <c r="AD15" s="14">
        <f t="shared" si="45"/>
        <v>61.729903138195361</v>
      </c>
      <c r="AE15" s="14">
        <f t="shared" si="45"/>
        <v>0</v>
      </c>
      <c r="AF15" s="14">
        <f t="shared" si="45"/>
        <v>0</v>
      </c>
      <c r="AG15" s="14">
        <f t="shared" si="45"/>
        <v>0</v>
      </c>
      <c r="AH15" s="14">
        <f t="shared" si="45"/>
        <v>0</v>
      </c>
      <c r="AI15" s="14">
        <f t="shared" si="45"/>
        <v>0</v>
      </c>
      <c r="AJ15" s="14">
        <f t="shared" si="45"/>
        <v>0</v>
      </c>
      <c r="AK15" s="14">
        <f t="shared" ref="AK15:AL15" si="46">AK13+AK14</f>
        <v>0</v>
      </c>
      <c r="AL15" s="14">
        <f t="shared" si="46"/>
        <v>0</v>
      </c>
    </row>
    <row r="16" spans="1:64" s="12" customFormat="1">
      <c r="B16" s="13" t="s">
        <v>39</v>
      </c>
      <c r="C16" s="14"/>
      <c r="D16" s="14"/>
      <c r="E16" s="14"/>
      <c r="F16" s="14">
        <f>X16-SUM(C16:E16)</f>
        <v>0</v>
      </c>
      <c r="G16" s="14"/>
      <c r="H16" s="14">
        <v>-32.907988000000003</v>
      </c>
      <c r="I16" s="14">
        <v>-1.5272749999999999</v>
      </c>
      <c r="J16" s="14">
        <f>Y16-SUM(G16:I16)</f>
        <v>-1.5963829999999959</v>
      </c>
      <c r="K16" s="14">
        <v>-1.9327190000000001</v>
      </c>
      <c r="L16" s="14">
        <v>-1.66072</v>
      </c>
      <c r="M16" s="14">
        <v>-2.4703460000000002</v>
      </c>
      <c r="N16" s="14">
        <f>Z16-SUM(K16:M16)</f>
        <v>-1.7803680000000002</v>
      </c>
      <c r="O16" s="14">
        <v>-2.2784420000000001</v>
      </c>
      <c r="P16" s="14">
        <v>-1.9663360000000001</v>
      </c>
      <c r="Q16" s="14">
        <v>-1.6900280000000001</v>
      </c>
      <c r="R16" s="14">
        <f>AA16-SUM(O16:Q16)</f>
        <v>-1.6836330000000004</v>
      </c>
      <c r="S16" s="14">
        <v>-2.241295</v>
      </c>
      <c r="T16" s="14">
        <v>-1.7750170000000001</v>
      </c>
      <c r="U16" s="12">
        <f>U15*U60</f>
        <v>7.7898405062499965</v>
      </c>
      <c r="V16" s="12">
        <f>V15*V60</f>
        <v>7.7898405062499965</v>
      </c>
      <c r="X16" s="14"/>
      <c r="Y16" s="14">
        <v>-36.031646000000002</v>
      </c>
      <c r="Z16" s="14">
        <v>-7.8441530000000004</v>
      </c>
      <c r="AA16" s="14">
        <v>-7.6184390000000004</v>
      </c>
      <c r="AB16" s="14">
        <f>SUM(S16:V16)</f>
        <v>11.563369012499994</v>
      </c>
      <c r="AC16" s="12">
        <f>AC15*AC60</f>
        <v>23.01278697546875</v>
      </c>
      <c r="AD16" s="12">
        <f t="shared" ref="AD16:AL16" si="47">AD15*AD60</f>
        <v>15.43247578454884</v>
      </c>
      <c r="AE16" s="12">
        <f t="shared" si="47"/>
        <v>0</v>
      </c>
      <c r="AF16" s="12">
        <f t="shared" si="47"/>
        <v>0</v>
      </c>
      <c r="AG16" s="12">
        <f t="shared" si="47"/>
        <v>0</v>
      </c>
      <c r="AH16" s="12">
        <f t="shared" si="47"/>
        <v>0</v>
      </c>
      <c r="AI16" s="12">
        <f t="shared" si="47"/>
        <v>0</v>
      </c>
      <c r="AJ16" s="12">
        <f t="shared" si="47"/>
        <v>0</v>
      </c>
      <c r="AK16" s="12">
        <f t="shared" si="47"/>
        <v>0</v>
      </c>
      <c r="AL16" s="12">
        <f t="shared" si="47"/>
        <v>0</v>
      </c>
    </row>
    <row r="17" spans="2:64" s="12" customFormat="1">
      <c r="B17" s="13" t="s">
        <v>40</v>
      </c>
      <c r="C17" s="14">
        <f>C15-C16</f>
        <v>-4.4081350000000006</v>
      </c>
      <c r="D17" s="14">
        <f t="shared" ref="D17:F17" si="48">D15-D16</f>
        <v>-4.5682599999999995</v>
      </c>
      <c r="E17" s="14">
        <f t="shared" si="48"/>
        <v>-4.4297779999999998</v>
      </c>
      <c r="F17" s="14">
        <f t="shared" si="48"/>
        <v>-14.789166</v>
      </c>
      <c r="G17" s="14">
        <f>G15-G16</f>
        <v>-4.7012749999999999</v>
      </c>
      <c r="H17" s="14">
        <f t="shared" ref="H17" si="49">H15-H16</f>
        <v>23.841926000000004</v>
      </c>
      <c r="I17" s="14">
        <f t="shared" ref="I17" si="50">I15-I16</f>
        <v>0.21051399999999942</v>
      </c>
      <c r="J17" s="14">
        <f>J15-J16</f>
        <v>-5.756988999999999</v>
      </c>
      <c r="K17" s="14">
        <f>K15-K16</f>
        <v>-4.052893000000001</v>
      </c>
      <c r="L17" s="14">
        <f t="shared" ref="L17" si="51">L15-L16</f>
        <v>-4.3465569999999989</v>
      </c>
      <c r="M17" s="14">
        <f t="shared" ref="M17" si="52">M15-M16</f>
        <v>-2.940391</v>
      </c>
      <c r="N17" s="14">
        <f>N15-N16</f>
        <v>-3.188311999999998</v>
      </c>
      <c r="O17" s="14">
        <f>O15-O16</f>
        <v>-4.875818999999999</v>
      </c>
      <c r="P17" s="14">
        <f t="shared" ref="P17" si="53">P15-P16</f>
        <v>-3.0610800000000005</v>
      </c>
      <c r="Q17" s="14">
        <f t="shared" ref="Q17" si="54">Q15-Q16</f>
        <v>-4.9019759999999994</v>
      </c>
      <c r="R17" s="14">
        <f>R15-R16</f>
        <v>-4.3384580000000001</v>
      </c>
      <c r="S17" s="14">
        <f t="shared" ref="S17" si="55">S15-S16</f>
        <v>-3.3818590000000004</v>
      </c>
      <c r="T17" s="14">
        <f t="shared" ref="T17:V17" si="56">T15-T16</f>
        <v>-2.9482620000000006</v>
      </c>
      <c r="U17" s="14">
        <f t="shared" si="56"/>
        <v>23.369521518749991</v>
      </c>
      <c r="V17" s="14">
        <f t="shared" si="56"/>
        <v>23.369521518749991</v>
      </c>
      <c r="W17" s="14"/>
      <c r="X17" s="14">
        <f t="shared" ref="X17:AA17" si="57">X15-X16</f>
        <v>-28.195338999999997</v>
      </c>
      <c r="Y17" s="14">
        <f t="shared" si="57"/>
        <v>13.594176000000004</v>
      </c>
      <c r="Z17" s="14">
        <f t="shared" si="57"/>
        <v>-14.528153000000001</v>
      </c>
      <c r="AA17" s="14">
        <f t="shared" si="57"/>
        <v>-17.177332999999997</v>
      </c>
      <c r="AB17" s="14">
        <f t="shared" ref="AB17:AJ17" si="58">AB15-AB16</f>
        <v>40.408922037499963</v>
      </c>
      <c r="AC17" s="14">
        <f t="shared" si="58"/>
        <v>69.038360926406256</v>
      </c>
      <c r="AD17" s="14">
        <f t="shared" si="58"/>
        <v>46.297427353646519</v>
      </c>
      <c r="AE17" s="14">
        <f t="shared" si="58"/>
        <v>0</v>
      </c>
      <c r="AF17" s="14">
        <f t="shared" si="58"/>
        <v>0</v>
      </c>
      <c r="AG17" s="14">
        <f t="shared" si="58"/>
        <v>0</v>
      </c>
      <c r="AH17" s="14">
        <f t="shared" si="58"/>
        <v>0</v>
      </c>
      <c r="AI17" s="14">
        <f t="shared" si="58"/>
        <v>0</v>
      </c>
      <c r="AJ17" s="14">
        <f t="shared" si="58"/>
        <v>0</v>
      </c>
      <c r="AK17" s="14">
        <f t="shared" ref="AK17:AL17" si="59">AK15-AK16</f>
        <v>0</v>
      </c>
      <c r="AL17" s="14">
        <f t="shared" si="59"/>
        <v>0</v>
      </c>
      <c r="AM17" s="12">
        <f t="shared" ref="AM17:BL17" si="60">AL17*(1+$AP$26)</f>
        <v>0</v>
      </c>
      <c r="AN17" s="12">
        <f t="shared" si="60"/>
        <v>0</v>
      </c>
      <c r="AO17" s="12">
        <f t="shared" si="60"/>
        <v>0</v>
      </c>
      <c r="AP17" s="12">
        <f t="shared" si="60"/>
        <v>0</v>
      </c>
      <c r="AQ17" s="12">
        <f t="shared" si="60"/>
        <v>0</v>
      </c>
      <c r="AR17" s="12">
        <f t="shared" si="60"/>
        <v>0</v>
      </c>
      <c r="AS17" s="12">
        <f t="shared" si="60"/>
        <v>0</v>
      </c>
      <c r="AT17" s="12">
        <f t="shared" si="60"/>
        <v>0</v>
      </c>
      <c r="AU17" s="12">
        <f t="shared" si="60"/>
        <v>0</v>
      </c>
      <c r="AV17" s="12">
        <f t="shared" si="60"/>
        <v>0</v>
      </c>
      <c r="AW17" s="12">
        <f t="shared" si="60"/>
        <v>0</v>
      </c>
      <c r="AX17" s="12">
        <f t="shared" si="60"/>
        <v>0</v>
      </c>
      <c r="AY17" s="12">
        <f t="shared" si="60"/>
        <v>0</v>
      </c>
      <c r="AZ17" s="12">
        <f t="shared" si="60"/>
        <v>0</v>
      </c>
      <c r="BA17" s="12">
        <f t="shared" si="60"/>
        <v>0</v>
      </c>
      <c r="BB17" s="12">
        <f t="shared" si="60"/>
        <v>0</v>
      </c>
      <c r="BC17" s="12">
        <f t="shared" si="60"/>
        <v>0</v>
      </c>
      <c r="BD17" s="12">
        <f t="shared" si="60"/>
        <v>0</v>
      </c>
      <c r="BE17" s="12">
        <f t="shared" si="60"/>
        <v>0</v>
      </c>
      <c r="BF17" s="12">
        <f t="shared" si="60"/>
        <v>0</v>
      </c>
      <c r="BG17" s="12">
        <f t="shared" si="60"/>
        <v>0</v>
      </c>
      <c r="BH17" s="12">
        <f t="shared" si="60"/>
        <v>0</v>
      </c>
      <c r="BI17" s="12">
        <f t="shared" si="60"/>
        <v>0</v>
      </c>
      <c r="BJ17" s="12">
        <f t="shared" si="60"/>
        <v>0</v>
      </c>
      <c r="BK17" s="12">
        <f t="shared" si="60"/>
        <v>0</v>
      </c>
      <c r="BL17" s="12">
        <f t="shared" si="60"/>
        <v>0</v>
      </c>
    </row>
    <row r="18" spans="2:64" s="18" customFormat="1">
      <c r="B18" s="19" t="s">
        <v>41</v>
      </c>
      <c r="C18" s="20">
        <f t="shared" ref="C18:U18" si="61">C17/C19</f>
        <v>-0.10116497494005966</v>
      </c>
      <c r="D18" s="20">
        <f t="shared" si="61"/>
        <v>-0.10460412146549269</v>
      </c>
      <c r="E18" s="20">
        <f t="shared" si="61"/>
        <v>-9.5580583292155727E-2</v>
      </c>
      <c r="F18" s="20">
        <f t="shared" si="61"/>
        <v>-0.30170006250378295</v>
      </c>
      <c r="G18" s="20">
        <f t="shared" si="61"/>
        <v>-9.3314180929046822E-2</v>
      </c>
      <c r="H18" s="20">
        <f t="shared" si="61"/>
        <v>0.46462793976936173</v>
      </c>
      <c r="I18" s="20">
        <f t="shared" si="61"/>
        <v>4.0941281115881136E-3</v>
      </c>
      <c r="J18" s="20">
        <f t="shared" si="61"/>
        <v>-0.11148885016412149</v>
      </c>
      <c r="K18" s="20">
        <f t="shared" si="61"/>
        <v>-7.8486102732325799E-2</v>
      </c>
      <c r="L18" s="20">
        <f t="shared" si="61"/>
        <v>-8.4173038674820594E-2</v>
      </c>
      <c r="M18" s="20">
        <f t="shared" si="61"/>
        <v>-5.6937403519425465E-2</v>
      </c>
      <c r="N18" s="20">
        <f t="shared" si="61"/>
        <v>-6.1738118124367247E-2</v>
      </c>
      <c r="O18" s="20">
        <f t="shared" si="61"/>
        <v>-9.354353373777767E-2</v>
      </c>
      <c r="P18" s="20">
        <f t="shared" si="61"/>
        <v>-5.8421462793590964E-2</v>
      </c>
      <c r="Q18" s="20">
        <f t="shared" si="61"/>
        <v>-9.3205300338723637E-2</v>
      </c>
      <c r="R18" s="20">
        <f t="shared" si="61"/>
        <v>-8.1689934731021457E-2</v>
      </c>
      <c r="S18" s="20">
        <f t="shared" si="61"/>
        <v>-6.340752285315901E-2</v>
      </c>
      <c r="T18" s="20">
        <f t="shared" si="61"/>
        <v>-5.5103276192999547E-2</v>
      </c>
      <c r="U18" s="20">
        <f t="shared" si="61"/>
        <v>0.43677841343338097</v>
      </c>
      <c r="V18" s="20">
        <f t="shared" ref="V18:AL18" si="62">V17/V19</f>
        <v>0.43677841343338097</v>
      </c>
      <c r="W18" s="20"/>
      <c r="X18" s="20">
        <f t="shared" si="62"/>
        <v>-0.57518696717687445</v>
      </c>
      <c r="Y18" s="20">
        <f t="shared" si="62"/>
        <v>0.26326245389190378</v>
      </c>
      <c r="Z18" s="20">
        <f t="shared" si="62"/>
        <v>-0.28132153504515278</v>
      </c>
      <c r="AA18" s="20">
        <f t="shared" si="62"/>
        <v>-0.3234363941342801</v>
      </c>
      <c r="AB18" s="20">
        <f t="shared" si="62"/>
        <v>0.75524630839923523</v>
      </c>
      <c r="AC18" s="20">
        <f t="shared" si="62"/>
        <v>1.2903330402928068</v>
      </c>
      <c r="AD18" s="20">
        <f t="shared" si="62"/>
        <v>0.86530299087846185</v>
      </c>
      <c r="AE18" s="20">
        <f t="shared" si="62"/>
        <v>0</v>
      </c>
      <c r="AF18" s="20">
        <f t="shared" si="62"/>
        <v>0</v>
      </c>
      <c r="AG18" s="20">
        <f t="shared" si="62"/>
        <v>0</v>
      </c>
      <c r="AH18" s="20">
        <f t="shared" si="62"/>
        <v>0</v>
      </c>
      <c r="AI18" s="20">
        <f t="shared" si="62"/>
        <v>0</v>
      </c>
      <c r="AJ18" s="20">
        <f t="shared" si="62"/>
        <v>0</v>
      </c>
      <c r="AK18" s="20">
        <f t="shared" si="62"/>
        <v>0</v>
      </c>
      <c r="AL18" s="20">
        <f t="shared" si="62"/>
        <v>0</v>
      </c>
    </row>
    <row r="19" spans="2:64" s="12" customFormat="1">
      <c r="B19" s="13" t="s">
        <v>9</v>
      </c>
      <c r="C19" s="14">
        <v>43.573726999999998</v>
      </c>
      <c r="D19" s="14">
        <v>43.671892999999997</v>
      </c>
      <c r="E19" s="14">
        <v>46.346003000000003</v>
      </c>
      <c r="F19" s="14">
        <f>X19</f>
        <v>49.019432999999999</v>
      </c>
      <c r="G19" s="14">
        <v>50.381141999999997</v>
      </c>
      <c r="H19" s="14">
        <v>51.314017</v>
      </c>
      <c r="I19" s="14">
        <v>51.418517999999999</v>
      </c>
      <c r="J19" s="14">
        <f>Y19</f>
        <v>51.637352</v>
      </c>
      <c r="K19" s="14">
        <v>51.638351999999998</v>
      </c>
      <c r="L19" s="14">
        <v>51.638351999999998</v>
      </c>
      <c r="M19" s="14">
        <v>51.642519999999998</v>
      </c>
      <c r="N19" s="14">
        <f>Z19</f>
        <v>51.642519999999998</v>
      </c>
      <c r="O19" s="14">
        <v>52.123528</v>
      </c>
      <c r="P19" s="14">
        <v>52.396496999999997</v>
      </c>
      <c r="Q19" s="14">
        <v>52.593317999999996</v>
      </c>
      <c r="R19" s="14">
        <f>AA19</f>
        <v>53.108843999999998</v>
      </c>
      <c r="S19" s="14">
        <v>53.335296</v>
      </c>
      <c r="T19" s="14">
        <v>53.504295999999997</v>
      </c>
      <c r="U19" s="12">
        <f>T19</f>
        <v>53.504295999999997</v>
      </c>
      <c r="V19" s="12">
        <f>U19</f>
        <v>53.504295999999997</v>
      </c>
      <c r="X19" s="14">
        <v>49.019432999999999</v>
      </c>
      <c r="Y19" s="14">
        <v>51.637352</v>
      </c>
      <c r="Z19" s="14">
        <v>51.642519999999998</v>
      </c>
      <c r="AA19" s="14">
        <v>53.108843999999998</v>
      </c>
      <c r="AB19" s="14">
        <f>T19</f>
        <v>53.504295999999997</v>
      </c>
      <c r="AC19" s="12">
        <f>AB19</f>
        <v>53.504295999999997</v>
      </c>
      <c r="AD19" s="12">
        <f t="shared" ref="AD19:AL19" si="63">AC19</f>
        <v>53.504295999999997</v>
      </c>
      <c r="AE19" s="12">
        <f t="shared" si="63"/>
        <v>53.504295999999997</v>
      </c>
      <c r="AF19" s="12">
        <f t="shared" si="63"/>
        <v>53.504295999999997</v>
      </c>
      <c r="AG19" s="12">
        <f t="shared" si="63"/>
        <v>53.504295999999997</v>
      </c>
      <c r="AH19" s="12">
        <f t="shared" si="63"/>
        <v>53.504295999999997</v>
      </c>
      <c r="AI19" s="12">
        <f t="shared" si="63"/>
        <v>53.504295999999997</v>
      </c>
      <c r="AJ19" s="12">
        <f t="shared" si="63"/>
        <v>53.504295999999997</v>
      </c>
      <c r="AK19" s="12">
        <f t="shared" si="63"/>
        <v>53.504295999999997</v>
      </c>
      <c r="AL19" s="12">
        <f t="shared" si="63"/>
        <v>53.504295999999997</v>
      </c>
    </row>
    <row r="20" spans="2:64" s="12" customFormat="1">
      <c r="B20" s="13"/>
      <c r="C20" s="14"/>
      <c r="D20" s="14"/>
      <c r="E20" s="14"/>
      <c r="F20" s="14"/>
      <c r="G20" s="14"/>
      <c r="H20" s="14"/>
      <c r="I20" s="14"/>
      <c r="J20" s="14"/>
      <c r="K20" s="14"/>
      <c r="L20" s="14"/>
      <c r="M20" s="14"/>
      <c r="N20" s="14"/>
      <c r="O20" s="14"/>
      <c r="P20" s="14"/>
      <c r="Q20" s="14"/>
      <c r="R20" s="14"/>
      <c r="S20" s="14"/>
      <c r="T20" s="14"/>
      <c r="X20" s="14"/>
      <c r="Y20" s="14"/>
      <c r="Z20" s="14"/>
      <c r="AA20" s="14"/>
      <c r="AB20" s="14"/>
    </row>
    <row r="21" spans="2:64" s="12" customFormat="1">
      <c r="B21" s="13"/>
      <c r="C21" s="14"/>
      <c r="D21" s="14"/>
      <c r="E21" s="14"/>
      <c r="F21" s="14"/>
      <c r="G21" s="14"/>
      <c r="H21" s="14"/>
      <c r="I21" s="14"/>
      <c r="J21" s="14"/>
      <c r="K21" s="14"/>
      <c r="L21" s="14"/>
      <c r="M21" s="14"/>
      <c r="N21" s="14"/>
      <c r="O21" s="14"/>
      <c r="P21" s="14"/>
      <c r="Q21" s="14"/>
      <c r="R21" s="14"/>
      <c r="S21" s="14"/>
      <c r="T21" s="14"/>
      <c r="X21" s="14"/>
      <c r="Y21" s="14"/>
      <c r="Z21" s="14"/>
      <c r="AA21" s="14"/>
      <c r="AB21" s="14"/>
    </row>
    <row r="22" spans="2:64" s="12" customFormat="1">
      <c r="C22" s="14"/>
      <c r="D22" s="14"/>
      <c r="E22" s="14"/>
      <c r="F22" s="14"/>
      <c r="G22" s="14"/>
      <c r="H22" s="14"/>
      <c r="I22" s="14"/>
      <c r="J22" s="14"/>
      <c r="K22" s="14"/>
      <c r="L22" s="14"/>
      <c r="M22" s="14"/>
      <c r="N22" s="14"/>
      <c r="O22" s="14"/>
      <c r="P22" s="14"/>
      <c r="Q22" s="14"/>
      <c r="R22" s="14"/>
      <c r="S22" s="14"/>
      <c r="T22" s="14"/>
      <c r="X22" s="14"/>
      <c r="Y22" s="14"/>
      <c r="Z22" s="14"/>
      <c r="AA22" s="14"/>
      <c r="AB22" s="14"/>
    </row>
    <row r="23" spans="2:64">
      <c r="B23" s="15" t="s">
        <v>42</v>
      </c>
      <c r="D23" s="25">
        <f>D24-C24</f>
        <v>-1.9681490000000004</v>
      </c>
      <c r="E23" s="25">
        <f t="shared" ref="E23:AA23" si="64">E24-D24</f>
        <v>4.1707619999999999</v>
      </c>
      <c r="F23" s="25">
        <f>14.496313+4.9993-F24</f>
        <v>-1.8357900000000029</v>
      </c>
      <c r="G23" s="25">
        <f t="shared" si="64"/>
        <v>-2.4959380000000024</v>
      </c>
      <c r="H23" s="25">
        <f t="shared" si="64"/>
        <v>-3.8352509999999995</v>
      </c>
      <c r="I23" s="25">
        <f t="shared" si="64"/>
        <v>-2.5902560000000001</v>
      </c>
      <c r="J23" s="25">
        <f t="shared" si="64"/>
        <v>36.846971999999994</v>
      </c>
      <c r="K23" s="25">
        <f t="shared" si="64"/>
        <v>-6.668453999999997</v>
      </c>
      <c r="L23" s="25">
        <f t="shared" si="64"/>
        <v>-7.6557000000000031</v>
      </c>
      <c r="M23" s="25">
        <f t="shared" si="64"/>
        <v>-12.260847999999996</v>
      </c>
      <c r="N23" s="25">
        <f t="shared" si="64"/>
        <v>9.345562000000001</v>
      </c>
      <c r="O23" s="25">
        <f t="shared" si="64"/>
        <v>-7.3270960000000009</v>
      </c>
      <c r="P23" s="25">
        <f t="shared" si="64"/>
        <v>8.2723339999999972</v>
      </c>
      <c r="Q23" s="25">
        <f t="shared" si="64"/>
        <v>72.227927000000008</v>
      </c>
      <c r="R23" s="25">
        <f t="shared" si="64"/>
        <v>-13.880901000000009</v>
      </c>
      <c r="S23" s="25">
        <f t="shared" si="64"/>
        <v>15.757316000000003</v>
      </c>
      <c r="T23" s="25">
        <f t="shared" si="64"/>
        <v>-8.0377430000000061</v>
      </c>
      <c r="X23" s="25">
        <f>14.496313+4.9993-X24</f>
        <v>-1.8357900000000029</v>
      </c>
      <c r="Y23" s="25">
        <f t="shared" si="64"/>
        <v>27.925526999999995</v>
      </c>
      <c r="Z23" s="25">
        <f t="shared" si="64"/>
        <v>-17.239439999999995</v>
      </c>
      <c r="AA23" s="25">
        <f t="shared" si="64"/>
        <v>59.292263999999996</v>
      </c>
      <c r="AB23" s="33"/>
    </row>
    <row r="24" spans="2:64">
      <c r="B24" s="13" t="s">
        <v>11</v>
      </c>
      <c r="C24" s="11">
        <f>8.508027+8.749925</f>
        <v>17.257952</v>
      </c>
      <c r="D24" s="25">
        <f>6.540003+8.7498</f>
        <v>15.289802999999999</v>
      </c>
      <c r="E24" s="25">
        <f>5.711777+13.748788</f>
        <v>19.460564999999999</v>
      </c>
      <c r="F24" s="25">
        <f>6.332053+14.99935</f>
        <v>21.331403000000002</v>
      </c>
      <c r="G24" s="25">
        <f>3.835915+14.99955</f>
        <v>18.835464999999999</v>
      </c>
      <c r="H24" s="25">
        <f>5.000364+9.99985</f>
        <v>15.000214</v>
      </c>
      <c r="I24" s="25">
        <f>12.409958</f>
        <v>12.409958</v>
      </c>
      <c r="J24" s="25">
        <v>49.256929999999997</v>
      </c>
      <c r="K24" s="25">
        <v>42.588476</v>
      </c>
      <c r="L24" s="25">
        <v>34.932775999999997</v>
      </c>
      <c r="M24" s="25">
        <v>22.671928000000001</v>
      </c>
      <c r="N24" s="25">
        <v>32.017490000000002</v>
      </c>
      <c r="O24" s="25">
        <v>24.690394000000001</v>
      </c>
      <c r="P24" s="25">
        <v>32.962727999999998</v>
      </c>
      <c r="Q24" s="25">
        <v>105.19065500000001</v>
      </c>
      <c r="R24" s="25">
        <v>91.309753999999998</v>
      </c>
      <c r="S24" s="25">
        <v>107.06707</v>
      </c>
      <c r="T24" s="25">
        <v>99.029326999999995</v>
      </c>
      <c r="U24" s="10"/>
      <c r="V24" s="10"/>
      <c r="W24" s="10"/>
      <c r="X24" s="25">
        <f>6.332053+14.99935</f>
        <v>21.331403000000002</v>
      </c>
      <c r="Y24" s="25">
        <v>49.256929999999997</v>
      </c>
      <c r="Z24" s="25">
        <v>32.017490000000002</v>
      </c>
      <c r="AA24" s="25">
        <v>91.309753999999998</v>
      </c>
      <c r="AB24" s="33">
        <f>T24+U17+V17</f>
        <v>145.76837003749998</v>
      </c>
      <c r="AC24" s="33">
        <f t="shared" ref="AC24:AL24" si="65">AB24+AC17</f>
        <v>214.80673096390623</v>
      </c>
      <c r="AD24" s="33">
        <f>AC24+AD17-(AC39+AC45)</f>
        <v>258.12723431755273</v>
      </c>
      <c r="AE24" s="33">
        <f t="shared" si="65"/>
        <v>258.12723431755273</v>
      </c>
      <c r="AF24" s="33">
        <f t="shared" si="65"/>
        <v>258.12723431755273</v>
      </c>
      <c r="AG24" s="33">
        <f t="shared" si="65"/>
        <v>258.12723431755273</v>
      </c>
      <c r="AH24" s="33">
        <f t="shared" si="65"/>
        <v>258.12723431755273</v>
      </c>
      <c r="AI24" s="33">
        <f t="shared" si="65"/>
        <v>258.12723431755273</v>
      </c>
      <c r="AJ24" s="33">
        <f t="shared" si="65"/>
        <v>258.12723431755273</v>
      </c>
      <c r="AK24" s="33">
        <f t="shared" si="65"/>
        <v>258.12723431755273</v>
      </c>
      <c r="AL24" s="33">
        <f t="shared" si="65"/>
        <v>258.12723431755273</v>
      </c>
      <c r="AO24" s="38" t="s">
        <v>146</v>
      </c>
      <c r="AP24" s="17">
        <v>0.1</v>
      </c>
    </row>
    <row r="25" spans="2:64">
      <c r="B25" s="13" t="s">
        <v>177</v>
      </c>
      <c r="C25" s="11">
        <v>3.308935</v>
      </c>
      <c r="D25" s="25">
        <v>3.4453469999999999</v>
      </c>
      <c r="E25" s="25">
        <v>1.3612359999999999</v>
      </c>
      <c r="F25" s="25">
        <v>3.0021439999999999</v>
      </c>
      <c r="G25" s="25">
        <v>1.245241</v>
      </c>
      <c r="H25" s="25">
        <v>1.80864</v>
      </c>
      <c r="I25" s="25">
        <v>1.708294</v>
      </c>
      <c r="J25" s="25">
        <v>2.6371030000000002</v>
      </c>
      <c r="K25" s="25">
        <f>1.93261</f>
        <v>1.9326099999999999</v>
      </c>
      <c r="L25" s="25">
        <f>1.517947</f>
        <v>1.5179469999999999</v>
      </c>
      <c r="M25" s="25">
        <f>1.095324</f>
        <v>1.095324</v>
      </c>
      <c r="N25" s="25">
        <f>0.970288</f>
        <v>0.97028800000000004</v>
      </c>
      <c r="O25" s="25">
        <f>1.026599+30.227538</f>
        <v>31.254137</v>
      </c>
      <c r="P25" s="25">
        <f>0.622789+57.597172</f>
        <v>58.219960999999998</v>
      </c>
      <c r="Q25" s="25">
        <f>0.741918+0.451185</f>
        <v>1.193103</v>
      </c>
      <c r="R25" s="25">
        <v>0.98202299999999998</v>
      </c>
      <c r="S25" s="25">
        <v>0.61041999999999996</v>
      </c>
      <c r="T25" s="25">
        <v>0.74270899999999995</v>
      </c>
      <c r="U25" s="10"/>
      <c r="V25" s="10"/>
      <c r="W25" s="10"/>
      <c r="X25" s="25">
        <v>3.0021439999999999</v>
      </c>
      <c r="Y25" s="25">
        <v>2.6371030000000002</v>
      </c>
      <c r="Z25" s="25">
        <f>0.970288</f>
        <v>0.97028800000000004</v>
      </c>
      <c r="AA25" s="25">
        <v>0.98202299999999998</v>
      </c>
      <c r="AB25" s="33"/>
      <c r="AC25" s="10"/>
      <c r="AD25" s="10"/>
      <c r="AE25" s="10"/>
      <c r="AF25" s="10"/>
      <c r="AG25" s="10"/>
      <c r="AH25" s="10"/>
      <c r="AI25" s="10"/>
      <c r="AJ25" s="10"/>
      <c r="AK25" s="10"/>
      <c r="AL25" s="10"/>
      <c r="AO25" s="38" t="s">
        <v>147</v>
      </c>
      <c r="AP25" s="17">
        <v>0.05</v>
      </c>
    </row>
    <row r="26" spans="2:64" s="26" customFormat="1">
      <c r="B26" s="15" t="s">
        <v>118</v>
      </c>
      <c r="C26" s="25"/>
      <c r="D26" s="25"/>
      <c r="E26" s="25"/>
      <c r="F26" s="25"/>
      <c r="G26" s="25"/>
      <c r="H26" s="25"/>
      <c r="I26" s="25"/>
      <c r="J26" s="25"/>
      <c r="K26" s="25">
        <f>0.923195</f>
        <v>0.92319499999999999</v>
      </c>
      <c r="L26" s="25">
        <f>8.85997</f>
        <v>8.8599700000000006</v>
      </c>
      <c r="M26" s="25">
        <f>17.357337</f>
        <v>17.357337000000001</v>
      </c>
      <c r="N26" s="25">
        <f>17.641922</f>
        <v>17.641922000000001</v>
      </c>
      <c r="O26" s="25">
        <f>13.148805</f>
        <v>13.148804999999999</v>
      </c>
      <c r="P26" s="25">
        <v>18.452501999999999</v>
      </c>
      <c r="Q26" s="25">
        <v>16.988019000000001</v>
      </c>
      <c r="R26" s="25">
        <v>20.515349000000001</v>
      </c>
      <c r="S26" s="25">
        <v>17.075545000000002</v>
      </c>
      <c r="T26" s="25">
        <v>16.845607000000001</v>
      </c>
      <c r="U26" s="10"/>
      <c r="V26" s="10"/>
      <c r="W26" s="10"/>
      <c r="X26" s="25"/>
      <c r="Y26" s="25"/>
      <c r="Z26" s="25">
        <f>17.641922</f>
        <v>17.641922000000001</v>
      </c>
      <c r="AA26" s="25">
        <v>20.515349000000001</v>
      </c>
      <c r="AB26" s="33"/>
      <c r="AC26" s="10"/>
      <c r="AD26" s="10"/>
      <c r="AE26" s="10"/>
      <c r="AF26" s="10"/>
      <c r="AG26" s="10"/>
      <c r="AH26" s="10"/>
      <c r="AI26" s="10"/>
      <c r="AJ26" s="10"/>
      <c r="AK26" s="10"/>
      <c r="AL26" s="10"/>
      <c r="AO26" s="37" t="s">
        <v>148</v>
      </c>
      <c r="AP26" s="17">
        <v>0.01</v>
      </c>
    </row>
    <row r="27" spans="2:64" s="26" customFormat="1">
      <c r="B27" s="13" t="s">
        <v>119</v>
      </c>
      <c r="C27" s="25"/>
      <c r="D27" s="25"/>
      <c r="E27" s="25"/>
      <c r="F27" s="25"/>
      <c r="G27" s="25"/>
      <c r="H27" s="25"/>
      <c r="I27" s="25"/>
      <c r="J27" s="25">
        <v>0.72777199999999997</v>
      </c>
      <c r="K27" s="25">
        <v>0.73180699999999999</v>
      </c>
      <c r="L27" s="25">
        <v>0.72620300000000004</v>
      </c>
      <c r="M27" s="25">
        <v>0.74043899999999996</v>
      </c>
      <c r="N27" s="25">
        <v>33.515326999999999</v>
      </c>
      <c r="O27" s="25">
        <v>33.657972000000001</v>
      </c>
      <c r="P27" s="25">
        <v>35.047826999999998</v>
      </c>
      <c r="Q27" s="25">
        <v>19.420266000000002</v>
      </c>
      <c r="R27" s="25">
        <v>10.383908</v>
      </c>
      <c r="S27" s="25">
        <v>7.602201</v>
      </c>
      <c r="T27" s="25">
        <v>11.75881</v>
      </c>
      <c r="U27" s="10"/>
      <c r="V27" s="10"/>
      <c r="W27" s="10"/>
      <c r="X27" s="25"/>
      <c r="Y27" s="25">
        <v>0.72777199999999997</v>
      </c>
      <c r="Z27" s="25">
        <v>33.515326999999999</v>
      </c>
      <c r="AA27" s="25">
        <v>10.383908</v>
      </c>
      <c r="AB27" s="33"/>
      <c r="AC27" s="10"/>
      <c r="AD27" s="10"/>
      <c r="AE27" s="10"/>
      <c r="AF27" s="10"/>
      <c r="AG27" s="10"/>
      <c r="AH27" s="10"/>
      <c r="AI27" s="10"/>
      <c r="AJ27" s="10"/>
      <c r="AK27" s="10"/>
      <c r="AL27" s="10"/>
      <c r="AO27" s="36" t="s">
        <v>149</v>
      </c>
      <c r="AP27" s="17">
        <v>0.25</v>
      </c>
    </row>
    <row r="28" spans="2:64">
      <c r="B28" s="13" t="s">
        <v>31</v>
      </c>
      <c r="C28" s="11">
        <f>0.60845+0.063996</f>
        <v>0.6724460000000001</v>
      </c>
      <c r="D28" s="25">
        <v>0.60590299999999997</v>
      </c>
      <c r="E28" s="25">
        <v>0.38148700000000002</v>
      </c>
      <c r="F28" s="25">
        <v>0.36901699999999998</v>
      </c>
      <c r="G28" s="25">
        <v>0.34314099999999997</v>
      </c>
      <c r="H28" s="25">
        <v>0.43197799999999997</v>
      </c>
      <c r="I28" s="25">
        <v>0.42046699999999998</v>
      </c>
      <c r="J28" s="25">
        <f>0.356898</f>
        <v>0.35689799999999999</v>
      </c>
      <c r="K28" s="25">
        <v>0.46024199999999998</v>
      </c>
      <c r="L28" s="25">
        <v>0.54205899999999996</v>
      </c>
      <c r="M28" s="25">
        <v>0.67520500000000006</v>
      </c>
      <c r="N28" s="25">
        <v>0.801149</v>
      </c>
      <c r="O28" s="25">
        <v>0.77915000000000001</v>
      </c>
      <c r="P28" s="25">
        <v>0.93050699999999997</v>
      </c>
      <c r="Q28" s="25">
        <v>1.0611090000000001</v>
      </c>
      <c r="R28" s="25">
        <v>0.75080800000000003</v>
      </c>
      <c r="S28" s="25">
        <v>0.97848800000000002</v>
      </c>
      <c r="T28" s="25">
        <v>1.3580179999999999</v>
      </c>
      <c r="U28" s="10"/>
      <c r="V28" s="10"/>
      <c r="W28" s="10"/>
      <c r="X28" s="25">
        <v>0.36901699999999998</v>
      </c>
      <c r="Y28" s="25">
        <f>0.356898</f>
        <v>0.35689799999999999</v>
      </c>
      <c r="Z28" s="25">
        <v>0.801149</v>
      </c>
      <c r="AA28" s="25">
        <v>0.75080800000000003</v>
      </c>
      <c r="AB28" s="33"/>
      <c r="AC28" s="10"/>
      <c r="AD28" s="10"/>
      <c r="AE28" s="10"/>
      <c r="AF28" s="10"/>
      <c r="AG28" s="10"/>
      <c r="AH28" s="10"/>
      <c r="AI28" s="10"/>
      <c r="AJ28" s="10"/>
      <c r="AK28" s="10"/>
      <c r="AL28" s="10"/>
      <c r="AO28" s="37" t="s">
        <v>150</v>
      </c>
      <c r="AP28" s="17">
        <v>0.1</v>
      </c>
    </row>
    <row r="29" spans="2:64" s="26" customFormat="1">
      <c r="B29" s="13" t="s">
        <v>120</v>
      </c>
      <c r="C29" s="25">
        <f>SUM(C24:C28)</f>
        <v>21.239333000000002</v>
      </c>
      <c r="D29" s="25">
        <f t="shared" ref="D29:P29" si="66">SUM(D24:D28)</f>
        <v>19.341052999999999</v>
      </c>
      <c r="E29" s="25">
        <f t="shared" si="66"/>
        <v>21.203288000000001</v>
      </c>
      <c r="F29" s="25">
        <f t="shared" si="66"/>
        <v>24.702564000000002</v>
      </c>
      <c r="G29" s="25">
        <f t="shared" si="66"/>
        <v>20.423846999999999</v>
      </c>
      <c r="H29" s="25">
        <f t="shared" si="66"/>
        <v>17.240832000000001</v>
      </c>
      <c r="I29" s="25">
        <f t="shared" si="66"/>
        <v>14.538719</v>
      </c>
      <c r="J29" s="25">
        <f t="shared" si="66"/>
        <v>52.978703000000003</v>
      </c>
      <c r="K29" s="25">
        <f t="shared" si="66"/>
        <v>46.636330000000001</v>
      </c>
      <c r="L29" s="25">
        <f t="shared" si="66"/>
        <v>46.578955000000001</v>
      </c>
      <c r="M29" s="25">
        <f t="shared" si="66"/>
        <v>42.540233000000001</v>
      </c>
      <c r="N29" s="25">
        <f t="shared" si="66"/>
        <v>84.946175999999994</v>
      </c>
      <c r="O29" s="25">
        <f t="shared" si="66"/>
        <v>103.530458</v>
      </c>
      <c r="P29" s="25">
        <f t="shared" si="66"/>
        <v>145.61352500000001</v>
      </c>
      <c r="Q29" s="25">
        <f t="shared" ref="Q29:R29" si="67">SUM(Q24:Q28)</f>
        <v>143.85315199999999</v>
      </c>
      <c r="R29" s="25">
        <f t="shared" si="67"/>
        <v>123.94184200000001</v>
      </c>
      <c r="S29" s="25">
        <f t="shared" ref="S29" si="68">SUM(S24:S28)</f>
        <v>133.33372400000002</v>
      </c>
      <c r="T29" s="25">
        <f t="shared" ref="T29" si="69">SUM(T24:T28)</f>
        <v>129.73447099999998</v>
      </c>
      <c r="U29" s="10"/>
      <c r="V29" s="10"/>
      <c r="W29" s="10"/>
      <c r="X29" s="25">
        <f t="shared" ref="X29:AA29" si="70">SUM(X24:X28)</f>
        <v>24.702564000000002</v>
      </c>
      <c r="Y29" s="25">
        <f t="shared" si="70"/>
        <v>52.978703000000003</v>
      </c>
      <c r="Z29" s="25">
        <f t="shared" si="70"/>
        <v>84.946175999999994</v>
      </c>
      <c r="AA29" s="25">
        <f t="shared" si="70"/>
        <v>123.94184200000001</v>
      </c>
      <c r="AB29" s="33"/>
      <c r="AC29" s="10"/>
      <c r="AD29" s="10"/>
      <c r="AE29" s="10"/>
      <c r="AF29" s="10"/>
      <c r="AG29" s="10"/>
      <c r="AH29" s="10"/>
      <c r="AI29" s="10"/>
      <c r="AJ29" s="10"/>
      <c r="AK29" s="10"/>
      <c r="AL29" s="10"/>
      <c r="AO29" s="39" t="s">
        <v>43</v>
      </c>
      <c r="AP29" s="35">
        <f>NPV(AP28,AC17:BL17)+AB24-(AB39+AB45)</f>
        <v>243.81592899013913</v>
      </c>
    </row>
    <row r="30" spans="2:64">
      <c r="B30" s="13" t="s">
        <v>32</v>
      </c>
      <c r="C30" s="11">
        <v>1.265531</v>
      </c>
      <c r="D30" s="25">
        <v>1.65181</v>
      </c>
      <c r="E30" s="25">
        <v>1.2954779999999999</v>
      </c>
      <c r="F30" s="25">
        <v>1.1502570000000001</v>
      </c>
      <c r="G30" s="25">
        <v>1.0245169999999999</v>
      </c>
      <c r="H30" s="25">
        <v>0.894258</v>
      </c>
      <c r="I30" s="25">
        <v>0.79446799999999995</v>
      </c>
      <c r="J30" s="25">
        <v>0.81899200000000005</v>
      </c>
      <c r="K30" s="25">
        <v>0.89903599999999995</v>
      </c>
      <c r="L30" s="25">
        <v>0.85520799999999997</v>
      </c>
      <c r="M30" s="25">
        <v>0.77473899999999996</v>
      </c>
      <c r="N30" s="25">
        <v>0.987869</v>
      </c>
      <c r="O30" s="25">
        <v>1.1583270000000001</v>
      </c>
      <c r="P30" s="25">
        <v>1.143651</v>
      </c>
      <c r="Q30" s="25">
        <v>1.2363729999999999</v>
      </c>
      <c r="R30" s="25">
        <v>1.3820730000000001</v>
      </c>
      <c r="S30" s="25">
        <v>1.0846499999999999</v>
      </c>
      <c r="T30" s="25">
        <v>1.000542</v>
      </c>
      <c r="U30" s="10"/>
      <c r="V30" s="10"/>
      <c r="W30" s="10"/>
      <c r="X30" s="25">
        <v>1.1502570000000001</v>
      </c>
      <c r="Y30" s="25">
        <v>0.81899200000000005</v>
      </c>
      <c r="Z30" s="25">
        <v>0.987869</v>
      </c>
      <c r="AA30" s="25">
        <v>1.3820730000000001</v>
      </c>
      <c r="AB30" s="33"/>
      <c r="AC30" s="10"/>
      <c r="AD30" s="10"/>
      <c r="AE30" s="10"/>
      <c r="AF30" s="10"/>
      <c r="AG30" s="10"/>
      <c r="AH30" s="10"/>
      <c r="AI30" s="10"/>
      <c r="AJ30" s="10"/>
      <c r="AK30" s="10"/>
      <c r="AL30" s="10"/>
      <c r="AO30" s="39" t="s">
        <v>166</v>
      </c>
      <c r="AP30" s="35">
        <f>-'Potential award'!O35</f>
        <v>-391.50162796713607</v>
      </c>
    </row>
    <row r="31" spans="2:64" s="26" customFormat="1">
      <c r="B31" s="13" t="s">
        <v>121</v>
      </c>
      <c r="C31" s="25"/>
      <c r="D31" s="25"/>
      <c r="E31" s="25"/>
      <c r="F31" s="25"/>
      <c r="G31" s="25"/>
      <c r="H31" s="25"/>
      <c r="I31" s="25"/>
      <c r="J31" s="25"/>
      <c r="K31" s="25">
        <v>1.73167</v>
      </c>
      <c r="L31" s="25">
        <v>2.0009830000000002</v>
      </c>
      <c r="M31" s="25">
        <v>2.6149260000000001</v>
      </c>
      <c r="N31" s="25">
        <v>3.7712189999999999</v>
      </c>
      <c r="O31" s="25"/>
      <c r="P31" s="25"/>
      <c r="Q31" s="25"/>
      <c r="R31" s="25"/>
      <c r="S31" s="25"/>
      <c r="T31" s="25"/>
      <c r="U31" s="10"/>
      <c r="V31" s="10"/>
      <c r="W31" s="10"/>
      <c r="X31" s="25"/>
      <c r="Y31" s="25"/>
      <c r="Z31" s="25">
        <v>3.7712189999999999</v>
      </c>
      <c r="AA31" s="25"/>
      <c r="AB31" s="33"/>
      <c r="AC31" s="10"/>
      <c r="AD31" s="10"/>
      <c r="AE31" s="10"/>
      <c r="AF31" s="10"/>
      <c r="AG31" s="10"/>
      <c r="AH31" s="10"/>
      <c r="AI31" s="10"/>
      <c r="AJ31" s="10"/>
      <c r="AK31" s="10"/>
      <c r="AL31" s="10"/>
      <c r="AO31" s="40" t="s">
        <v>151</v>
      </c>
      <c r="AP31" s="29">
        <f>(AP29+AP30)/Main!L3</f>
        <v>-2.0351811050013975</v>
      </c>
    </row>
    <row r="32" spans="2:64" s="26" customFormat="1">
      <c r="B32" s="13" t="s">
        <v>122</v>
      </c>
      <c r="C32" s="25"/>
      <c r="D32" s="25"/>
      <c r="E32" s="25"/>
      <c r="F32" s="25"/>
      <c r="G32" s="25"/>
      <c r="H32" s="25"/>
      <c r="I32" s="25"/>
      <c r="J32" s="25"/>
      <c r="K32" s="25">
        <f>1.506692</f>
        <v>1.5066919999999999</v>
      </c>
      <c r="L32" s="25">
        <f>1.937671</f>
        <v>1.9376709999999999</v>
      </c>
      <c r="M32" s="25">
        <f>2.397811</f>
        <v>2.3978109999999999</v>
      </c>
      <c r="N32" s="25">
        <f>2.841534</f>
        <v>2.8415339999999998</v>
      </c>
      <c r="O32" s="25">
        <f>8.669379</f>
        <v>8.6693789999999993</v>
      </c>
      <c r="P32" s="25">
        <v>14.234754000000001</v>
      </c>
      <c r="Q32" s="25">
        <v>21.887651999999999</v>
      </c>
      <c r="R32" s="25">
        <v>22.583202</v>
      </c>
      <c r="S32" s="25">
        <v>29.176756000000001</v>
      </c>
      <c r="T32" s="25">
        <v>30.097583</v>
      </c>
      <c r="U32" s="10"/>
      <c r="V32" s="10"/>
      <c r="W32" s="10"/>
      <c r="X32" s="25"/>
      <c r="Y32" s="25"/>
      <c r="Z32" s="25">
        <f>2.841534</f>
        <v>2.8415339999999998</v>
      </c>
      <c r="AA32" s="25">
        <v>22.583202</v>
      </c>
      <c r="AB32" s="33"/>
      <c r="AC32" s="10"/>
      <c r="AD32" s="10"/>
      <c r="AE32" s="10"/>
      <c r="AF32" s="10"/>
      <c r="AG32" s="10"/>
      <c r="AH32" s="10"/>
      <c r="AI32" s="10"/>
      <c r="AJ32" s="10"/>
      <c r="AK32" s="10"/>
      <c r="AL32" s="10"/>
      <c r="AO32" s="16"/>
      <c r="AP32" s="10"/>
    </row>
    <row r="33" spans="2:42">
      <c r="B33" s="13" t="s">
        <v>26</v>
      </c>
      <c r="C33" s="11">
        <v>0.89833399999999997</v>
      </c>
      <c r="D33" s="25">
        <v>0.89833399999999997</v>
      </c>
      <c r="E33" s="25">
        <v>0.89833399999999997</v>
      </c>
      <c r="F33" s="25">
        <v>0.89833399999999997</v>
      </c>
      <c r="G33" s="25">
        <v>0.89833399999999997</v>
      </c>
      <c r="H33" s="25">
        <v>0.89833399999999997</v>
      </c>
      <c r="I33" s="25">
        <v>0.89833399999999997</v>
      </c>
      <c r="J33" s="25">
        <v>0.89833399999999997</v>
      </c>
      <c r="K33" s="25">
        <v>0.89833399999999997</v>
      </c>
      <c r="L33" s="25">
        <v>0.89833399999999997</v>
      </c>
      <c r="M33" s="25">
        <v>0.89833399999999997</v>
      </c>
      <c r="N33" s="25">
        <v>0.89833399999999997</v>
      </c>
      <c r="O33" s="25">
        <v>0.89833399999999997</v>
      </c>
      <c r="P33" s="25">
        <v>0.89833399999999997</v>
      </c>
      <c r="Q33" s="25">
        <v>0.89833399999999997</v>
      </c>
      <c r="R33" s="25">
        <v>0.89833399999999997</v>
      </c>
      <c r="S33" s="25">
        <v>0.89833399999999997</v>
      </c>
      <c r="T33" s="25">
        <v>0.89833399999999997</v>
      </c>
      <c r="U33" s="10"/>
      <c r="V33" s="10"/>
      <c r="W33" s="10"/>
      <c r="X33" s="25">
        <v>0.89833399999999997</v>
      </c>
      <c r="Y33" s="25">
        <v>0.89833399999999997</v>
      </c>
      <c r="Z33" s="25">
        <v>0.89833399999999997</v>
      </c>
      <c r="AA33" s="25">
        <v>0.89833399999999997</v>
      </c>
      <c r="AB33" s="33"/>
      <c r="AC33" s="10"/>
      <c r="AD33" s="10"/>
      <c r="AE33" s="10"/>
      <c r="AF33" s="10"/>
      <c r="AG33" s="10"/>
      <c r="AH33" s="10"/>
      <c r="AI33" s="10"/>
      <c r="AJ33" s="10"/>
      <c r="AK33" s="10"/>
      <c r="AL33" s="10"/>
      <c r="AO33" s="16"/>
      <c r="AP33" s="10"/>
    </row>
    <row r="34" spans="2:42">
      <c r="B34" s="13" t="s">
        <v>119</v>
      </c>
      <c r="C34" s="11"/>
      <c r="D34" s="25"/>
      <c r="E34" s="25"/>
      <c r="F34" s="25"/>
      <c r="G34" s="25"/>
      <c r="H34" s="25">
        <f>32.65355</f>
        <v>32.653550000000003</v>
      </c>
      <c r="I34" s="25">
        <v>34.180824999999999</v>
      </c>
      <c r="J34" s="25">
        <f>35.149031</f>
        <v>35.149031000000001</v>
      </c>
      <c r="K34" s="25">
        <v>37.077714999999998</v>
      </c>
      <c r="L34" s="25">
        <v>38.744039000000001</v>
      </c>
      <c r="M34" s="25">
        <v>41.200149000000003</v>
      </c>
      <c r="N34" s="25">
        <v>10.209277999999999</v>
      </c>
      <c r="O34" s="25">
        <v>12.345075</v>
      </c>
      <c r="P34" s="25">
        <v>12.921556000000001</v>
      </c>
      <c r="Q34" s="25">
        <v>31.556712000000001</v>
      </c>
      <c r="R34" s="25">
        <v>42.940624</v>
      </c>
      <c r="S34" s="25">
        <v>48.26981</v>
      </c>
      <c r="T34" s="25">
        <v>45.741228</v>
      </c>
      <c r="U34" s="10"/>
      <c r="V34" s="10"/>
      <c r="W34" s="10"/>
      <c r="X34" s="25"/>
      <c r="Y34" s="25">
        <f>35.149031</f>
        <v>35.149031000000001</v>
      </c>
      <c r="Z34" s="25">
        <v>10.209277999999999</v>
      </c>
      <c r="AA34" s="25">
        <v>42.940624</v>
      </c>
      <c r="AB34" s="33"/>
      <c r="AC34" s="10"/>
      <c r="AD34" s="10"/>
      <c r="AE34" s="10"/>
      <c r="AF34" s="10"/>
      <c r="AG34" s="10"/>
      <c r="AH34" s="10"/>
      <c r="AI34" s="10"/>
      <c r="AJ34" s="10"/>
      <c r="AK34" s="10"/>
      <c r="AL34" s="10"/>
    </row>
    <row r="35" spans="2:42" s="26" customFormat="1">
      <c r="B35" s="13" t="s">
        <v>123</v>
      </c>
      <c r="C35" s="25">
        <v>0.31225199999999997</v>
      </c>
      <c r="D35" s="25">
        <v>0.26866499999999999</v>
      </c>
      <c r="E35" s="25">
        <v>0.27471299999999998</v>
      </c>
      <c r="F35" s="25">
        <v>0.28064800000000001</v>
      </c>
      <c r="G35" s="25">
        <f>0.280648</f>
        <v>0.28064800000000001</v>
      </c>
      <c r="H35" s="25">
        <v>0.28160800000000002</v>
      </c>
      <c r="I35" s="25">
        <v>0.37174800000000002</v>
      </c>
      <c r="J35" s="25">
        <v>0.53541700000000003</v>
      </c>
      <c r="K35" s="25">
        <v>0.27784399999999998</v>
      </c>
      <c r="L35" s="25">
        <v>1.6257999999999999</v>
      </c>
      <c r="M35" s="25">
        <v>1.6257999999999999</v>
      </c>
      <c r="N35" s="25">
        <v>2.1817199999999999</v>
      </c>
      <c r="O35" s="25">
        <v>2.1249310000000001</v>
      </c>
      <c r="P35" s="25">
        <v>2.2022940000000002</v>
      </c>
      <c r="Q35" s="25">
        <v>2.1374330000000001</v>
      </c>
      <c r="R35" s="25">
        <v>2.0781589999999999</v>
      </c>
      <c r="S35" s="25">
        <v>2.0245549999999999</v>
      </c>
      <c r="T35" s="25">
        <v>1.999431</v>
      </c>
      <c r="U35" s="10"/>
      <c r="V35" s="10"/>
      <c r="W35" s="10"/>
      <c r="X35" s="25">
        <v>0.28064800000000001</v>
      </c>
      <c r="Y35" s="25">
        <v>0.53541700000000003</v>
      </c>
      <c r="Z35" s="25">
        <v>2.1817199999999999</v>
      </c>
      <c r="AA35" s="25">
        <v>2.0781589999999999</v>
      </c>
      <c r="AB35" s="33"/>
      <c r="AC35" s="10"/>
      <c r="AD35" s="10"/>
      <c r="AE35" s="10"/>
      <c r="AF35" s="10"/>
      <c r="AG35" s="10"/>
      <c r="AH35" s="10"/>
      <c r="AI35" s="10"/>
      <c r="AJ35" s="10"/>
      <c r="AK35" s="10"/>
      <c r="AL35" s="10"/>
    </row>
    <row r="36" spans="2:42">
      <c r="B36" s="13" t="s">
        <v>124</v>
      </c>
      <c r="C36" s="25">
        <f>SUM(C29:C35)</f>
        <v>23.715450000000001</v>
      </c>
      <c r="D36" s="25">
        <f t="shared" ref="D36:AA36" si="71">SUM(D29:D35)</f>
        <v>22.159861999999997</v>
      </c>
      <c r="E36" s="25">
        <f t="shared" si="71"/>
        <v>23.671812999999997</v>
      </c>
      <c r="F36" s="25">
        <f t="shared" si="71"/>
        <v>27.031803</v>
      </c>
      <c r="G36" s="25">
        <f t="shared" si="71"/>
        <v>22.627345999999996</v>
      </c>
      <c r="H36" s="25">
        <f t="shared" si="71"/>
        <v>51.968582000000005</v>
      </c>
      <c r="I36" s="25">
        <f t="shared" si="71"/>
        <v>50.784093999999996</v>
      </c>
      <c r="J36" s="25">
        <f t="shared" si="71"/>
        <v>90.380476999999999</v>
      </c>
      <c r="K36" s="25">
        <f t="shared" si="71"/>
        <v>89.027620999999996</v>
      </c>
      <c r="L36" s="25">
        <f t="shared" si="71"/>
        <v>92.640989999999988</v>
      </c>
      <c r="M36" s="25">
        <f t="shared" si="71"/>
        <v>92.051991999999984</v>
      </c>
      <c r="N36" s="25">
        <f t="shared" si="71"/>
        <v>105.83613</v>
      </c>
      <c r="O36" s="25">
        <f t="shared" si="71"/>
        <v>128.72650399999998</v>
      </c>
      <c r="P36" s="25">
        <f t="shared" si="71"/>
        <v>177.01411400000003</v>
      </c>
      <c r="Q36" s="25">
        <f t="shared" si="71"/>
        <v>201.56965599999998</v>
      </c>
      <c r="R36" s="25">
        <f t="shared" si="71"/>
        <v>193.82423400000002</v>
      </c>
      <c r="S36" s="25">
        <f t="shared" si="71"/>
        <v>214.78782900000004</v>
      </c>
      <c r="T36" s="25">
        <f t="shared" si="71"/>
        <v>209.47158899999997</v>
      </c>
      <c r="U36" s="11"/>
      <c r="V36" s="33"/>
      <c r="W36" s="33"/>
      <c r="X36" s="25">
        <f t="shared" si="71"/>
        <v>27.031803</v>
      </c>
      <c r="Y36" s="25">
        <f t="shared" si="71"/>
        <v>90.380476999999999</v>
      </c>
      <c r="Z36" s="25">
        <f t="shared" si="71"/>
        <v>105.83613</v>
      </c>
      <c r="AA36" s="25">
        <f t="shared" si="71"/>
        <v>193.82423400000002</v>
      </c>
      <c r="AB36" s="33"/>
      <c r="AC36" s="10"/>
      <c r="AD36" s="10"/>
      <c r="AE36" s="10"/>
      <c r="AF36" s="10"/>
      <c r="AG36" s="10"/>
      <c r="AH36" s="10"/>
      <c r="AI36" s="10"/>
      <c r="AJ36" s="10"/>
      <c r="AK36" s="10"/>
      <c r="AL36" s="10"/>
    </row>
    <row r="37" spans="2:42">
      <c r="B37" s="13" t="s">
        <v>33</v>
      </c>
      <c r="C37" s="11">
        <v>3.9639259999999998</v>
      </c>
      <c r="D37" s="25">
        <v>4.403759</v>
      </c>
      <c r="E37" s="25">
        <v>1.415251</v>
      </c>
      <c r="F37" s="25">
        <v>2.8842590000000001</v>
      </c>
      <c r="G37" s="25">
        <v>2.2934589999999999</v>
      </c>
      <c r="H37" s="25">
        <v>1.3773390000000001</v>
      </c>
      <c r="I37" s="25">
        <v>2.2188810000000001</v>
      </c>
      <c r="J37" s="25">
        <v>2.2783159999999998</v>
      </c>
      <c r="K37" s="25">
        <v>3.9033519999999999</v>
      </c>
      <c r="L37" s="25">
        <v>10.045821</v>
      </c>
      <c r="M37" s="25">
        <v>10.613538999999999</v>
      </c>
      <c r="N37" s="25">
        <v>10.189916999999999</v>
      </c>
      <c r="O37" s="25">
        <v>8.588832</v>
      </c>
      <c r="P37" s="25">
        <v>16.258393000000002</v>
      </c>
      <c r="Q37" s="25">
        <v>6.8265520000000004</v>
      </c>
      <c r="R37" s="25">
        <v>5.0643799999999999</v>
      </c>
      <c r="S37" s="25">
        <v>4.3437619999999999</v>
      </c>
      <c r="T37" s="25">
        <v>1.6282369999999999</v>
      </c>
      <c r="U37" s="10"/>
      <c r="V37" s="10"/>
      <c r="W37" s="10"/>
      <c r="X37" s="25">
        <v>2.8842590000000001</v>
      </c>
      <c r="Y37" s="25">
        <v>2.2783159999999998</v>
      </c>
      <c r="Z37" s="25">
        <v>10.189916999999999</v>
      </c>
      <c r="AA37" s="25">
        <v>5.0643799999999999</v>
      </c>
      <c r="AB37" s="33"/>
      <c r="AC37" s="10"/>
      <c r="AD37" s="10"/>
      <c r="AE37" s="10"/>
      <c r="AF37" s="10"/>
      <c r="AG37" s="10"/>
      <c r="AH37" s="10"/>
      <c r="AI37" s="10"/>
      <c r="AJ37" s="10"/>
      <c r="AK37" s="10"/>
      <c r="AL37" s="10"/>
    </row>
    <row r="38" spans="2:42">
      <c r="B38" s="13" t="s">
        <v>126</v>
      </c>
      <c r="C38" s="11">
        <v>3.64</v>
      </c>
      <c r="D38" s="25">
        <v>4.0819999999999999</v>
      </c>
      <c r="E38" s="25"/>
      <c r="F38" s="25"/>
      <c r="G38" s="25"/>
      <c r="H38" s="25"/>
      <c r="I38" s="25"/>
      <c r="J38" s="25"/>
      <c r="K38" s="25"/>
      <c r="L38" s="25"/>
      <c r="M38" s="25"/>
      <c r="N38" s="25">
        <v>0.28703600000000001</v>
      </c>
      <c r="O38" s="25">
        <f>0.539453</f>
        <v>0.53945299999999996</v>
      </c>
      <c r="P38" s="25">
        <v>0.243199</v>
      </c>
      <c r="Q38" s="25">
        <v>1.2277119999999999</v>
      </c>
      <c r="R38" s="25">
        <v>0.31342500000000001</v>
      </c>
      <c r="S38" s="25">
        <v>0.15731999999999999</v>
      </c>
      <c r="T38" s="25">
        <v>1.1532000000000001E-2</v>
      </c>
      <c r="U38" s="10"/>
      <c r="V38" s="10"/>
      <c r="W38" s="10"/>
      <c r="X38" s="25"/>
      <c r="Y38" s="25"/>
      <c r="Z38" s="25">
        <v>0.28703600000000001</v>
      </c>
      <c r="AA38" s="25">
        <v>0.31342500000000001</v>
      </c>
      <c r="AB38" s="33"/>
      <c r="AC38" s="10"/>
      <c r="AD38" s="10"/>
      <c r="AE38" s="10"/>
      <c r="AF38" s="10"/>
      <c r="AG38" s="10"/>
      <c r="AH38" s="10"/>
      <c r="AI38" s="10"/>
      <c r="AJ38" s="10"/>
      <c r="AK38" s="10"/>
      <c r="AL38" s="10"/>
    </row>
    <row r="39" spans="2:42" s="26" customFormat="1">
      <c r="B39" s="13" t="s">
        <v>125</v>
      </c>
      <c r="C39" s="25"/>
      <c r="D39" s="25"/>
      <c r="E39" s="25"/>
      <c r="F39" s="25"/>
      <c r="G39" s="25"/>
      <c r="H39" s="25"/>
      <c r="I39" s="25"/>
      <c r="J39" s="25"/>
      <c r="K39" s="25"/>
      <c r="L39" s="25"/>
      <c r="M39" s="25"/>
      <c r="N39" s="25">
        <f>0.954738</f>
        <v>0.95473799999999998</v>
      </c>
      <c r="O39" s="25">
        <f>1.454249</f>
        <v>1.4542489999999999</v>
      </c>
      <c r="P39" s="25">
        <v>8.9587249999999994</v>
      </c>
      <c r="Q39" s="25">
        <v>1.963738</v>
      </c>
      <c r="R39" s="25">
        <v>1.968826</v>
      </c>
      <c r="S39" s="25">
        <v>1.9739899999999999</v>
      </c>
      <c r="T39" s="25">
        <v>1.979231</v>
      </c>
      <c r="U39" s="10"/>
      <c r="V39" s="10"/>
      <c r="W39" s="10"/>
      <c r="X39" s="25"/>
      <c r="Y39" s="25"/>
      <c r="Z39" s="25">
        <f>0.954738</f>
        <v>0.95473799999999998</v>
      </c>
      <c r="AA39" s="25">
        <v>1.968826</v>
      </c>
      <c r="AB39" s="33">
        <f>T39</f>
        <v>1.979231</v>
      </c>
      <c r="AC39" s="10">
        <f>AB39</f>
        <v>1.979231</v>
      </c>
      <c r="AD39" s="10">
        <v>0</v>
      </c>
      <c r="AE39" s="10">
        <f t="shared" ref="AE39:AJ39" si="72">AD39</f>
        <v>0</v>
      </c>
      <c r="AF39" s="10">
        <f t="shared" si="72"/>
        <v>0</v>
      </c>
      <c r="AG39" s="10">
        <f t="shared" si="72"/>
        <v>0</v>
      </c>
      <c r="AH39" s="10">
        <f t="shared" si="72"/>
        <v>0</v>
      </c>
      <c r="AI39" s="10">
        <f t="shared" si="72"/>
        <v>0</v>
      </c>
      <c r="AJ39" s="10">
        <f t="shared" si="72"/>
        <v>0</v>
      </c>
      <c r="AK39" s="10">
        <f t="shared" ref="AK39:AL39" si="73">AJ39</f>
        <v>0</v>
      </c>
      <c r="AL39" s="10">
        <f t="shared" si="73"/>
        <v>0</v>
      </c>
    </row>
    <row r="40" spans="2:42" s="26" customFormat="1">
      <c r="B40" s="13" t="s">
        <v>128</v>
      </c>
      <c r="C40" s="25">
        <v>0.66221099999999999</v>
      </c>
      <c r="D40" s="25">
        <v>0.60092699999999999</v>
      </c>
      <c r="E40" s="25">
        <v>0.21287400000000001</v>
      </c>
      <c r="F40" s="25">
        <v>0.19076299999999999</v>
      </c>
      <c r="G40" s="25">
        <v>0.168153</v>
      </c>
      <c r="H40" s="25"/>
      <c r="I40" s="25"/>
      <c r="J40" s="25"/>
      <c r="K40" s="25"/>
      <c r="L40" s="25"/>
      <c r="M40" s="25"/>
      <c r="N40" s="25"/>
      <c r="O40" s="25"/>
      <c r="P40" s="25"/>
      <c r="Q40" s="25"/>
      <c r="R40" s="25"/>
      <c r="S40" s="25"/>
      <c r="T40" s="25"/>
      <c r="U40" s="10"/>
      <c r="V40" s="10"/>
      <c r="W40" s="10"/>
      <c r="X40" s="25">
        <v>0.19076299999999999</v>
      </c>
      <c r="Y40" s="25"/>
      <c r="Z40" s="25"/>
      <c r="AA40" s="25"/>
      <c r="AB40" s="33"/>
      <c r="AC40" s="10"/>
      <c r="AD40" s="10"/>
      <c r="AE40" s="10"/>
      <c r="AF40" s="10"/>
      <c r="AG40" s="10"/>
      <c r="AH40" s="10"/>
      <c r="AI40" s="10"/>
      <c r="AJ40" s="10"/>
      <c r="AK40" s="10"/>
      <c r="AL40" s="10"/>
    </row>
    <row r="41" spans="2:42" s="26" customFormat="1">
      <c r="B41" s="13" t="s">
        <v>132</v>
      </c>
      <c r="C41" s="25">
        <v>0.623722</v>
      </c>
      <c r="D41" s="25">
        <v>0.74792800000000004</v>
      </c>
      <c r="E41" s="25">
        <v>1.1927939999999999</v>
      </c>
      <c r="F41" s="25">
        <v>1.188158</v>
      </c>
      <c r="G41" s="25">
        <v>0.82456399999999996</v>
      </c>
      <c r="H41" s="25">
        <v>1.8706879999999999</v>
      </c>
      <c r="I41" s="25">
        <v>1.4768749999999999</v>
      </c>
      <c r="J41" s="25">
        <v>4.6444609999999997</v>
      </c>
      <c r="K41" s="25">
        <v>3.2351290000000001</v>
      </c>
      <c r="L41" s="25">
        <v>4.4654499999999997</v>
      </c>
      <c r="M41" s="25">
        <v>5.18323</v>
      </c>
      <c r="N41" s="25">
        <v>4.283849</v>
      </c>
      <c r="O41" s="25">
        <v>4.5693049999999999</v>
      </c>
      <c r="P41" s="25">
        <v>5.5027499999999998</v>
      </c>
      <c r="Q41" s="25">
        <v>7.2316969999999996</v>
      </c>
      <c r="R41" s="25">
        <v>4.8423930000000004</v>
      </c>
      <c r="S41" s="25">
        <v>4.6607469999999998</v>
      </c>
      <c r="T41" s="25">
        <v>4.7778689999999999</v>
      </c>
      <c r="U41" s="10"/>
      <c r="V41" s="10"/>
      <c r="W41" s="10"/>
      <c r="X41" s="25">
        <v>1.188158</v>
      </c>
      <c r="Y41" s="25">
        <v>4.6444609999999997</v>
      </c>
      <c r="Z41" s="25">
        <v>4.283849</v>
      </c>
      <c r="AA41" s="25">
        <v>4.8423930000000004</v>
      </c>
      <c r="AB41" s="33"/>
      <c r="AC41" s="10"/>
      <c r="AD41" s="10"/>
      <c r="AE41" s="10"/>
      <c r="AF41" s="10"/>
      <c r="AG41" s="10"/>
      <c r="AH41" s="10"/>
      <c r="AI41" s="10"/>
      <c r="AJ41" s="10"/>
      <c r="AK41" s="10"/>
      <c r="AL41" s="10"/>
    </row>
    <row r="42" spans="2:42" s="26" customFormat="1">
      <c r="B42" s="13" t="s">
        <v>127</v>
      </c>
      <c r="C42" s="25">
        <f>SUM(C37:C41)</f>
        <v>8.8898589999999995</v>
      </c>
      <c r="D42" s="25">
        <f t="shared" ref="D42:P42" si="74">SUM(D37:D41)</f>
        <v>9.8346140000000002</v>
      </c>
      <c r="E42" s="25">
        <f t="shared" si="74"/>
        <v>2.820919</v>
      </c>
      <c r="F42" s="25">
        <f t="shared" si="74"/>
        <v>4.2631800000000002</v>
      </c>
      <c r="G42" s="25">
        <f t="shared" si="74"/>
        <v>3.2861759999999998</v>
      </c>
      <c r="H42" s="25">
        <f t="shared" si="74"/>
        <v>3.248027</v>
      </c>
      <c r="I42" s="25">
        <f t="shared" si="74"/>
        <v>3.6957560000000003</v>
      </c>
      <c r="J42" s="25">
        <f t="shared" si="74"/>
        <v>6.922777</v>
      </c>
      <c r="K42" s="25">
        <f t="shared" si="74"/>
        <v>7.1384810000000005</v>
      </c>
      <c r="L42" s="25">
        <f t="shared" si="74"/>
        <v>14.511271000000001</v>
      </c>
      <c r="M42" s="25">
        <f t="shared" si="74"/>
        <v>15.796768999999999</v>
      </c>
      <c r="N42" s="25">
        <f t="shared" si="74"/>
        <v>15.715540000000001</v>
      </c>
      <c r="O42" s="25">
        <f t="shared" si="74"/>
        <v>15.151838999999999</v>
      </c>
      <c r="P42" s="25">
        <f t="shared" si="74"/>
        <v>30.963067000000002</v>
      </c>
      <c r="Q42" s="25">
        <f t="shared" ref="Q42:R42" si="75">SUM(Q37:Q41)</f>
        <v>17.249699</v>
      </c>
      <c r="R42" s="25">
        <f t="shared" si="75"/>
        <v>12.189024</v>
      </c>
      <c r="S42" s="25">
        <f t="shared" ref="S42" si="76">SUM(S37:S41)</f>
        <v>11.135819</v>
      </c>
      <c r="T42" s="25">
        <f t="shared" ref="T42" si="77">SUM(T37:T41)</f>
        <v>8.3968689999999988</v>
      </c>
      <c r="U42" s="10"/>
      <c r="V42" s="10"/>
      <c r="W42" s="10"/>
      <c r="X42" s="25">
        <f t="shared" ref="X42:AA42" si="78">SUM(X37:X41)</f>
        <v>4.2631800000000002</v>
      </c>
      <c r="Y42" s="25">
        <f t="shared" si="78"/>
        <v>6.922777</v>
      </c>
      <c r="Z42" s="25">
        <f t="shared" si="78"/>
        <v>15.715540000000001</v>
      </c>
      <c r="AA42" s="25">
        <f t="shared" si="78"/>
        <v>12.189024</v>
      </c>
      <c r="AB42" s="33"/>
      <c r="AC42" s="10"/>
      <c r="AD42" s="10"/>
      <c r="AE42" s="10"/>
      <c r="AF42" s="10"/>
      <c r="AG42" s="10"/>
      <c r="AH42" s="10"/>
      <c r="AI42" s="10"/>
      <c r="AJ42" s="10"/>
      <c r="AK42" s="10"/>
      <c r="AL42" s="10"/>
    </row>
    <row r="43" spans="2:42" s="26" customFormat="1">
      <c r="B43" s="13" t="s">
        <v>128</v>
      </c>
      <c r="C43" s="25"/>
      <c r="D43" s="25"/>
      <c r="E43" s="25"/>
      <c r="F43" s="25">
        <v>0.175175</v>
      </c>
      <c r="G43" s="25">
        <v>0.18806200000000001</v>
      </c>
      <c r="H43" s="25"/>
      <c r="I43" s="25"/>
      <c r="J43" s="25">
        <v>41.001109999999997</v>
      </c>
      <c r="K43" s="25">
        <f>42.727036</f>
        <v>42.727035999999998</v>
      </c>
      <c r="L43" s="25">
        <f>42.992609</f>
        <v>42.992609000000002</v>
      </c>
      <c r="M43" s="25">
        <f>43.603902</f>
        <v>43.603901999999998</v>
      </c>
      <c r="N43" s="25">
        <f>57.05202</f>
        <v>57.052019999999999</v>
      </c>
      <c r="O43" s="25">
        <f>83.505866</f>
        <v>83.505865999999997</v>
      </c>
      <c r="P43" s="25">
        <v>119.06923500000001</v>
      </c>
      <c r="Q43" s="25">
        <v>162.05753000000001</v>
      </c>
      <c r="R43" s="25">
        <v>162.22218899999999</v>
      </c>
      <c r="S43" s="25">
        <v>187.78337999999999</v>
      </c>
      <c r="T43" s="25">
        <v>188.08185700000001</v>
      </c>
      <c r="U43" s="10"/>
      <c r="V43" s="10"/>
      <c r="W43" s="10"/>
      <c r="X43" s="25">
        <v>0.175175</v>
      </c>
      <c r="Y43" s="25">
        <v>41.001109999999997</v>
      </c>
      <c r="Z43" s="25">
        <f>57.05202</f>
        <v>57.052019999999999</v>
      </c>
      <c r="AA43" s="25">
        <v>162.22218899999999</v>
      </c>
      <c r="AB43" s="33"/>
      <c r="AC43" s="10"/>
      <c r="AD43" s="10"/>
      <c r="AE43" s="10"/>
      <c r="AF43" s="10"/>
      <c r="AG43" s="10"/>
      <c r="AH43" s="10"/>
      <c r="AI43" s="10"/>
      <c r="AJ43" s="10"/>
      <c r="AK43" s="10"/>
      <c r="AL43" s="10"/>
    </row>
    <row r="44" spans="2:42" s="26" customFormat="1">
      <c r="B44" s="13" t="s">
        <v>126</v>
      </c>
      <c r="C44" s="25">
        <v>7.3867320000000003</v>
      </c>
      <c r="D44" s="25">
        <v>8.4950569999999992</v>
      </c>
      <c r="E44" s="25">
        <v>13.122337</v>
      </c>
      <c r="F44" s="25">
        <v>10.524660000000001</v>
      </c>
      <c r="G44" s="25">
        <v>7.7908860000000004</v>
      </c>
      <c r="H44" s="25">
        <v>5.7510349999999999</v>
      </c>
      <c r="I44" s="25">
        <v>1.0249809999999999</v>
      </c>
      <c r="J44" s="25">
        <v>0.62293799999999999</v>
      </c>
      <c r="K44" s="25">
        <v>1.0597510000000001</v>
      </c>
      <c r="L44" s="25">
        <v>0.73473900000000003</v>
      </c>
      <c r="M44" s="25">
        <v>0.74977099999999997</v>
      </c>
      <c r="N44" s="25"/>
      <c r="O44" s="25">
        <v>0.93359400000000003</v>
      </c>
      <c r="P44" s="25">
        <v>0.249558</v>
      </c>
      <c r="Q44" s="25"/>
      <c r="R44" s="25"/>
      <c r="S44" s="25"/>
      <c r="T44" s="25"/>
      <c r="U44" s="10"/>
      <c r="V44" s="10"/>
      <c r="W44" s="10"/>
      <c r="X44" s="25">
        <v>10.524660000000001</v>
      </c>
      <c r="Y44" s="25">
        <v>0.62293799999999999</v>
      </c>
      <c r="Z44" s="25"/>
      <c r="AA44" s="25"/>
      <c r="AB44" s="33"/>
      <c r="AC44" s="10"/>
      <c r="AD44" s="10"/>
      <c r="AE44" s="10"/>
      <c r="AF44" s="10"/>
      <c r="AG44" s="10"/>
      <c r="AH44" s="10"/>
      <c r="AI44" s="10"/>
      <c r="AJ44" s="10"/>
      <c r="AK44" s="10"/>
      <c r="AL44" s="10"/>
    </row>
    <row r="45" spans="2:42" s="26" customFormat="1">
      <c r="B45" s="13" t="s">
        <v>129</v>
      </c>
      <c r="C45" s="25"/>
      <c r="D45" s="25"/>
      <c r="E45" s="25"/>
      <c r="F45" s="25"/>
      <c r="G45" s="25"/>
      <c r="H45" s="25"/>
      <c r="I45" s="25"/>
      <c r="J45" s="25"/>
      <c r="K45" s="25"/>
      <c r="L45" s="25"/>
      <c r="M45" s="25"/>
      <c r="N45" s="25">
        <v>3.9552619999999998</v>
      </c>
      <c r="O45" s="25">
        <v>3.4684810000000001</v>
      </c>
      <c r="P45" s="25">
        <v>2.9769239999999999</v>
      </c>
      <c r="Q45" s="25">
        <v>2.484086</v>
      </c>
      <c r="R45" s="25">
        <v>1.9899480000000001</v>
      </c>
      <c r="S45" s="25">
        <v>1.4944900000000001</v>
      </c>
      <c r="T45" s="25">
        <v>0.99769300000000005</v>
      </c>
      <c r="U45" s="10"/>
      <c r="V45" s="10"/>
      <c r="W45" s="10"/>
      <c r="X45" s="25"/>
      <c r="Y45" s="25"/>
      <c r="Z45" s="25">
        <v>3.9552619999999998</v>
      </c>
      <c r="AA45" s="25">
        <v>1.9899480000000001</v>
      </c>
      <c r="AB45" s="33">
        <f>T45</f>
        <v>0.99769300000000005</v>
      </c>
      <c r="AC45" s="10">
        <f>AB45</f>
        <v>0.99769300000000005</v>
      </c>
      <c r="AD45" s="10">
        <v>0</v>
      </c>
      <c r="AE45" s="10">
        <f t="shared" ref="AE45:AJ45" si="79">AD45</f>
        <v>0</v>
      </c>
      <c r="AF45" s="10">
        <f t="shared" si="79"/>
        <v>0</v>
      </c>
      <c r="AG45" s="10">
        <f t="shared" si="79"/>
        <v>0</v>
      </c>
      <c r="AH45" s="10">
        <f t="shared" si="79"/>
        <v>0</v>
      </c>
      <c r="AI45" s="10">
        <f t="shared" si="79"/>
        <v>0</v>
      </c>
      <c r="AJ45" s="10">
        <f t="shared" si="79"/>
        <v>0</v>
      </c>
      <c r="AK45" s="10">
        <f t="shared" ref="AK45:AL45" si="80">AJ45</f>
        <v>0</v>
      </c>
      <c r="AL45" s="10">
        <f t="shared" si="80"/>
        <v>0</v>
      </c>
    </row>
    <row r="46" spans="2:42" s="26" customFormat="1">
      <c r="B46" s="13" t="s">
        <v>130</v>
      </c>
      <c r="C46" s="25"/>
      <c r="D46" s="25"/>
      <c r="E46" s="25"/>
      <c r="F46" s="25"/>
      <c r="G46" s="25"/>
      <c r="H46" s="25">
        <v>2.0924999999999999E-2</v>
      </c>
      <c r="I46" s="25">
        <v>8.3698999999999996E-2</v>
      </c>
      <c r="J46" s="25">
        <v>0.14758599999999999</v>
      </c>
      <c r="K46" s="25">
        <v>0.15238399999999999</v>
      </c>
      <c r="L46" s="25">
        <v>0.15718199999999999</v>
      </c>
      <c r="M46" s="25">
        <v>0.16198000000000001</v>
      </c>
      <c r="N46" s="25">
        <v>0.16630300000000001</v>
      </c>
      <c r="O46" s="25">
        <v>0.16709299999999999</v>
      </c>
      <c r="P46" s="25">
        <v>0.34813499999999997</v>
      </c>
      <c r="Q46" s="25">
        <v>0.45424100000000001</v>
      </c>
      <c r="R46" s="25">
        <v>0.44760499999999998</v>
      </c>
      <c r="S46" s="25">
        <v>0.43703500000000001</v>
      </c>
      <c r="T46" s="25">
        <v>0.42646499999999998</v>
      </c>
      <c r="U46" s="10"/>
      <c r="V46" s="10"/>
      <c r="W46" s="10"/>
      <c r="X46" s="25"/>
      <c r="Y46" s="25">
        <v>0.14758599999999999</v>
      </c>
      <c r="Z46" s="25">
        <v>0.16630300000000001</v>
      </c>
      <c r="AA46" s="25">
        <v>0.44760499999999998</v>
      </c>
      <c r="AB46" s="33"/>
      <c r="AC46" s="10"/>
      <c r="AD46" s="10"/>
      <c r="AE46" s="10"/>
      <c r="AF46" s="10"/>
      <c r="AG46" s="10"/>
      <c r="AH46" s="10"/>
      <c r="AI46" s="10"/>
      <c r="AJ46" s="10"/>
      <c r="AK46" s="10"/>
      <c r="AL46" s="10"/>
    </row>
    <row r="47" spans="2:42">
      <c r="B47" s="13" t="s">
        <v>131</v>
      </c>
      <c r="C47" s="25">
        <f t="shared" ref="C47:P47" si="81">SUM(C42:C46)</f>
        <v>16.276591</v>
      </c>
      <c r="D47" s="25">
        <f t="shared" si="81"/>
        <v>18.329670999999998</v>
      </c>
      <c r="E47" s="25">
        <f t="shared" si="81"/>
        <v>15.943256</v>
      </c>
      <c r="F47" s="25">
        <f t="shared" si="81"/>
        <v>14.963015000000002</v>
      </c>
      <c r="G47" s="25">
        <f t="shared" si="81"/>
        <v>11.265124</v>
      </c>
      <c r="H47" s="25">
        <f t="shared" si="81"/>
        <v>9.0199870000000004</v>
      </c>
      <c r="I47" s="25">
        <f t="shared" si="81"/>
        <v>4.8044359999999999</v>
      </c>
      <c r="J47" s="25">
        <f t="shared" si="81"/>
        <v>48.694410999999988</v>
      </c>
      <c r="K47" s="25">
        <f t="shared" si="81"/>
        <v>51.077651999999993</v>
      </c>
      <c r="L47" s="25">
        <f t="shared" si="81"/>
        <v>58.395800999999999</v>
      </c>
      <c r="M47" s="25">
        <f t="shared" si="81"/>
        <v>60.312421999999998</v>
      </c>
      <c r="N47" s="25">
        <f t="shared" si="81"/>
        <v>76.889125000000007</v>
      </c>
      <c r="O47" s="25">
        <f t="shared" si="81"/>
        <v>103.22687299999998</v>
      </c>
      <c r="P47" s="25">
        <f t="shared" si="81"/>
        <v>153.60691900000003</v>
      </c>
      <c r="Q47" s="25">
        <f t="shared" ref="Q47:T47" si="82">SUM(Q42:Q46)</f>
        <v>182.24555599999999</v>
      </c>
      <c r="R47" s="25">
        <f>SUM(R42:R46)</f>
        <v>176.84876599999998</v>
      </c>
      <c r="S47" s="25">
        <f t="shared" si="82"/>
        <v>200.85072400000001</v>
      </c>
      <c r="T47" s="25">
        <f t="shared" si="82"/>
        <v>197.90288400000003</v>
      </c>
      <c r="U47" s="11"/>
      <c r="V47" s="33"/>
      <c r="W47" s="33"/>
      <c r="X47" s="25">
        <f>SUM(X42:X46)</f>
        <v>14.963015000000002</v>
      </c>
      <c r="Y47" s="25">
        <f>SUM(Y42:Y46)</f>
        <v>48.694410999999988</v>
      </c>
      <c r="Z47" s="25">
        <f>SUM(Z42:Z46)</f>
        <v>76.889125000000007</v>
      </c>
      <c r="AA47" s="25">
        <f>SUM(AA42:AA46)</f>
        <v>176.84876599999998</v>
      </c>
      <c r="AB47" s="33"/>
      <c r="AC47" s="10"/>
      <c r="AD47" s="10"/>
      <c r="AE47" s="10"/>
      <c r="AF47" s="10"/>
      <c r="AG47" s="10"/>
      <c r="AH47" s="10"/>
      <c r="AI47" s="10"/>
      <c r="AJ47" s="10"/>
      <c r="AK47" s="10"/>
      <c r="AL47" s="10"/>
    </row>
    <row r="48" spans="2:42">
      <c r="B48" s="13" t="s">
        <v>34</v>
      </c>
      <c r="C48" s="11">
        <v>7.4388589999999999</v>
      </c>
      <c r="D48" s="25">
        <v>3.8301910000000001</v>
      </c>
      <c r="E48" s="25">
        <v>7.7285570000000003</v>
      </c>
      <c r="F48" s="25">
        <v>12.068788</v>
      </c>
      <c r="G48" s="25">
        <v>11.362221999999999</v>
      </c>
      <c r="H48" s="25">
        <v>42.948594999999997</v>
      </c>
      <c r="I48" s="25">
        <v>45.979658000000001</v>
      </c>
      <c r="J48" s="25">
        <v>41.686065999999997</v>
      </c>
      <c r="K48" s="25">
        <v>37.949969000000003</v>
      </c>
      <c r="L48" s="25">
        <v>34.245189000000003</v>
      </c>
      <c r="M48" s="25">
        <v>31.739570000000001</v>
      </c>
      <c r="N48" s="25">
        <v>28.947005000000001</v>
      </c>
      <c r="O48" s="25">
        <v>25.499631000000001</v>
      </c>
      <c r="P48" s="25">
        <v>23.407195000000002</v>
      </c>
      <c r="Q48" s="25">
        <v>19.324100000000001</v>
      </c>
      <c r="R48" s="25">
        <v>16.975467999999999</v>
      </c>
      <c r="S48" s="25">
        <v>13.937105000000001</v>
      </c>
      <c r="T48" s="25">
        <v>11.568705</v>
      </c>
      <c r="U48" s="10"/>
      <c r="V48" s="10"/>
      <c r="W48" s="10"/>
      <c r="X48" s="25">
        <v>12.068788</v>
      </c>
      <c r="Y48" s="25">
        <v>41.686065999999997</v>
      </c>
      <c r="Z48" s="25">
        <v>28.947005000000001</v>
      </c>
      <c r="AA48" s="25">
        <v>16.975467999999999</v>
      </c>
      <c r="AB48" s="33"/>
      <c r="AC48" s="10"/>
      <c r="AD48" s="10"/>
      <c r="AE48" s="10"/>
      <c r="AF48" s="10"/>
      <c r="AG48" s="10"/>
      <c r="AH48" s="10"/>
      <c r="AI48" s="10"/>
      <c r="AJ48" s="10"/>
      <c r="AK48" s="10"/>
      <c r="AL48" s="10"/>
    </row>
    <row r="49" spans="2:38">
      <c r="B49" s="13" t="s">
        <v>35</v>
      </c>
      <c r="C49" s="11">
        <f>C48+C47</f>
        <v>23.715450000000001</v>
      </c>
      <c r="D49" s="25">
        <f t="shared" ref="D49:AA49" si="83">D48+D47</f>
        <v>22.159861999999997</v>
      </c>
      <c r="E49" s="25">
        <f t="shared" si="83"/>
        <v>23.671813</v>
      </c>
      <c r="F49" s="25">
        <f t="shared" si="83"/>
        <v>27.031803000000004</v>
      </c>
      <c r="G49" s="25">
        <f t="shared" si="83"/>
        <v>22.627345999999999</v>
      </c>
      <c r="H49" s="25">
        <f t="shared" si="83"/>
        <v>51.968581999999998</v>
      </c>
      <c r="I49" s="25">
        <f t="shared" si="83"/>
        <v>50.784094000000003</v>
      </c>
      <c r="J49" s="25">
        <f t="shared" si="83"/>
        <v>90.380476999999985</v>
      </c>
      <c r="K49" s="25">
        <f t="shared" si="83"/>
        <v>89.027620999999996</v>
      </c>
      <c r="L49" s="25">
        <f t="shared" si="83"/>
        <v>92.640990000000002</v>
      </c>
      <c r="M49" s="25">
        <f t="shared" si="83"/>
        <v>92.051991999999998</v>
      </c>
      <c r="N49" s="25">
        <f t="shared" si="83"/>
        <v>105.83613000000001</v>
      </c>
      <c r="O49" s="25">
        <f t="shared" si="83"/>
        <v>128.72650399999998</v>
      </c>
      <c r="P49" s="25">
        <f t="shared" si="83"/>
        <v>177.01411400000003</v>
      </c>
      <c r="Q49" s="25">
        <f t="shared" si="83"/>
        <v>201.56965600000001</v>
      </c>
      <c r="R49" s="25">
        <f t="shared" si="83"/>
        <v>193.82423399999999</v>
      </c>
      <c r="S49" s="25">
        <f t="shared" si="83"/>
        <v>214.78782900000002</v>
      </c>
      <c r="T49" s="25">
        <f t="shared" si="83"/>
        <v>209.47158900000002</v>
      </c>
      <c r="U49" s="11"/>
      <c r="V49" s="33"/>
      <c r="W49" s="33"/>
      <c r="X49" s="25">
        <f t="shared" si="83"/>
        <v>27.031803000000004</v>
      </c>
      <c r="Y49" s="25">
        <f t="shared" si="83"/>
        <v>90.380476999999985</v>
      </c>
      <c r="Z49" s="25">
        <f t="shared" si="83"/>
        <v>105.83613000000001</v>
      </c>
      <c r="AA49" s="25">
        <f t="shared" si="83"/>
        <v>193.82423399999999</v>
      </c>
      <c r="AB49" s="33"/>
      <c r="AC49" s="10"/>
      <c r="AD49" s="10"/>
      <c r="AE49" s="10"/>
      <c r="AF49" s="10"/>
      <c r="AG49" s="10"/>
      <c r="AH49" s="10"/>
      <c r="AI49" s="10"/>
      <c r="AJ49" s="10"/>
      <c r="AK49" s="10"/>
      <c r="AL49" s="10"/>
    </row>
    <row r="50" spans="2:38">
      <c r="C50" s="11"/>
      <c r="D50" s="25"/>
      <c r="E50" s="25"/>
      <c r="F50" s="25"/>
      <c r="G50" s="25"/>
      <c r="H50" s="25"/>
      <c r="I50" s="25"/>
      <c r="J50" s="25"/>
      <c r="K50" s="25"/>
      <c r="L50" s="25"/>
      <c r="M50" s="25"/>
      <c r="N50" s="25"/>
      <c r="O50" s="25"/>
      <c r="P50" s="25"/>
      <c r="Q50" s="25"/>
      <c r="R50" s="25"/>
      <c r="S50" s="25"/>
      <c r="T50" s="25"/>
      <c r="U50" s="10"/>
      <c r="V50" s="10"/>
      <c r="W50" s="10"/>
      <c r="X50" s="25"/>
      <c r="Y50" s="25"/>
      <c r="Z50" s="25"/>
      <c r="AA50" s="25"/>
      <c r="AB50" s="33"/>
      <c r="AC50" s="10"/>
      <c r="AD50" s="10"/>
      <c r="AE50" s="10"/>
      <c r="AF50" s="10"/>
      <c r="AG50" s="10"/>
      <c r="AH50" s="10"/>
      <c r="AI50" s="10"/>
      <c r="AJ50" s="10"/>
      <c r="AK50" s="10"/>
      <c r="AL50" s="10"/>
    </row>
    <row r="51" spans="2:38">
      <c r="B51" s="31" t="s">
        <v>133</v>
      </c>
      <c r="C51" s="30"/>
      <c r="D51" s="28"/>
      <c r="E51" s="28"/>
      <c r="F51" s="28"/>
      <c r="G51" s="28"/>
      <c r="H51" s="28"/>
      <c r="I51" s="28"/>
      <c r="J51" s="28"/>
      <c r="K51" s="28"/>
      <c r="L51" s="28"/>
      <c r="M51" s="28"/>
      <c r="N51" s="28"/>
      <c r="O51" s="28"/>
      <c r="P51" s="28"/>
      <c r="Q51" s="28"/>
      <c r="R51" s="28"/>
      <c r="S51" s="28"/>
      <c r="T51" s="28"/>
      <c r="U51" s="30">
        <v>0.1</v>
      </c>
      <c r="V51" s="30">
        <v>0.1</v>
      </c>
      <c r="W51" s="10"/>
      <c r="X51" s="28"/>
      <c r="Y51" s="28"/>
      <c r="Z51" s="28"/>
      <c r="AA51" s="28"/>
      <c r="AB51" s="28"/>
      <c r="AC51" s="30">
        <v>0.1</v>
      </c>
      <c r="AD51" s="30">
        <v>0.1</v>
      </c>
      <c r="AE51" s="30">
        <v>0.1</v>
      </c>
      <c r="AF51" s="30">
        <v>0.1</v>
      </c>
      <c r="AG51" s="30">
        <v>0.1</v>
      </c>
      <c r="AH51" s="30">
        <v>0.1</v>
      </c>
      <c r="AI51" s="30">
        <v>0.1</v>
      </c>
      <c r="AJ51" s="30">
        <v>0.1</v>
      </c>
      <c r="AK51" s="30">
        <v>0.1</v>
      </c>
      <c r="AL51" s="30">
        <v>0.1</v>
      </c>
    </row>
    <row r="52" spans="2:38">
      <c r="B52" s="31" t="s">
        <v>134</v>
      </c>
      <c r="C52" s="11"/>
      <c r="D52" s="25"/>
      <c r="E52" s="25"/>
      <c r="F52" s="25"/>
      <c r="G52" s="25"/>
      <c r="H52" s="25"/>
      <c r="I52" s="25"/>
      <c r="J52" s="25"/>
      <c r="K52" s="25"/>
      <c r="L52" s="25"/>
      <c r="M52" s="25"/>
      <c r="N52" s="25"/>
      <c r="O52" s="25"/>
      <c r="P52" s="25"/>
      <c r="Q52" s="25"/>
      <c r="R52" s="25"/>
      <c r="S52" s="25"/>
      <c r="T52" s="25"/>
      <c r="U52" s="30">
        <v>0</v>
      </c>
      <c r="V52" s="30">
        <v>0</v>
      </c>
      <c r="W52" s="10"/>
      <c r="X52" s="10"/>
      <c r="Y52" s="25"/>
      <c r="Z52" s="25"/>
      <c r="AA52" s="10"/>
      <c r="AB52" s="10"/>
      <c r="AC52" s="30">
        <v>0</v>
      </c>
      <c r="AD52" s="30">
        <v>0</v>
      </c>
      <c r="AE52" s="30">
        <v>0</v>
      </c>
      <c r="AF52" s="30">
        <v>0</v>
      </c>
      <c r="AG52" s="30">
        <v>0</v>
      </c>
      <c r="AH52" s="30">
        <v>0</v>
      </c>
      <c r="AI52" s="30">
        <v>0</v>
      </c>
      <c r="AJ52" s="30">
        <v>0</v>
      </c>
      <c r="AK52" s="30">
        <v>0</v>
      </c>
      <c r="AL52" s="30">
        <v>0</v>
      </c>
    </row>
    <row r="53" spans="2:38">
      <c r="B53" s="32" t="s">
        <v>135</v>
      </c>
      <c r="C53" s="30">
        <f t="shared" ref="C53:T53" si="84">C7/C5</f>
        <v>1</v>
      </c>
      <c r="D53" s="30">
        <f t="shared" si="84"/>
        <v>1</v>
      </c>
      <c r="E53" s="30">
        <f t="shared" si="84"/>
        <v>1</v>
      </c>
      <c r="F53" s="30">
        <f t="shared" si="84"/>
        <v>1</v>
      </c>
      <c r="G53" s="30">
        <f t="shared" si="84"/>
        <v>1</v>
      </c>
      <c r="H53" s="30">
        <f t="shared" si="84"/>
        <v>1</v>
      </c>
      <c r="I53" s="30">
        <f t="shared" si="84"/>
        <v>1</v>
      </c>
      <c r="J53" s="30">
        <f t="shared" si="84"/>
        <v>1</v>
      </c>
      <c r="K53" s="30">
        <f t="shared" si="84"/>
        <v>1</v>
      </c>
      <c r="L53" s="30">
        <f t="shared" si="84"/>
        <v>1</v>
      </c>
      <c r="M53" s="30">
        <f t="shared" si="84"/>
        <v>1</v>
      </c>
      <c r="N53" s="30">
        <f t="shared" si="84"/>
        <v>1</v>
      </c>
      <c r="O53" s="30">
        <f t="shared" si="84"/>
        <v>1</v>
      </c>
      <c r="P53" s="30">
        <f t="shared" si="84"/>
        <v>1</v>
      </c>
      <c r="Q53" s="30">
        <f t="shared" si="84"/>
        <v>1</v>
      </c>
      <c r="R53" s="30">
        <f t="shared" si="84"/>
        <v>1</v>
      </c>
      <c r="S53" s="30">
        <f t="shared" si="84"/>
        <v>1</v>
      </c>
      <c r="T53" s="30">
        <f t="shared" si="84"/>
        <v>1</v>
      </c>
      <c r="U53" s="30">
        <f>1-SUM(U51:U52)</f>
        <v>0.9</v>
      </c>
      <c r="V53" s="30">
        <f>1-SUM(V51:V52)</f>
        <v>0.9</v>
      </c>
      <c r="W53" s="10"/>
      <c r="X53" s="30">
        <f>X7/X5</f>
        <v>1</v>
      </c>
      <c r="Y53" s="30">
        <f>Y7/Y5</f>
        <v>1</v>
      </c>
      <c r="Z53" s="30">
        <f>Z7/Z5</f>
        <v>1</v>
      </c>
      <c r="AA53" s="30">
        <f>AA7/AA5</f>
        <v>1</v>
      </c>
      <c r="AB53" s="30">
        <f>AB7/AB5</f>
        <v>0.90146681493876324</v>
      </c>
      <c r="AC53" s="30">
        <f>1-SUM(AC51:AC52)</f>
        <v>0.9</v>
      </c>
      <c r="AD53" s="30">
        <f t="shared" ref="AD53:AL53" si="85">1-SUM(AD51:AD52)</f>
        <v>0.9</v>
      </c>
      <c r="AE53" s="30">
        <f t="shared" si="85"/>
        <v>0.9</v>
      </c>
      <c r="AF53" s="30">
        <f t="shared" si="85"/>
        <v>0.9</v>
      </c>
      <c r="AG53" s="30">
        <f t="shared" si="85"/>
        <v>0.9</v>
      </c>
      <c r="AH53" s="30">
        <f t="shared" si="85"/>
        <v>0.9</v>
      </c>
      <c r="AI53" s="30">
        <f t="shared" si="85"/>
        <v>0.9</v>
      </c>
      <c r="AJ53" s="30">
        <f t="shared" si="85"/>
        <v>0.9</v>
      </c>
      <c r="AK53" s="30">
        <f t="shared" si="85"/>
        <v>0.9</v>
      </c>
      <c r="AL53" s="30">
        <f t="shared" si="85"/>
        <v>0.9</v>
      </c>
    </row>
    <row r="54" spans="2:38">
      <c r="B54" s="32" t="s">
        <v>136</v>
      </c>
      <c r="C54" s="30">
        <f t="shared" ref="C54:T54" si="86">C9/C5</f>
        <v>1.1481341366890951</v>
      </c>
      <c r="D54" s="30">
        <f t="shared" si="86"/>
        <v>1.1086653564972013</v>
      </c>
      <c r="E54" s="30">
        <f t="shared" si="86"/>
        <v>1.1188041298236677</v>
      </c>
      <c r="F54" s="30">
        <f t="shared" si="86"/>
        <v>1.4638153425716915</v>
      </c>
      <c r="G54" s="30">
        <f t="shared" si="86"/>
        <v>2.1018647143519766</v>
      </c>
      <c r="H54" s="30">
        <f t="shared" si="86"/>
        <v>1.5396626972657381</v>
      </c>
      <c r="I54" s="30">
        <f t="shared" si="86"/>
        <v>1.4450777372952317</v>
      </c>
      <c r="J54" s="30">
        <f t="shared" si="86"/>
        <v>1.1683856286618708</v>
      </c>
      <c r="K54" s="30">
        <f t="shared" si="86"/>
        <v>3.0459027175129219</v>
      </c>
      <c r="L54" s="30">
        <f t="shared" si="86"/>
        <v>1.9186232305776325</v>
      </c>
      <c r="M54" s="30">
        <f t="shared" si="86"/>
        <v>1.8211173804054466</v>
      </c>
      <c r="N54" s="30">
        <f t="shared" si="86"/>
        <v>1.7485194497114069</v>
      </c>
      <c r="O54" s="30">
        <f t="shared" si="86"/>
        <v>2.7443298674158587</v>
      </c>
      <c r="P54" s="30">
        <f t="shared" si="86"/>
        <v>3.2453696456912073</v>
      </c>
      <c r="Q54" s="30">
        <f t="shared" si="86"/>
        <v>1.8589459732660663</v>
      </c>
      <c r="R54" s="30">
        <f t="shared" si="86"/>
        <v>3.0181795603590946</v>
      </c>
      <c r="S54" s="30">
        <f t="shared" si="86"/>
        <v>5.1208212371340425</v>
      </c>
      <c r="T54" s="30">
        <f t="shared" si="86"/>
        <v>3.6455967612032976</v>
      </c>
      <c r="U54" s="30">
        <v>0.05</v>
      </c>
      <c r="V54" s="30">
        <v>0.05</v>
      </c>
      <c r="W54" s="10"/>
      <c r="X54" s="30">
        <f>X9/X5</f>
        <v>1.1791814741142943</v>
      </c>
      <c r="Y54" s="30">
        <f>Y9/Y5</f>
        <v>1.4433166910161661</v>
      </c>
      <c r="Z54" s="30">
        <f>Z9/Z5</f>
        <v>2.0302498039480161</v>
      </c>
      <c r="AA54" s="30">
        <f>AA9/AA5</f>
        <v>2.5105538745855451</v>
      </c>
      <c r="AB54" s="30">
        <f>AB9/AB5</f>
        <v>0.11264776789036375</v>
      </c>
      <c r="AC54" s="30">
        <v>0</v>
      </c>
      <c r="AD54" s="30">
        <v>0</v>
      </c>
      <c r="AE54" s="30">
        <v>0</v>
      </c>
      <c r="AF54" s="30">
        <v>0</v>
      </c>
      <c r="AG54" s="30">
        <v>0</v>
      </c>
      <c r="AH54" s="30">
        <v>0</v>
      </c>
      <c r="AI54" s="30">
        <v>0</v>
      </c>
      <c r="AJ54" s="30">
        <v>0</v>
      </c>
      <c r="AK54" s="30">
        <v>0</v>
      </c>
      <c r="AL54" s="30">
        <v>0</v>
      </c>
    </row>
    <row r="55" spans="2:38">
      <c r="B55" s="32" t="s">
        <v>137</v>
      </c>
      <c r="C55" s="30">
        <f t="shared" ref="C55:T55" si="87">C8/C5</f>
        <v>0.38792298487688487</v>
      </c>
      <c r="D55" s="30">
        <f t="shared" si="87"/>
        <v>0.50234969201122703</v>
      </c>
      <c r="E55" s="30">
        <f t="shared" si="87"/>
        <v>0.20948265319954879</v>
      </c>
      <c r="F55" s="30">
        <f t="shared" si="87"/>
        <v>0.82912499477468427</v>
      </c>
      <c r="G55" s="30">
        <f t="shared" si="87"/>
        <v>2.5048643825354904</v>
      </c>
      <c r="H55" s="30">
        <f t="shared" si="87"/>
        <v>3.7536454419330596</v>
      </c>
      <c r="I55" s="30">
        <f t="shared" si="87"/>
        <v>1.1091846499725542</v>
      </c>
      <c r="J55" s="30">
        <f t="shared" si="87"/>
        <v>1.2827469870870691</v>
      </c>
      <c r="K55" s="30">
        <f t="shared" si="87"/>
        <v>1.5104035334763317</v>
      </c>
      <c r="L55" s="30">
        <f t="shared" si="87"/>
        <v>1.2863680250440181</v>
      </c>
      <c r="M55" s="30">
        <f t="shared" si="87"/>
        <v>1.3707238996951723</v>
      </c>
      <c r="N55" s="30">
        <f t="shared" si="87"/>
        <v>1.0273469740053989</v>
      </c>
      <c r="O55" s="30">
        <f t="shared" si="87"/>
        <v>2.2820168267131598</v>
      </c>
      <c r="P55" s="30">
        <f t="shared" si="87"/>
        <v>3.2821160047975102</v>
      </c>
      <c r="Q55" s="30">
        <f t="shared" si="87"/>
        <v>1.4247518588499932</v>
      </c>
      <c r="R55" s="30">
        <f t="shared" si="87"/>
        <v>4.048261155347352</v>
      </c>
      <c r="S55" s="30">
        <f t="shared" si="87"/>
        <v>5.6217212853671636</v>
      </c>
      <c r="T55" s="30">
        <f t="shared" si="87"/>
        <v>4.3021862492545484</v>
      </c>
      <c r="U55" s="30">
        <v>6.9468802460188037E-2</v>
      </c>
      <c r="V55" s="30">
        <v>6.9468802460188037E-2</v>
      </c>
      <c r="W55" s="10"/>
      <c r="X55" s="30">
        <f>X8/X5</f>
        <v>0.42312333311320238</v>
      </c>
      <c r="Y55" s="30">
        <f>Y8/Y5</f>
        <v>1.880567669187112</v>
      </c>
      <c r="Z55" s="30">
        <f>Z8/Z5</f>
        <v>1.2719140414465322</v>
      </c>
      <c r="AA55" s="30">
        <f>AA8/AA5</f>
        <v>2.3997280452231258</v>
      </c>
      <c r="AB55" s="30">
        <f>AB8/AB5</f>
        <v>0.14041640374600467</v>
      </c>
      <c r="AC55" s="30">
        <v>0.11</v>
      </c>
      <c r="AD55" s="30">
        <v>0.11</v>
      </c>
      <c r="AE55" s="30">
        <v>0.11</v>
      </c>
      <c r="AF55" s="30">
        <v>0.11</v>
      </c>
      <c r="AG55" s="30">
        <v>0.11</v>
      </c>
      <c r="AH55" s="30">
        <v>0.11</v>
      </c>
      <c r="AI55" s="30">
        <v>0.11</v>
      </c>
      <c r="AJ55" s="30">
        <v>0.11</v>
      </c>
      <c r="AK55" s="30">
        <v>0.11</v>
      </c>
      <c r="AL55" s="30">
        <v>0.11</v>
      </c>
    </row>
    <row r="56" spans="2:38">
      <c r="B56" s="13" t="s">
        <v>143</v>
      </c>
      <c r="C56" s="30">
        <f t="shared" ref="C56:T56" si="88">C14/C5</f>
        <v>-0.26938643536199774</v>
      </c>
      <c r="D56" s="30">
        <f t="shared" si="88"/>
        <v>-0.34757181251128633</v>
      </c>
      <c r="E56" s="30">
        <f t="shared" si="88"/>
        <v>-0.30430632023579518</v>
      </c>
      <c r="F56" s="30">
        <f t="shared" si="88"/>
        <v>-3.4428546421703872</v>
      </c>
      <c r="G56" s="30">
        <f t="shared" si="88"/>
        <v>1.0373921228062835</v>
      </c>
      <c r="H56" s="30">
        <f t="shared" si="88"/>
        <v>0.81967527024683517</v>
      </c>
      <c r="I56" s="30">
        <f t="shared" si="88"/>
        <v>1.3209758777936405</v>
      </c>
      <c r="J56" s="30">
        <f t="shared" si="88"/>
        <v>8.378152956401623E-2</v>
      </c>
      <c r="K56" s="30">
        <f t="shared" si="88"/>
        <v>-0.29790237366212019</v>
      </c>
      <c r="L56" s="30">
        <f t="shared" si="88"/>
        <v>0.12035033785434726</v>
      </c>
      <c r="M56" s="30">
        <f t="shared" si="88"/>
        <v>-6.523656881326916E-3</v>
      </c>
      <c r="N56" s="30">
        <f t="shared" si="88"/>
        <v>0.18413236710248881</v>
      </c>
      <c r="O56" s="30">
        <f t="shared" si="88"/>
        <v>-0.73330502783875506</v>
      </c>
      <c r="P56" s="30">
        <f t="shared" si="88"/>
        <v>1.0176268080073227</v>
      </c>
      <c r="Q56" s="30">
        <f t="shared" si="88"/>
        <v>-0.32063880831169783</v>
      </c>
      <c r="R56" s="30">
        <f t="shared" si="88"/>
        <v>0.15219788336905318</v>
      </c>
      <c r="S56" s="30">
        <f t="shared" si="88"/>
        <v>0.28413858376636969</v>
      </c>
      <c r="T56" s="30">
        <f t="shared" si="88"/>
        <v>0.22569365458983234</v>
      </c>
      <c r="U56" s="30"/>
      <c r="V56" s="30"/>
      <c r="W56" s="10"/>
      <c r="X56" s="30">
        <f>X14/X5</f>
        <v>-0.80521868498364135</v>
      </c>
      <c r="Y56" s="30">
        <f>Y14/Y5</f>
        <v>0.70282203260905096</v>
      </c>
      <c r="Z56" s="30">
        <f>Z14/Z5</f>
        <v>3.7501971667074474E-2</v>
      </c>
      <c r="AA56" s="30">
        <f>AA14/AA5</f>
        <v>-0.10602848187270122</v>
      </c>
      <c r="AB56" s="30">
        <f>AB14/AB5</f>
        <v>3.7030010065057669E-3</v>
      </c>
      <c r="AC56" s="30">
        <v>0.25245181983405374</v>
      </c>
      <c r="AD56" s="30">
        <v>0.25245181983405374</v>
      </c>
      <c r="AE56" s="30">
        <v>0.25245181983405374</v>
      </c>
      <c r="AF56" s="30">
        <v>0.25245181983405374</v>
      </c>
      <c r="AG56" s="30">
        <v>0.25245181983405374</v>
      </c>
      <c r="AH56" s="30">
        <v>0.25245181983405374</v>
      </c>
      <c r="AI56" s="30">
        <v>0.25245181983405374</v>
      </c>
      <c r="AJ56" s="30">
        <v>0.25245181983405374</v>
      </c>
      <c r="AK56" s="30">
        <v>0.25245181983405374</v>
      </c>
      <c r="AL56" s="30">
        <v>0.25245181983405374</v>
      </c>
    </row>
    <row r="57" spans="2:38">
      <c r="B57" s="32" t="s">
        <v>47</v>
      </c>
      <c r="C57" s="30">
        <f t="shared" ref="C57:T57" si="89">C12/C5</f>
        <v>1.5991754825562918</v>
      </c>
      <c r="D57" s="30">
        <f t="shared" si="89"/>
        <v>1.6797530692619984</v>
      </c>
      <c r="E57" s="30">
        <f t="shared" si="89"/>
        <v>1.3636480702162306</v>
      </c>
      <c r="F57" s="30">
        <f t="shared" si="89"/>
        <v>2.3870241043809046</v>
      </c>
      <c r="G57" s="30">
        <f t="shared" si="89"/>
        <v>4.8081923899097143</v>
      </c>
      <c r="H57" s="30">
        <f t="shared" si="89"/>
        <v>5.4591205496785298</v>
      </c>
      <c r="I57" s="30">
        <f t="shared" si="89"/>
        <v>2.688997157029672</v>
      </c>
      <c r="J57" s="30">
        <f t="shared" si="89"/>
        <v>2.5662961810798111</v>
      </c>
      <c r="K57" s="30">
        <f t="shared" si="89"/>
        <v>4.7857434272646397</v>
      </c>
      <c r="L57" s="30">
        <f t="shared" si="89"/>
        <v>3.3443089719839296</v>
      </c>
      <c r="M57" s="30">
        <f t="shared" si="89"/>
        <v>3.3564293263225928</v>
      </c>
      <c r="N57" s="30">
        <f t="shared" si="89"/>
        <v>3.160458677243815</v>
      </c>
      <c r="O57" s="30">
        <f t="shared" si="89"/>
        <v>5.6524634813951584</v>
      </c>
      <c r="P57" s="30">
        <f t="shared" si="89"/>
        <v>7.2291827127910464</v>
      </c>
      <c r="Q57" s="30">
        <f t="shared" si="89"/>
        <v>3.555274256449096</v>
      </c>
      <c r="R57" s="30">
        <f t="shared" si="89"/>
        <v>7.5989630949143914</v>
      </c>
      <c r="S57" s="30">
        <f t="shared" si="89"/>
        <v>11.518941055486291</v>
      </c>
      <c r="T57" s="30">
        <f t="shared" si="89"/>
        <v>8.4854413997897371</v>
      </c>
      <c r="U57" s="30"/>
      <c r="V57" s="30"/>
      <c r="W57" s="10"/>
      <c r="X57" s="30">
        <f>X12/X5</f>
        <v>1.662078263882026</v>
      </c>
      <c r="Y57" s="30">
        <f>Y12/Y5</f>
        <v>3.465971233853264</v>
      </c>
      <c r="Z57" s="30">
        <f>Z12/Z5</f>
        <v>3.5313953494853045</v>
      </c>
      <c r="AA57" s="30">
        <f>AA12/AA5</f>
        <v>5.3865289076513321</v>
      </c>
      <c r="AB57" s="30">
        <f>AB12/AB5</f>
        <v>0.26990300183279303</v>
      </c>
      <c r="AC57" s="30">
        <v>9.8742853285801075</v>
      </c>
      <c r="AD57" s="30">
        <v>9.8742853285801075</v>
      </c>
      <c r="AE57" s="30">
        <v>9.8742853285801075</v>
      </c>
      <c r="AF57" s="30">
        <v>9.8742853285801075</v>
      </c>
      <c r="AG57" s="30">
        <v>9.8742853285801075</v>
      </c>
      <c r="AH57" s="30">
        <v>9.8742853285801075</v>
      </c>
      <c r="AI57" s="30">
        <v>9.8742853285801075</v>
      </c>
      <c r="AJ57" s="30">
        <v>9.8742853285801075</v>
      </c>
      <c r="AK57" s="30">
        <v>9.8742853285801075</v>
      </c>
      <c r="AL57" s="30">
        <v>9.8742853285801075</v>
      </c>
    </row>
    <row r="58" spans="2:38">
      <c r="B58" s="32" t="s">
        <v>138</v>
      </c>
      <c r="C58" s="30">
        <f t="shared" ref="C58:T58" si="90">C13/C5</f>
        <v>-0.59917548255629172</v>
      </c>
      <c r="D58" s="30">
        <f t="shared" si="90"/>
        <v>-0.67975306926199841</v>
      </c>
      <c r="E58" s="30">
        <f t="shared" si="90"/>
        <v>-0.36364807021623047</v>
      </c>
      <c r="F58" s="30">
        <f t="shared" si="90"/>
        <v>-1.3870241043809046</v>
      </c>
      <c r="G58" s="30">
        <f t="shared" si="90"/>
        <v>-3.8081923899097139</v>
      </c>
      <c r="H58" s="30">
        <f t="shared" si="90"/>
        <v>-4.4591205496785298</v>
      </c>
      <c r="I58" s="30">
        <f t="shared" si="90"/>
        <v>-1.6889971570296718</v>
      </c>
      <c r="J58" s="30">
        <f t="shared" si="90"/>
        <v>-1.5662961810798111</v>
      </c>
      <c r="K58" s="30">
        <f t="shared" si="90"/>
        <v>-3.7857434272646397</v>
      </c>
      <c r="L58" s="30">
        <f t="shared" si="90"/>
        <v>-2.3443089719839296</v>
      </c>
      <c r="M58" s="30">
        <f t="shared" si="90"/>
        <v>-2.3564293263225928</v>
      </c>
      <c r="N58" s="30">
        <f t="shared" si="90"/>
        <v>-2.160458677243815</v>
      </c>
      <c r="O58" s="30">
        <f t="shared" si="90"/>
        <v>-4.6524634813951584</v>
      </c>
      <c r="P58" s="30">
        <f t="shared" si="90"/>
        <v>-6.2291827127910455</v>
      </c>
      <c r="Q58" s="30">
        <f t="shared" si="90"/>
        <v>-2.555274256449096</v>
      </c>
      <c r="R58" s="30">
        <f t="shared" si="90"/>
        <v>-6.5989630949143914</v>
      </c>
      <c r="S58" s="30">
        <f t="shared" si="90"/>
        <v>-10.518941055486291</v>
      </c>
      <c r="T58" s="30">
        <f t="shared" si="90"/>
        <v>-7.485441399789738</v>
      </c>
      <c r="U58" s="30"/>
      <c r="V58" s="30"/>
      <c r="W58" s="10"/>
      <c r="X58" s="30">
        <f>X13/X5</f>
        <v>-0.66207826388202595</v>
      </c>
      <c r="Y58" s="30">
        <f>Y13/Y5</f>
        <v>-2.465971233853264</v>
      </c>
      <c r="Z58" s="30">
        <f>Z13/Z5</f>
        <v>-2.531395349485305</v>
      </c>
      <c r="AA58" s="30">
        <f>AA13/AA5</f>
        <v>-4.3865289076513321</v>
      </c>
      <c r="AB58" s="30">
        <f>AB13/AB5</f>
        <v>0.63156381310597032</v>
      </c>
      <c r="AC58" s="30">
        <v>-8.8742853285801058</v>
      </c>
      <c r="AD58" s="30">
        <v>-8.8742853285801058</v>
      </c>
      <c r="AE58" s="30">
        <v>-8.8742853285801058</v>
      </c>
      <c r="AF58" s="30">
        <v>-8.8742853285801058</v>
      </c>
      <c r="AG58" s="30">
        <v>-8.8742853285801058</v>
      </c>
      <c r="AH58" s="30">
        <v>-8.8742853285801058</v>
      </c>
      <c r="AI58" s="30">
        <v>-8.8742853285801058</v>
      </c>
      <c r="AJ58" s="30">
        <v>-8.8742853285801058</v>
      </c>
      <c r="AK58" s="30">
        <v>-8.8742853285801058</v>
      </c>
      <c r="AL58" s="30">
        <v>-8.8742853285801058</v>
      </c>
    </row>
    <row r="59" spans="2:38">
      <c r="B59" s="32" t="s">
        <v>139</v>
      </c>
      <c r="C59" s="30">
        <f t="shared" ref="C59:T59" si="91">C15/C5</f>
        <v>-0.86856191791828952</v>
      </c>
      <c r="D59" s="30">
        <f t="shared" si="91"/>
        <v>-1.0273248817732847</v>
      </c>
      <c r="E59" s="30">
        <f t="shared" si="91"/>
        <v>-0.66795439045202565</v>
      </c>
      <c r="F59" s="30">
        <f t="shared" si="91"/>
        <v>-4.8298787465512918</v>
      </c>
      <c r="G59" s="30">
        <f t="shared" si="91"/>
        <v>-2.7708002671034309</v>
      </c>
      <c r="H59" s="30">
        <f t="shared" si="91"/>
        <v>-3.6394452794316945</v>
      </c>
      <c r="I59" s="30">
        <f t="shared" si="91"/>
        <v>-0.36802127923603151</v>
      </c>
      <c r="J59" s="30">
        <f t="shared" si="91"/>
        <v>-1.482514651515795</v>
      </c>
      <c r="K59" s="30">
        <f t="shared" si="91"/>
        <v>-4.0836458009267602</v>
      </c>
      <c r="L59" s="30">
        <f t="shared" si="91"/>
        <v>-2.2239586341295823</v>
      </c>
      <c r="M59" s="30">
        <f t="shared" si="91"/>
        <v>-2.36295298320392</v>
      </c>
      <c r="N59" s="30">
        <f t="shared" si="91"/>
        <v>-1.9763263101413264</v>
      </c>
      <c r="O59" s="30">
        <f t="shared" si="91"/>
        <v>-5.3857685092339134</v>
      </c>
      <c r="P59" s="30">
        <f t="shared" si="91"/>
        <v>-5.2115559047837232</v>
      </c>
      <c r="Q59" s="30">
        <f t="shared" si="91"/>
        <v>-2.8759130647607938</v>
      </c>
      <c r="R59" s="30">
        <f t="shared" si="91"/>
        <v>-6.4467652115453378</v>
      </c>
      <c r="S59" s="30">
        <f t="shared" si="91"/>
        <v>-10.234802471719922</v>
      </c>
      <c r="T59" s="30">
        <f t="shared" si="91"/>
        <v>-7.2597477451999053</v>
      </c>
      <c r="U59" s="30"/>
      <c r="V59" s="30"/>
      <c r="W59" s="10"/>
      <c r="X59" s="30">
        <f>X15/X5</f>
        <v>-1.4672969488656673</v>
      </c>
      <c r="Y59" s="30">
        <f>Y15/Y5</f>
        <v>-1.7631492012442131</v>
      </c>
      <c r="Z59" s="30">
        <f>Z15/Z5</f>
        <v>-2.4938933778182304</v>
      </c>
      <c r="AA59" s="30">
        <f>AA15/AA5</f>
        <v>-4.4925573895240332</v>
      </c>
      <c r="AB59" s="30">
        <f>AB15/AB5</f>
        <v>0.63526681411247599</v>
      </c>
      <c r="AC59" s="30">
        <v>-8.6218335087460538</v>
      </c>
      <c r="AD59" s="30">
        <v>-8.6218335087460538</v>
      </c>
      <c r="AE59" s="30">
        <v>-8.6218335087460538</v>
      </c>
      <c r="AF59" s="30">
        <v>-8.6218335087460538</v>
      </c>
      <c r="AG59" s="30">
        <v>-8.6218335087460538</v>
      </c>
      <c r="AH59" s="30">
        <v>-8.6218335087460538</v>
      </c>
      <c r="AI59" s="30">
        <v>-8.6218335087460538</v>
      </c>
      <c r="AJ59" s="30">
        <v>-8.6218335087460538</v>
      </c>
      <c r="AK59" s="30">
        <v>-8.6218335087460538</v>
      </c>
      <c r="AL59" s="30">
        <v>-8.6218335087460538</v>
      </c>
    </row>
    <row r="60" spans="2:38">
      <c r="B60" s="32" t="s">
        <v>39</v>
      </c>
      <c r="C60" s="30">
        <f t="shared" ref="C60:T60" si="92">C16/C15</f>
        <v>0</v>
      </c>
      <c r="D60" s="30">
        <f t="shared" si="92"/>
        <v>0</v>
      </c>
      <c r="E60" s="30">
        <f t="shared" si="92"/>
        <v>0</v>
      </c>
      <c r="F60" s="30">
        <f t="shared" si="92"/>
        <v>0</v>
      </c>
      <c r="G60" s="30">
        <f t="shared" si="92"/>
        <v>0</v>
      </c>
      <c r="H60" s="30">
        <f t="shared" si="92"/>
        <v>3.6297995756040504</v>
      </c>
      <c r="I60" s="30">
        <f t="shared" si="92"/>
        <v>1.1598725964696701</v>
      </c>
      <c r="J60" s="30">
        <f t="shared" si="92"/>
        <v>0.21709536794820078</v>
      </c>
      <c r="K60" s="30">
        <f t="shared" si="92"/>
        <v>0.32289413346538332</v>
      </c>
      <c r="L60" s="30">
        <f t="shared" si="92"/>
        <v>0.27645137722132679</v>
      </c>
      <c r="M60" s="30">
        <f t="shared" si="92"/>
        <v>0.45656368069636355</v>
      </c>
      <c r="N60" s="30">
        <f t="shared" si="92"/>
        <v>0.35831810460726005</v>
      </c>
      <c r="O60" s="30">
        <f t="shared" si="92"/>
        <v>0.31847342443894627</v>
      </c>
      <c r="P60" s="30">
        <f t="shared" si="92"/>
        <v>0.39112259657844106</v>
      </c>
      <c r="Q60" s="30">
        <f t="shared" si="92"/>
        <v>0.25637545122848837</v>
      </c>
      <c r="R60" s="30">
        <f t="shared" si="92"/>
        <v>0.27957614722195334</v>
      </c>
      <c r="S60" s="30">
        <f t="shared" si="92"/>
        <v>0.39858325060988903</v>
      </c>
      <c r="T60" s="30">
        <f t="shared" si="92"/>
        <v>0.37580185290769397</v>
      </c>
      <c r="U60" s="30">
        <v>0.25</v>
      </c>
      <c r="V60" s="30">
        <v>0.25</v>
      </c>
      <c r="W60" s="10"/>
      <c r="X60" s="30">
        <f>X16/X15</f>
        <v>0</v>
      </c>
      <c r="Y60" s="30">
        <f>Y16/Y15</f>
        <v>1.6058693783211746</v>
      </c>
      <c r="Z60" s="30">
        <f>Z16/Z15</f>
        <v>0.35061888568840421</v>
      </c>
      <c r="AA60" s="30">
        <f>AA16/AA15</f>
        <v>0.30724750171117887</v>
      </c>
      <c r="AB60" s="30">
        <f>AB16/AB15</f>
        <v>0.22249103856852204</v>
      </c>
      <c r="AC60" s="30">
        <f>$AP$27</f>
        <v>0.25</v>
      </c>
      <c r="AD60" s="30">
        <f t="shared" ref="AD60:AL60" si="93">$AP$27</f>
        <v>0.25</v>
      </c>
      <c r="AE60" s="30">
        <f t="shared" si="93"/>
        <v>0.25</v>
      </c>
      <c r="AF60" s="30">
        <f t="shared" si="93"/>
        <v>0.25</v>
      </c>
      <c r="AG60" s="30">
        <f t="shared" si="93"/>
        <v>0.25</v>
      </c>
      <c r="AH60" s="30">
        <f t="shared" si="93"/>
        <v>0.25</v>
      </c>
      <c r="AI60" s="30">
        <f t="shared" si="93"/>
        <v>0.25</v>
      </c>
      <c r="AJ60" s="30">
        <f t="shared" si="93"/>
        <v>0.25</v>
      </c>
      <c r="AK60" s="30">
        <f t="shared" si="93"/>
        <v>0.25</v>
      </c>
      <c r="AL60" s="30">
        <f t="shared" si="93"/>
        <v>0.25</v>
      </c>
    </row>
    <row r="61" spans="2:38">
      <c r="B61" s="32" t="s">
        <v>48</v>
      </c>
      <c r="C61" s="30">
        <f t="shared" ref="C61:T61" si="94">C17/C5</f>
        <v>-0.86856191791828952</v>
      </c>
      <c r="D61" s="30">
        <f t="shared" si="94"/>
        <v>-1.0273248817732847</v>
      </c>
      <c r="E61" s="30">
        <f t="shared" si="94"/>
        <v>-0.66795439045202565</v>
      </c>
      <c r="F61" s="30">
        <f t="shared" si="94"/>
        <v>-4.8298787465512918</v>
      </c>
      <c r="G61" s="30">
        <f t="shared" si="94"/>
        <v>-2.7708002671034309</v>
      </c>
      <c r="H61" s="30">
        <f t="shared" si="94"/>
        <v>9.5710116512836336</v>
      </c>
      <c r="I61" s="30">
        <f t="shared" si="94"/>
        <v>5.8836517467553862E-2</v>
      </c>
      <c r="J61" s="30">
        <f t="shared" si="94"/>
        <v>-1.1606675877563748</v>
      </c>
      <c r="K61" s="30">
        <f t="shared" si="94"/>
        <v>-2.7650605286569632</v>
      </c>
      <c r="L61" s="30">
        <f t="shared" si="94"/>
        <v>-1.6091422068411985</v>
      </c>
      <c r="M61" s="30">
        <f t="shared" si="94"/>
        <v>-1.2841144718798856</v>
      </c>
      <c r="N61" s="30">
        <f t="shared" si="94"/>
        <v>-1.2681728126060263</v>
      </c>
      <c r="O61" s="30">
        <f t="shared" si="94"/>
        <v>-3.6705443688627506</v>
      </c>
      <c r="P61" s="30">
        <f t="shared" si="94"/>
        <v>-3.1731986270910069</v>
      </c>
      <c r="Q61" s="30">
        <f t="shared" si="94"/>
        <v>-2.1385995550888404</v>
      </c>
      <c r="R61" s="30">
        <f t="shared" si="94"/>
        <v>-4.6444034316569711</v>
      </c>
      <c r="S61" s="30">
        <f t="shared" si="94"/>
        <v>-6.1553816331916682</v>
      </c>
      <c r="T61" s="30">
        <f t="shared" si="94"/>
        <v>-4.5315210909113279</v>
      </c>
      <c r="U61" s="30"/>
      <c r="V61" s="30"/>
      <c r="W61" s="10"/>
      <c r="X61" s="30">
        <f>X17/X5</f>
        <v>-1.4672969488656673</v>
      </c>
      <c r="Y61" s="30">
        <f>Y17/Y5</f>
        <v>1.0682381104453069</v>
      </c>
      <c r="Z61" s="30">
        <f>Z17/Z5</f>
        <v>-1.619487260661912</v>
      </c>
      <c r="AA61" s="30">
        <f>AA17/AA5</f>
        <v>-3.1122303552986783</v>
      </c>
      <c r="AB61" s="30">
        <f>AB17/AB5</f>
        <v>0.49392564087247498</v>
      </c>
      <c r="AC61" s="30">
        <v>-5.2749821462350424</v>
      </c>
      <c r="AD61" s="30">
        <v>-5.2749821462350424</v>
      </c>
      <c r="AE61" s="30">
        <v>-5.2749821462350424</v>
      </c>
      <c r="AF61" s="30">
        <v>-5.2749821462350424</v>
      </c>
      <c r="AG61" s="30">
        <v>-5.2749821462350424</v>
      </c>
      <c r="AH61" s="30">
        <v>-5.2749821462350424</v>
      </c>
      <c r="AI61" s="30">
        <v>-5.2749821462350424</v>
      </c>
      <c r="AJ61" s="30">
        <v>-5.2749821462350424</v>
      </c>
      <c r="AK61" s="30">
        <v>-5.2749821462350424</v>
      </c>
      <c r="AL61" s="30">
        <v>-5.2749821462350424</v>
      </c>
    </row>
    <row r="62" spans="2:38">
      <c r="B62" s="32"/>
      <c r="C62" s="11"/>
      <c r="D62" s="25"/>
      <c r="E62" s="25"/>
      <c r="F62" s="25"/>
      <c r="G62" s="25"/>
      <c r="H62" s="25"/>
      <c r="I62" s="25"/>
      <c r="J62" s="25"/>
      <c r="K62" s="25"/>
      <c r="L62" s="25"/>
      <c r="M62" s="25"/>
      <c r="N62" s="25"/>
      <c r="O62" s="25"/>
      <c r="P62" s="25"/>
      <c r="Q62" s="25"/>
      <c r="R62" s="25"/>
      <c r="S62" s="25"/>
      <c r="T62" s="25"/>
      <c r="U62" s="10"/>
      <c r="V62" s="10"/>
      <c r="W62" s="10"/>
      <c r="X62" s="10"/>
      <c r="Y62" s="25"/>
      <c r="Z62" s="25"/>
      <c r="AA62" s="10"/>
      <c r="AB62" s="10"/>
      <c r="AC62" s="10"/>
      <c r="AD62" s="10"/>
      <c r="AE62" s="10"/>
      <c r="AF62" s="10"/>
      <c r="AG62" s="10"/>
      <c r="AH62" s="10"/>
      <c r="AI62" s="10"/>
      <c r="AJ62" s="10"/>
      <c r="AK62" s="10"/>
      <c r="AL62" s="10"/>
    </row>
    <row r="63" spans="2:38">
      <c r="B63" s="32" t="s">
        <v>140</v>
      </c>
      <c r="C63" s="11"/>
      <c r="D63" s="25"/>
      <c r="E63" s="25"/>
      <c r="F63" s="25"/>
      <c r="G63" s="25"/>
      <c r="H63" s="25"/>
      <c r="I63" s="25"/>
      <c r="J63" s="25"/>
      <c r="K63" s="25"/>
      <c r="L63" s="25"/>
      <c r="M63" s="25"/>
      <c r="N63" s="25"/>
      <c r="O63" s="25"/>
      <c r="P63" s="25"/>
      <c r="Q63" s="25"/>
      <c r="R63" s="25"/>
      <c r="S63" s="25"/>
      <c r="T63" s="25"/>
      <c r="U63" s="10"/>
      <c r="V63" s="10"/>
      <c r="W63" s="10"/>
      <c r="X63" s="10"/>
      <c r="Y63" s="10"/>
      <c r="Z63" s="10"/>
      <c r="AA63" s="10"/>
      <c r="AB63" s="10"/>
      <c r="AC63" s="10"/>
      <c r="AD63" s="10"/>
      <c r="AE63" s="10"/>
      <c r="AF63" s="10"/>
      <c r="AG63" s="10"/>
      <c r="AH63" s="10"/>
      <c r="AI63" s="10"/>
      <c r="AJ63" s="10"/>
      <c r="AK63" s="10"/>
      <c r="AL63" s="10"/>
    </row>
    <row r="64" spans="2:38">
      <c r="B64" s="32" t="s">
        <v>141</v>
      </c>
      <c r="C64" s="11"/>
      <c r="D64" s="25"/>
      <c r="E64" s="25"/>
      <c r="F64" s="25"/>
      <c r="G64" s="25"/>
      <c r="H64" s="25"/>
      <c r="I64" s="25"/>
      <c r="J64" s="25"/>
      <c r="K64" s="25"/>
      <c r="L64" s="25"/>
      <c r="M64" s="25"/>
      <c r="N64" s="25"/>
      <c r="O64" s="25"/>
      <c r="P64" s="25"/>
      <c r="Q64" s="25"/>
      <c r="R64" s="25"/>
      <c r="S64" s="25"/>
      <c r="T64" s="25"/>
      <c r="U64" s="10"/>
      <c r="V64" s="10"/>
      <c r="W64" s="10"/>
      <c r="X64" s="10"/>
      <c r="Y64" s="10"/>
      <c r="Z64" s="10"/>
      <c r="AA64" s="10"/>
      <c r="AB64" s="10"/>
      <c r="AC64" s="10"/>
      <c r="AD64" s="10"/>
      <c r="AE64" s="10"/>
      <c r="AF64" s="10"/>
      <c r="AG64" s="10"/>
      <c r="AH64" s="10"/>
      <c r="AI64" s="10"/>
      <c r="AJ64" s="10"/>
      <c r="AK64" s="10"/>
      <c r="AL64" s="10"/>
    </row>
    <row r="65" spans="2:38">
      <c r="B65" s="32" t="s">
        <v>142</v>
      </c>
      <c r="C65" s="11"/>
      <c r="D65" s="25"/>
      <c r="E65" s="25"/>
      <c r="F65" s="25"/>
      <c r="G65" s="25"/>
      <c r="H65" s="25"/>
      <c r="I65" s="25"/>
      <c r="J65" s="25"/>
      <c r="K65" s="25"/>
      <c r="L65" s="25"/>
      <c r="M65" s="25"/>
      <c r="N65" s="25"/>
      <c r="O65" s="25"/>
      <c r="P65" s="25"/>
      <c r="Q65" s="25"/>
      <c r="R65" s="25"/>
      <c r="S65" s="25"/>
      <c r="T65" s="25"/>
      <c r="U65" s="10"/>
      <c r="V65" s="10"/>
      <c r="W65" s="10"/>
      <c r="X65" s="10"/>
      <c r="Y65" s="10"/>
      <c r="Z65" s="10"/>
      <c r="AA65" s="10"/>
      <c r="AB65" s="10"/>
      <c r="AC65" s="10"/>
      <c r="AD65" s="10"/>
      <c r="AE65" s="10"/>
      <c r="AF65" s="10"/>
      <c r="AG65" s="10"/>
      <c r="AH65" s="10"/>
      <c r="AI65" s="10"/>
      <c r="AJ65" s="10"/>
      <c r="AK65" s="10"/>
      <c r="AL65" s="10"/>
    </row>
    <row r="66" spans="2:38">
      <c r="C66" s="11"/>
      <c r="D66" s="25"/>
      <c r="E66" s="25"/>
      <c r="F66" s="25"/>
      <c r="G66" s="25"/>
      <c r="H66" s="25"/>
      <c r="I66" s="25"/>
      <c r="J66" s="25"/>
      <c r="K66" s="25"/>
      <c r="L66" s="25"/>
      <c r="M66" s="25"/>
      <c r="N66" s="25"/>
      <c r="O66" s="25"/>
      <c r="P66" s="25"/>
      <c r="Q66" s="25"/>
      <c r="R66" s="25"/>
      <c r="S66" s="25"/>
      <c r="T66" s="25"/>
      <c r="U66" s="10"/>
      <c r="V66" s="10"/>
      <c r="W66" s="10"/>
      <c r="X66" s="10"/>
      <c r="Y66" s="10"/>
      <c r="Z66" s="10"/>
      <c r="AA66" s="10"/>
      <c r="AB66" s="10"/>
      <c r="AC66" s="10"/>
      <c r="AD66" s="10"/>
      <c r="AE66" s="10"/>
      <c r="AF66" s="10"/>
      <c r="AG66" s="10"/>
      <c r="AH66" s="10"/>
      <c r="AI66" s="10"/>
      <c r="AJ66" s="10"/>
      <c r="AK66" s="10"/>
      <c r="AL66" s="10"/>
    </row>
    <row r="67" spans="2:38">
      <c r="C67" s="11"/>
      <c r="D67" s="25"/>
      <c r="E67" s="25"/>
      <c r="F67" s="25"/>
      <c r="G67" s="25"/>
      <c r="H67" s="25"/>
      <c r="I67" s="25"/>
      <c r="J67" s="25"/>
      <c r="K67" s="25"/>
      <c r="L67" s="25"/>
      <c r="M67" s="25"/>
      <c r="N67" s="25"/>
      <c r="O67" s="25"/>
      <c r="P67" s="25"/>
      <c r="Q67" s="25"/>
      <c r="R67" s="25"/>
      <c r="S67" s="25"/>
      <c r="T67" s="25"/>
      <c r="U67" s="10"/>
      <c r="V67" s="10"/>
      <c r="W67" s="10"/>
      <c r="X67" s="10"/>
      <c r="Y67" s="10"/>
      <c r="Z67" s="10"/>
      <c r="AA67" s="10"/>
      <c r="AB67" s="10"/>
      <c r="AC67" s="10"/>
      <c r="AD67" s="10"/>
      <c r="AE67" s="10"/>
      <c r="AF67" s="10"/>
      <c r="AG67" s="10"/>
      <c r="AH67" s="10"/>
      <c r="AI67" s="10"/>
      <c r="AJ67" s="10"/>
      <c r="AK67" s="10"/>
      <c r="AL67" s="10"/>
    </row>
    <row r="68" spans="2:38">
      <c r="C68" s="11"/>
      <c r="D68" s="25"/>
      <c r="E68" s="25"/>
      <c r="F68" s="25"/>
      <c r="G68" s="25"/>
      <c r="H68" s="25"/>
      <c r="I68" s="25"/>
      <c r="J68" s="25"/>
      <c r="K68" s="25"/>
      <c r="L68" s="25"/>
      <c r="M68" s="25"/>
      <c r="N68" s="25"/>
      <c r="O68" s="25"/>
      <c r="P68" s="25"/>
      <c r="Q68" s="25"/>
      <c r="R68" s="25"/>
      <c r="S68" s="25"/>
      <c r="T68" s="25"/>
      <c r="U68" s="10"/>
      <c r="V68" s="10"/>
      <c r="W68" s="10"/>
      <c r="X68" s="10"/>
      <c r="Y68" s="10"/>
      <c r="Z68" s="10"/>
      <c r="AA68" s="10"/>
      <c r="AB68" s="10"/>
      <c r="AC68" s="10"/>
      <c r="AD68" s="10"/>
      <c r="AE68" s="10"/>
      <c r="AF68" s="10"/>
      <c r="AG68" s="10"/>
      <c r="AH68" s="10"/>
      <c r="AI68" s="10"/>
      <c r="AJ68" s="10"/>
      <c r="AK68" s="10"/>
      <c r="AL68" s="10"/>
    </row>
    <row r="69" spans="2:38">
      <c r="C69" s="11"/>
      <c r="D69" s="25"/>
      <c r="E69" s="25"/>
      <c r="F69" s="25"/>
      <c r="G69" s="25"/>
      <c r="H69" s="25"/>
      <c r="I69" s="25"/>
      <c r="J69" s="25"/>
      <c r="K69" s="25"/>
      <c r="L69" s="25"/>
      <c r="M69" s="25"/>
      <c r="N69" s="25"/>
      <c r="O69" s="25"/>
      <c r="P69" s="25"/>
      <c r="Q69" s="25"/>
      <c r="R69" s="25"/>
      <c r="S69" s="25"/>
      <c r="T69" s="25"/>
      <c r="U69" s="10"/>
      <c r="V69" s="10"/>
      <c r="W69" s="10"/>
      <c r="X69" s="10"/>
      <c r="Y69" s="10"/>
      <c r="Z69" s="10"/>
      <c r="AA69" s="10"/>
      <c r="AB69" s="10"/>
      <c r="AC69" s="10"/>
      <c r="AD69" s="10"/>
      <c r="AE69" s="10"/>
      <c r="AF69" s="10"/>
      <c r="AG69" s="10"/>
      <c r="AH69" s="10"/>
      <c r="AI69" s="10"/>
      <c r="AJ69" s="10"/>
      <c r="AK69" s="10"/>
      <c r="AL69" s="10"/>
    </row>
    <row r="70" spans="2:38">
      <c r="C70" s="11"/>
      <c r="D70" s="25"/>
      <c r="E70" s="25"/>
      <c r="F70" s="25"/>
      <c r="G70" s="25"/>
      <c r="H70" s="25"/>
      <c r="I70" s="25"/>
      <c r="J70" s="25"/>
      <c r="K70" s="25"/>
      <c r="L70" s="25"/>
      <c r="M70" s="25"/>
      <c r="N70" s="25"/>
      <c r="O70" s="25"/>
      <c r="P70" s="25"/>
      <c r="Q70" s="25"/>
      <c r="R70" s="25"/>
      <c r="S70" s="25"/>
      <c r="T70" s="25"/>
      <c r="U70" s="10"/>
      <c r="V70" s="10"/>
      <c r="W70" s="10"/>
      <c r="X70" s="10"/>
      <c r="Y70" s="10"/>
      <c r="Z70" s="10"/>
      <c r="AA70" s="10"/>
      <c r="AB70" s="10"/>
      <c r="AC70" s="10"/>
      <c r="AD70" s="10"/>
      <c r="AE70" s="10"/>
      <c r="AF70" s="10"/>
      <c r="AG70" s="10"/>
      <c r="AH70" s="10"/>
      <c r="AI70" s="10"/>
      <c r="AJ70" s="10"/>
      <c r="AK70" s="10"/>
      <c r="AL70" s="10"/>
    </row>
    <row r="71" spans="2:38">
      <c r="C71" s="11"/>
      <c r="D71" s="25"/>
      <c r="E71" s="25"/>
      <c r="F71" s="25"/>
      <c r="G71" s="25"/>
      <c r="H71" s="25"/>
      <c r="I71" s="25"/>
      <c r="J71" s="25"/>
      <c r="K71" s="25"/>
      <c r="L71" s="25"/>
      <c r="M71" s="25"/>
      <c r="N71" s="25"/>
      <c r="O71" s="25"/>
      <c r="P71" s="25"/>
      <c r="Q71" s="25"/>
      <c r="R71" s="25"/>
      <c r="S71" s="25"/>
      <c r="T71" s="25"/>
      <c r="U71" s="10"/>
      <c r="V71" s="10"/>
      <c r="W71" s="10"/>
      <c r="X71" s="10"/>
      <c r="Y71" s="10"/>
      <c r="Z71" s="10"/>
      <c r="AA71" s="10"/>
      <c r="AB71" s="10"/>
      <c r="AC71" s="10"/>
      <c r="AD71" s="10"/>
      <c r="AE71" s="10"/>
      <c r="AF71" s="10"/>
      <c r="AG71" s="10"/>
      <c r="AH71" s="10"/>
      <c r="AI71" s="10"/>
      <c r="AJ71" s="10"/>
      <c r="AK71" s="10"/>
      <c r="AL71" s="10"/>
    </row>
    <row r="72" spans="2:38">
      <c r="C72" s="11"/>
      <c r="D72" s="25"/>
      <c r="E72" s="25"/>
      <c r="F72" s="25"/>
      <c r="G72" s="25"/>
      <c r="H72" s="25"/>
      <c r="I72" s="25"/>
      <c r="J72" s="25"/>
      <c r="K72" s="25"/>
      <c r="L72" s="25"/>
      <c r="M72" s="25"/>
      <c r="N72" s="25"/>
      <c r="O72" s="25"/>
      <c r="P72" s="25"/>
      <c r="Q72" s="25"/>
      <c r="R72" s="25"/>
      <c r="S72" s="25"/>
      <c r="T72" s="25"/>
      <c r="U72" s="10"/>
      <c r="V72" s="10"/>
      <c r="W72" s="10"/>
      <c r="X72" s="10"/>
      <c r="Y72" s="10"/>
      <c r="Z72" s="10"/>
      <c r="AA72" s="10"/>
      <c r="AB72" s="10"/>
      <c r="AC72" s="10"/>
      <c r="AD72" s="10"/>
      <c r="AE72" s="10"/>
      <c r="AF72" s="10"/>
      <c r="AG72" s="10"/>
      <c r="AH72" s="10"/>
      <c r="AI72" s="10"/>
      <c r="AJ72" s="10"/>
      <c r="AK72" s="10"/>
      <c r="AL72" s="10"/>
    </row>
    <row r="73" spans="2:38">
      <c r="C73" s="11"/>
      <c r="D73" s="25"/>
      <c r="E73" s="25"/>
      <c r="F73" s="25"/>
      <c r="G73" s="25"/>
      <c r="H73" s="25"/>
      <c r="I73" s="25"/>
      <c r="J73" s="25"/>
      <c r="K73" s="25"/>
      <c r="L73" s="25"/>
      <c r="M73" s="25"/>
      <c r="N73" s="25"/>
      <c r="O73" s="25"/>
      <c r="P73" s="25"/>
      <c r="Q73" s="25"/>
      <c r="R73" s="25"/>
      <c r="S73" s="25"/>
      <c r="T73" s="25"/>
      <c r="U73" s="10"/>
      <c r="V73" s="10"/>
      <c r="W73" s="10"/>
      <c r="X73" s="10"/>
      <c r="Y73" s="10"/>
      <c r="Z73" s="10"/>
      <c r="AA73" s="10"/>
      <c r="AB73" s="10"/>
      <c r="AC73" s="10"/>
      <c r="AD73" s="10"/>
      <c r="AE73" s="10"/>
      <c r="AF73" s="10"/>
      <c r="AG73" s="10"/>
      <c r="AH73" s="10"/>
      <c r="AI73" s="10"/>
      <c r="AJ73" s="10"/>
      <c r="AK73" s="10"/>
      <c r="AL73" s="10"/>
    </row>
    <row r="74" spans="2:38">
      <c r="C74" s="11"/>
      <c r="D74" s="25"/>
      <c r="E74" s="25"/>
      <c r="F74" s="25"/>
      <c r="G74" s="25"/>
      <c r="H74" s="25"/>
      <c r="I74" s="25"/>
      <c r="J74" s="25"/>
      <c r="K74" s="25"/>
      <c r="L74" s="25"/>
      <c r="M74" s="25"/>
      <c r="N74" s="25"/>
      <c r="O74" s="25"/>
      <c r="P74" s="25"/>
      <c r="Q74" s="25"/>
      <c r="R74" s="25"/>
      <c r="S74" s="25"/>
      <c r="T74" s="25"/>
      <c r="U74" s="10"/>
      <c r="V74" s="10"/>
      <c r="W74" s="10"/>
      <c r="X74" s="10"/>
      <c r="Y74" s="10"/>
      <c r="Z74" s="10"/>
      <c r="AA74" s="10"/>
      <c r="AB74" s="10"/>
      <c r="AC74" s="10"/>
      <c r="AD74" s="10"/>
      <c r="AE74" s="10"/>
      <c r="AF74" s="10"/>
      <c r="AG74" s="10"/>
      <c r="AH74" s="10"/>
      <c r="AI74" s="10"/>
      <c r="AJ74" s="10"/>
      <c r="AK74" s="10"/>
      <c r="AL74" s="10"/>
    </row>
    <row r="75" spans="2:38">
      <c r="C75" s="11"/>
      <c r="D75" s="25"/>
      <c r="E75" s="25"/>
      <c r="F75" s="25"/>
      <c r="G75" s="25"/>
      <c r="H75" s="25"/>
      <c r="I75" s="25"/>
      <c r="J75" s="25"/>
      <c r="K75" s="25"/>
      <c r="L75" s="25"/>
      <c r="M75" s="25"/>
      <c r="N75" s="25"/>
      <c r="O75" s="25"/>
      <c r="P75" s="25"/>
      <c r="Q75" s="25"/>
      <c r="R75" s="25"/>
      <c r="S75" s="25"/>
      <c r="T75" s="25"/>
      <c r="U75" s="10"/>
      <c r="V75" s="10"/>
      <c r="W75" s="10"/>
      <c r="X75" s="10"/>
      <c r="Y75" s="10"/>
      <c r="Z75" s="10"/>
      <c r="AA75" s="10"/>
      <c r="AB75" s="10"/>
      <c r="AC75" s="10"/>
      <c r="AD75" s="10"/>
      <c r="AE75" s="10"/>
      <c r="AF75" s="10"/>
      <c r="AG75" s="10"/>
      <c r="AH75" s="10"/>
      <c r="AI75" s="10"/>
      <c r="AJ75" s="10"/>
      <c r="AK75" s="10"/>
      <c r="AL75" s="10"/>
    </row>
    <row r="76" spans="2:38">
      <c r="C76" s="11"/>
      <c r="D76" s="25"/>
      <c r="E76" s="25"/>
      <c r="F76" s="25"/>
      <c r="G76" s="25"/>
      <c r="H76" s="25"/>
      <c r="I76" s="25"/>
      <c r="J76" s="25"/>
      <c r="K76" s="25"/>
      <c r="L76" s="25"/>
      <c r="M76" s="25"/>
      <c r="N76" s="25"/>
      <c r="O76" s="25"/>
      <c r="P76" s="25"/>
      <c r="Q76" s="25"/>
      <c r="R76" s="25"/>
      <c r="S76" s="25"/>
      <c r="T76" s="25"/>
      <c r="U76" s="10"/>
      <c r="V76" s="10"/>
      <c r="W76" s="10"/>
      <c r="X76" s="10"/>
      <c r="Y76" s="10"/>
      <c r="Z76" s="10"/>
      <c r="AA76" s="10"/>
      <c r="AB76" s="10"/>
      <c r="AC76" s="10"/>
      <c r="AD76" s="10"/>
      <c r="AE76" s="10"/>
      <c r="AF76" s="10"/>
      <c r="AG76" s="10"/>
      <c r="AH76" s="10"/>
      <c r="AI76" s="10"/>
      <c r="AJ76" s="10"/>
      <c r="AK76" s="10"/>
      <c r="AL76" s="10"/>
    </row>
    <row r="77" spans="2:38">
      <c r="C77" s="11"/>
      <c r="D77" s="25"/>
      <c r="E77" s="25"/>
      <c r="F77" s="25"/>
      <c r="G77" s="25"/>
      <c r="H77" s="25"/>
      <c r="I77" s="25"/>
      <c r="J77" s="25"/>
      <c r="K77" s="25"/>
      <c r="L77" s="25"/>
      <c r="M77" s="25"/>
      <c r="N77" s="25"/>
      <c r="O77" s="25"/>
      <c r="P77" s="25"/>
      <c r="Q77" s="25"/>
      <c r="R77" s="25"/>
      <c r="S77" s="25"/>
      <c r="T77" s="25"/>
      <c r="U77" s="10"/>
      <c r="V77" s="10"/>
      <c r="W77" s="10"/>
      <c r="X77" s="10"/>
      <c r="Y77" s="10"/>
      <c r="Z77" s="10"/>
      <c r="AA77" s="10"/>
      <c r="AB77" s="10"/>
      <c r="AC77" s="10"/>
      <c r="AD77" s="10"/>
      <c r="AE77" s="10"/>
      <c r="AF77" s="10"/>
      <c r="AG77" s="10"/>
      <c r="AH77" s="10"/>
      <c r="AI77" s="10"/>
      <c r="AJ77" s="10"/>
      <c r="AK77" s="10"/>
      <c r="AL77" s="10"/>
    </row>
    <row r="78" spans="2:38">
      <c r="C78" s="11"/>
      <c r="D78" s="25"/>
      <c r="E78" s="25"/>
      <c r="F78" s="25"/>
      <c r="G78" s="25"/>
      <c r="H78" s="25"/>
      <c r="I78" s="25"/>
      <c r="J78" s="25"/>
      <c r="K78" s="25"/>
      <c r="L78" s="25"/>
      <c r="M78" s="25"/>
      <c r="N78" s="25"/>
      <c r="O78" s="25"/>
      <c r="P78" s="25"/>
      <c r="Q78" s="25"/>
      <c r="R78" s="25"/>
      <c r="S78" s="25"/>
      <c r="T78" s="25"/>
      <c r="U78" s="10"/>
      <c r="V78" s="10"/>
      <c r="W78" s="10"/>
      <c r="X78" s="10"/>
      <c r="Y78" s="10"/>
      <c r="Z78" s="10"/>
      <c r="AA78" s="10"/>
      <c r="AB78" s="10"/>
      <c r="AC78" s="10"/>
      <c r="AD78" s="10"/>
      <c r="AE78" s="10"/>
      <c r="AF78" s="10"/>
      <c r="AG78" s="10"/>
      <c r="AH78" s="10"/>
      <c r="AI78" s="10"/>
      <c r="AJ78" s="10"/>
      <c r="AK78" s="10"/>
      <c r="AL78" s="10"/>
    </row>
    <row r="79" spans="2:38">
      <c r="C79" s="11"/>
      <c r="D79" s="25"/>
      <c r="E79" s="25"/>
      <c r="F79" s="25"/>
      <c r="G79" s="25"/>
      <c r="H79" s="25"/>
      <c r="I79" s="25"/>
      <c r="J79" s="25"/>
      <c r="K79" s="25"/>
      <c r="L79" s="25"/>
      <c r="M79" s="25"/>
      <c r="N79" s="25"/>
      <c r="O79" s="25"/>
      <c r="P79" s="25"/>
      <c r="Q79" s="25"/>
      <c r="R79" s="25"/>
      <c r="S79" s="25"/>
      <c r="T79" s="25"/>
      <c r="U79" s="10"/>
      <c r="V79" s="10"/>
      <c r="W79" s="10"/>
      <c r="X79" s="10"/>
      <c r="Y79" s="10"/>
      <c r="Z79" s="10"/>
      <c r="AA79" s="10"/>
      <c r="AB79" s="10"/>
      <c r="AC79" s="10"/>
      <c r="AD79" s="10"/>
      <c r="AE79" s="10"/>
      <c r="AF79" s="10"/>
      <c r="AG79" s="10"/>
      <c r="AH79" s="10"/>
      <c r="AI79" s="10"/>
      <c r="AJ79" s="10"/>
      <c r="AK79" s="10"/>
      <c r="AL79" s="10"/>
    </row>
    <row r="80" spans="2:38">
      <c r="C80" s="11"/>
      <c r="D80" s="25"/>
      <c r="E80" s="25"/>
      <c r="F80" s="25"/>
      <c r="G80" s="25"/>
      <c r="H80" s="25"/>
      <c r="I80" s="25"/>
      <c r="J80" s="25"/>
      <c r="K80" s="25"/>
      <c r="L80" s="25"/>
      <c r="M80" s="25"/>
      <c r="N80" s="25"/>
      <c r="O80" s="25"/>
      <c r="P80" s="25"/>
      <c r="Q80" s="25"/>
      <c r="R80" s="25"/>
      <c r="S80" s="25"/>
      <c r="T80" s="25"/>
      <c r="U80" s="10"/>
      <c r="V80" s="10"/>
      <c r="W80" s="10"/>
      <c r="X80" s="10"/>
      <c r="Y80" s="10"/>
      <c r="Z80" s="10"/>
      <c r="AA80" s="10"/>
      <c r="AB80" s="10"/>
      <c r="AC80" s="10"/>
      <c r="AD80" s="10"/>
      <c r="AE80" s="10"/>
      <c r="AF80" s="10"/>
      <c r="AG80" s="10"/>
      <c r="AH80" s="10"/>
      <c r="AI80" s="10"/>
      <c r="AJ80" s="10"/>
      <c r="AK80" s="10"/>
      <c r="AL80" s="10"/>
    </row>
    <row r="81" spans="3:38">
      <c r="C81" s="11"/>
      <c r="D81" s="25"/>
      <c r="E81" s="25"/>
      <c r="F81" s="25"/>
      <c r="G81" s="25"/>
      <c r="H81" s="25"/>
      <c r="I81" s="25"/>
      <c r="J81" s="25"/>
      <c r="K81" s="25"/>
      <c r="L81" s="25"/>
      <c r="M81" s="25"/>
      <c r="N81" s="25"/>
      <c r="O81" s="25"/>
      <c r="P81" s="25"/>
      <c r="Q81" s="25"/>
      <c r="R81" s="25"/>
      <c r="S81" s="25"/>
      <c r="T81" s="25"/>
      <c r="U81" s="10"/>
      <c r="V81" s="10"/>
      <c r="W81" s="10"/>
      <c r="X81" s="10"/>
      <c r="Y81" s="10"/>
      <c r="Z81" s="10"/>
      <c r="AA81" s="10"/>
      <c r="AB81" s="10"/>
      <c r="AC81" s="10"/>
      <c r="AD81" s="10"/>
      <c r="AE81" s="10"/>
      <c r="AF81" s="10"/>
      <c r="AG81" s="10"/>
      <c r="AH81" s="10"/>
      <c r="AI81" s="10"/>
      <c r="AJ81" s="10"/>
      <c r="AK81" s="10"/>
      <c r="AL81" s="10"/>
    </row>
    <row r="82" spans="3:38">
      <c r="C82" s="11"/>
      <c r="D82" s="25"/>
      <c r="E82" s="25"/>
      <c r="F82" s="25"/>
      <c r="G82" s="25"/>
      <c r="H82" s="25"/>
      <c r="I82" s="25"/>
      <c r="J82" s="25"/>
      <c r="K82" s="25"/>
      <c r="L82" s="25"/>
      <c r="M82" s="25"/>
      <c r="N82" s="25"/>
      <c r="O82" s="25"/>
      <c r="P82" s="25"/>
      <c r="Q82" s="25"/>
      <c r="R82" s="25"/>
      <c r="S82" s="25"/>
      <c r="T82" s="25"/>
      <c r="U82" s="10"/>
      <c r="V82" s="10"/>
      <c r="W82" s="10"/>
      <c r="X82" s="10"/>
      <c r="Y82" s="10"/>
      <c r="Z82" s="10"/>
      <c r="AA82" s="10"/>
      <c r="AB82" s="10"/>
      <c r="AC82" s="10"/>
      <c r="AD82" s="10"/>
      <c r="AE82" s="10"/>
      <c r="AF82" s="10"/>
      <c r="AG82" s="10"/>
      <c r="AH82" s="10"/>
      <c r="AI82" s="10"/>
      <c r="AJ82" s="10"/>
      <c r="AK82" s="10"/>
      <c r="AL82" s="10"/>
    </row>
    <row r="83" spans="3:38">
      <c r="C83" s="11"/>
      <c r="D83" s="25"/>
      <c r="E83" s="25"/>
      <c r="F83" s="25"/>
      <c r="G83" s="25"/>
      <c r="H83" s="25"/>
      <c r="I83" s="25"/>
      <c r="J83" s="25"/>
      <c r="K83" s="25"/>
      <c r="L83" s="25"/>
      <c r="M83" s="25"/>
      <c r="N83" s="25"/>
      <c r="O83" s="25"/>
      <c r="P83" s="25"/>
      <c r="Q83" s="25"/>
      <c r="R83" s="25"/>
      <c r="S83" s="25"/>
      <c r="T83" s="25"/>
      <c r="U83" s="10"/>
      <c r="V83" s="10"/>
      <c r="W83" s="10"/>
      <c r="X83" s="10"/>
      <c r="Y83" s="10"/>
      <c r="Z83" s="10"/>
      <c r="AA83" s="10"/>
      <c r="AB83" s="10"/>
      <c r="AC83" s="10"/>
      <c r="AD83" s="10"/>
      <c r="AE83" s="10"/>
      <c r="AF83" s="10"/>
      <c r="AG83" s="10"/>
      <c r="AH83" s="10"/>
      <c r="AI83" s="10"/>
      <c r="AJ83" s="10"/>
      <c r="AK83" s="10"/>
      <c r="AL83" s="10"/>
    </row>
    <row r="84" spans="3:38">
      <c r="C84" s="11"/>
      <c r="D84" s="25"/>
      <c r="E84" s="25"/>
      <c r="F84" s="25"/>
      <c r="G84" s="25"/>
      <c r="H84" s="25"/>
      <c r="I84" s="25"/>
      <c r="J84" s="25"/>
      <c r="K84" s="25"/>
      <c r="L84" s="25"/>
      <c r="M84" s="25"/>
      <c r="N84" s="25"/>
      <c r="O84" s="25"/>
      <c r="P84" s="25"/>
      <c r="Q84" s="25"/>
      <c r="R84" s="25"/>
      <c r="S84" s="25"/>
      <c r="T84" s="25"/>
      <c r="U84" s="10"/>
      <c r="V84" s="10"/>
      <c r="W84" s="10"/>
      <c r="X84" s="10"/>
      <c r="Y84" s="10"/>
      <c r="Z84" s="10"/>
      <c r="AA84" s="10"/>
      <c r="AB84" s="10"/>
      <c r="AC84" s="10"/>
      <c r="AD84" s="10"/>
      <c r="AE84" s="10"/>
      <c r="AF84" s="10"/>
      <c r="AG84" s="10"/>
      <c r="AH84" s="10"/>
      <c r="AI84" s="10"/>
      <c r="AJ84" s="10"/>
      <c r="AK84" s="10"/>
      <c r="AL84" s="10"/>
    </row>
  </sheetData>
  <hyperlinks>
    <hyperlink ref="A1" location="Main!A1" display="Main" xr:uid="{00000000-0004-0000-0100-000000000000}"/>
  </hyperlinks>
  <pageMargins left="0.7" right="0.7" top="0.75" bottom="0.75" header="0.3" footer="0.3"/>
  <pageSetup orientation="portrait" horizontalDpi="1200" verticalDpi="1200" r:id="rId1"/>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P35"/>
  <sheetViews>
    <sheetView workbookViewId="0"/>
  </sheetViews>
  <sheetFormatPr defaultRowHeight="12.75"/>
  <cols>
    <col min="1" max="1" width="5" style="34" bestFit="1" customWidth="1"/>
    <col min="2" max="2" width="24.7109375" style="34" bestFit="1" customWidth="1"/>
    <col min="3" max="16384" width="9.140625" style="34"/>
  </cols>
  <sheetData>
    <row r="1" spans="1:8">
      <c r="A1" s="21" t="s">
        <v>14</v>
      </c>
    </row>
    <row r="2" spans="1:8">
      <c r="B2" s="34" t="s">
        <v>155</v>
      </c>
      <c r="C2" s="34" t="s">
        <v>153</v>
      </c>
    </row>
    <row r="3" spans="1:8">
      <c r="C3" s="34" t="s">
        <v>154</v>
      </c>
    </row>
    <row r="5" spans="1:8">
      <c r="B5" s="34" t="s">
        <v>157</v>
      </c>
      <c r="C5" s="34" t="s">
        <v>158</v>
      </c>
      <c r="H5" s="10">
        <v>11.1</v>
      </c>
    </row>
    <row r="6" spans="1:8">
      <c r="B6" s="34" t="s">
        <v>162</v>
      </c>
      <c r="C6" s="34" t="s">
        <v>159</v>
      </c>
      <c r="H6" s="10">
        <v>1.1000000000000001</v>
      </c>
    </row>
    <row r="7" spans="1:8">
      <c r="C7" s="34" t="s">
        <v>160</v>
      </c>
      <c r="H7" s="10">
        <v>3.2</v>
      </c>
    </row>
    <row r="8" spans="1:8">
      <c r="C8" s="45" t="s">
        <v>161</v>
      </c>
      <c r="D8" s="45"/>
      <c r="E8" s="45"/>
      <c r="F8" s="45"/>
      <c r="G8" s="45"/>
      <c r="H8" s="46">
        <v>1.6</v>
      </c>
    </row>
    <row r="9" spans="1:8">
      <c r="H9" s="10">
        <f>SUM(H5:H8)</f>
        <v>17</v>
      </c>
    </row>
    <row r="10" spans="1:8">
      <c r="H10" s="10"/>
    </row>
    <row r="11" spans="1:8">
      <c r="C11" s="34" t="s">
        <v>167</v>
      </c>
      <c r="H11" s="10"/>
    </row>
    <row r="12" spans="1:8">
      <c r="C12" s="34" t="s">
        <v>168</v>
      </c>
      <c r="H12" s="10"/>
    </row>
    <row r="13" spans="1:8">
      <c r="C13" s="34" t="s">
        <v>169</v>
      </c>
      <c r="H13" s="10"/>
    </row>
    <row r="14" spans="1:8">
      <c r="C14" s="34" t="s">
        <v>170</v>
      </c>
      <c r="H14" s="10"/>
    </row>
    <row r="15" spans="1:8">
      <c r="C15" s="34" t="s">
        <v>171</v>
      </c>
      <c r="H15" s="10"/>
    </row>
    <row r="17" spans="2:16">
      <c r="B17" s="34" t="s">
        <v>294</v>
      </c>
    </row>
    <row r="18" spans="2:16">
      <c r="B18" s="34" t="s">
        <v>156</v>
      </c>
      <c r="C18" s="47">
        <v>435</v>
      </c>
    </row>
    <row r="19" spans="2:16">
      <c r="B19" s="34" t="s">
        <v>163</v>
      </c>
      <c r="C19" s="48">
        <v>0.5</v>
      </c>
    </row>
    <row r="20" spans="2:16">
      <c r="B20" s="34" t="s">
        <v>164</v>
      </c>
      <c r="C20" s="48">
        <v>0.03</v>
      </c>
    </row>
    <row r="21" spans="2:16">
      <c r="B21" s="34" t="s">
        <v>165</v>
      </c>
      <c r="C21" s="47">
        <f>(C18*C19)*(1+C20)^(2014-2006)</f>
        <v>275.52249270180647</v>
      </c>
    </row>
    <row r="23" spans="2:16">
      <c r="B23" s="34" t="s">
        <v>295</v>
      </c>
    </row>
    <row r="24" spans="2:16">
      <c r="C24" s="45">
        <v>2007</v>
      </c>
      <c r="D24" s="45">
        <f>C24+1</f>
        <v>2008</v>
      </c>
      <c r="E24" s="45">
        <f t="shared" ref="E24:K24" si="0">D24+1</f>
        <v>2009</v>
      </c>
      <c r="F24" s="45">
        <f t="shared" si="0"/>
        <v>2010</v>
      </c>
      <c r="G24" s="45">
        <f t="shared" si="0"/>
        <v>2011</v>
      </c>
      <c r="H24" s="45">
        <f t="shared" si="0"/>
        <v>2012</v>
      </c>
      <c r="I24" s="45">
        <f t="shared" si="0"/>
        <v>2013</v>
      </c>
      <c r="J24" s="45">
        <f t="shared" si="0"/>
        <v>2014</v>
      </c>
      <c r="K24" s="45">
        <f t="shared" si="0"/>
        <v>2015</v>
      </c>
    </row>
    <row r="25" spans="2:16">
      <c r="B25" s="34" t="s">
        <v>296</v>
      </c>
      <c r="F25" s="47">
        <f>(14.903245/5)</f>
        <v>2.9806490000000001</v>
      </c>
      <c r="G25" s="47">
        <f t="shared" ref="G25:J25" si="1">(14.903245/5)</f>
        <v>2.9806490000000001</v>
      </c>
      <c r="H25" s="47">
        <f t="shared" si="1"/>
        <v>2.9806490000000001</v>
      </c>
      <c r="I25" s="47">
        <f t="shared" si="1"/>
        <v>2.9806490000000001</v>
      </c>
      <c r="J25" s="47">
        <f t="shared" si="1"/>
        <v>2.9806490000000001</v>
      </c>
      <c r="P25" s="48"/>
    </row>
    <row r="26" spans="2:16">
      <c r="B26" s="34" t="s">
        <v>8</v>
      </c>
      <c r="F26" s="47">
        <v>100</v>
      </c>
      <c r="G26" s="47">
        <f>F26*1.03</f>
        <v>103</v>
      </c>
      <c r="H26" s="47">
        <f t="shared" ref="H26:J26" si="2">G26*1.03</f>
        <v>106.09</v>
      </c>
      <c r="I26" s="47">
        <f t="shared" si="2"/>
        <v>109.2727</v>
      </c>
      <c r="J26" s="47">
        <f t="shared" si="2"/>
        <v>112.550881</v>
      </c>
      <c r="O26" s="48"/>
      <c r="P26" s="48"/>
    </row>
    <row r="27" spans="2:16">
      <c r="B27" s="49" t="s">
        <v>287</v>
      </c>
      <c r="C27" s="49"/>
      <c r="D27" s="49"/>
      <c r="E27" s="49"/>
      <c r="F27" s="50">
        <f>F25*F26</f>
        <v>298.06490000000002</v>
      </c>
      <c r="G27" s="50">
        <f t="shared" ref="G27:J27" si="3">G25*G26</f>
        <v>307.00684699999999</v>
      </c>
      <c r="H27" s="50">
        <f t="shared" si="3"/>
        <v>316.21705241000001</v>
      </c>
      <c r="I27" s="50">
        <f t="shared" si="3"/>
        <v>325.70356398230001</v>
      </c>
      <c r="J27" s="50">
        <f t="shared" si="3"/>
        <v>335.474670901769</v>
      </c>
      <c r="M27" s="34" t="s">
        <v>291</v>
      </c>
      <c r="O27" s="48">
        <v>0.84</v>
      </c>
      <c r="P27" s="48"/>
    </row>
    <row r="28" spans="2:16">
      <c r="B28" s="27" t="s">
        <v>133</v>
      </c>
      <c r="F28" s="47">
        <f>F27*$O$28</f>
        <v>44.709735000000002</v>
      </c>
      <c r="G28" s="47">
        <f t="shared" ref="G28:J28" si="4">G27*$O$28</f>
        <v>46.051027049999995</v>
      </c>
      <c r="H28" s="47">
        <f t="shared" si="4"/>
        <v>47.432557861500001</v>
      </c>
      <c r="I28" s="47">
        <f t="shared" si="4"/>
        <v>48.855534597344999</v>
      </c>
      <c r="J28" s="47">
        <f t="shared" si="4"/>
        <v>50.321200635265349</v>
      </c>
      <c r="M28" s="27" t="s">
        <v>133</v>
      </c>
      <c r="O28" s="48">
        <v>0.15</v>
      </c>
    </row>
    <row r="29" spans="2:16">
      <c r="B29" s="27" t="s">
        <v>116</v>
      </c>
      <c r="F29" s="47">
        <f>F27-F28</f>
        <v>253.35516500000003</v>
      </c>
      <c r="G29" s="47">
        <f t="shared" ref="G29:J29" si="5">G27-G28</f>
        <v>260.95581994999998</v>
      </c>
      <c r="H29" s="47">
        <f t="shared" si="5"/>
        <v>268.78449454849999</v>
      </c>
      <c r="I29" s="47">
        <f t="shared" si="5"/>
        <v>276.848029384955</v>
      </c>
      <c r="J29" s="47">
        <f t="shared" si="5"/>
        <v>285.15347026650363</v>
      </c>
      <c r="M29" s="34" t="s">
        <v>289</v>
      </c>
      <c r="O29" s="48">
        <v>0.2</v>
      </c>
    </row>
    <row r="30" spans="2:16">
      <c r="B30" s="27" t="s">
        <v>289</v>
      </c>
      <c r="F30" s="47">
        <f>F27*$O$29</f>
        <v>59.612980000000007</v>
      </c>
      <c r="G30" s="47">
        <f t="shared" ref="G30:J30" si="6">G27*$O$29</f>
        <v>61.4013694</v>
      </c>
      <c r="H30" s="47">
        <f t="shared" si="6"/>
        <v>63.243410482000002</v>
      </c>
      <c r="I30" s="47">
        <f t="shared" si="6"/>
        <v>65.140712796460008</v>
      </c>
      <c r="J30" s="47">
        <f t="shared" si="6"/>
        <v>67.094934180353803</v>
      </c>
      <c r="M30" s="34" t="s">
        <v>290</v>
      </c>
      <c r="O30" s="48">
        <v>0.35</v>
      </c>
    </row>
    <row r="31" spans="2:16">
      <c r="B31" s="13" t="s">
        <v>38</v>
      </c>
      <c r="F31" s="47">
        <f>F29-F30</f>
        <v>193.74218500000001</v>
      </c>
      <c r="G31" s="47">
        <f t="shared" ref="G31:J31" si="7">G29-G30</f>
        <v>199.55445054999998</v>
      </c>
      <c r="H31" s="47">
        <f t="shared" si="7"/>
        <v>205.54108406649999</v>
      </c>
      <c r="I31" s="47">
        <f t="shared" si="7"/>
        <v>211.70731658849499</v>
      </c>
      <c r="J31" s="47">
        <f t="shared" si="7"/>
        <v>218.05853608614984</v>
      </c>
      <c r="M31" s="34" t="s">
        <v>150</v>
      </c>
      <c r="O31" s="48">
        <v>0.2331</v>
      </c>
    </row>
    <row r="32" spans="2:16">
      <c r="B32" s="13" t="s">
        <v>39</v>
      </c>
      <c r="F32" s="47">
        <f>F31*$O$30</f>
        <v>67.809764749999999</v>
      </c>
      <c r="G32" s="47">
        <f t="shared" ref="G32:J32" si="8">G31*$O$30</f>
        <v>69.844057692499987</v>
      </c>
      <c r="H32" s="47">
        <f t="shared" si="8"/>
        <v>71.939379423274985</v>
      </c>
      <c r="I32" s="47">
        <f t="shared" si="8"/>
        <v>74.097560805973245</v>
      </c>
      <c r="J32" s="47">
        <f t="shared" si="8"/>
        <v>76.320487630152442</v>
      </c>
      <c r="M32" s="34" t="s">
        <v>43</v>
      </c>
      <c r="O32" s="47">
        <f>NPV(O31,C33:K33)</f>
        <v>367.92261948356696</v>
      </c>
    </row>
    <row r="33" spans="2:15">
      <c r="B33" s="51" t="s">
        <v>40</v>
      </c>
      <c r="C33" s="49"/>
      <c r="D33" s="49"/>
      <c r="E33" s="49"/>
      <c r="F33" s="50">
        <f>F31-F32</f>
        <v>125.93242025000001</v>
      </c>
      <c r="G33" s="50">
        <f t="shared" ref="G33:J33" si="9">G31-G32</f>
        <v>129.71039285749998</v>
      </c>
      <c r="H33" s="50">
        <f t="shared" si="9"/>
        <v>133.60170464322499</v>
      </c>
      <c r="I33" s="50">
        <f t="shared" si="9"/>
        <v>137.60975578252175</v>
      </c>
      <c r="J33" s="50">
        <f t="shared" si="9"/>
        <v>141.73804845599739</v>
      </c>
      <c r="K33" s="49"/>
      <c r="M33" s="27" t="s">
        <v>482</v>
      </c>
      <c r="O33" s="47">
        <f>O32*O27</f>
        <v>309.05500036619623</v>
      </c>
    </row>
    <row r="34" spans="2:15">
      <c r="B34" s="51"/>
      <c r="C34" s="49"/>
      <c r="D34" s="49"/>
      <c r="E34" s="49"/>
      <c r="F34" s="50"/>
      <c r="G34" s="50"/>
      <c r="H34" s="50"/>
      <c r="I34" s="50"/>
      <c r="J34" s="50"/>
      <c r="M34" s="34" t="s">
        <v>292</v>
      </c>
      <c r="O34" s="48">
        <v>0.03</v>
      </c>
    </row>
    <row r="35" spans="2:15">
      <c r="M35" s="34" t="s">
        <v>293</v>
      </c>
      <c r="O35" s="47">
        <f>O33*(1+O34)^(2014-2006)</f>
        <v>391.50162796713607</v>
      </c>
    </row>
  </sheetData>
  <hyperlinks>
    <hyperlink ref="A1" location="Main!A1" display="Main" xr:uid="{00000000-0004-0000-0200-000000000000}"/>
  </hyperlinks>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56"/>
  <sheetViews>
    <sheetView workbookViewId="0"/>
  </sheetViews>
  <sheetFormatPr defaultRowHeight="12.75"/>
  <cols>
    <col min="1" max="1" width="5" style="1" bestFit="1" customWidth="1"/>
    <col min="2" max="2" width="12.85546875" style="1" bestFit="1" customWidth="1"/>
    <col min="3" max="16384" width="9.140625" style="1"/>
  </cols>
  <sheetData>
    <row r="1" spans="1:3">
      <c r="A1" s="4" t="s">
        <v>14</v>
      </c>
    </row>
    <row r="2" spans="1:3">
      <c r="B2" s="1" t="s">
        <v>15</v>
      </c>
      <c r="C2" s="5" t="s">
        <v>616</v>
      </c>
    </row>
    <row r="3" spans="1:3">
      <c r="B3" s="1" t="s">
        <v>78</v>
      </c>
      <c r="C3" s="5" t="s">
        <v>619</v>
      </c>
    </row>
    <row r="4" spans="1:3">
      <c r="B4" s="5" t="s">
        <v>620</v>
      </c>
      <c r="C4" s="5" t="s">
        <v>621</v>
      </c>
    </row>
    <row r="5" spans="1:3">
      <c r="B5" s="1" t="s">
        <v>2</v>
      </c>
      <c r="C5" s="5" t="s">
        <v>79</v>
      </c>
    </row>
    <row r="6" spans="1:3">
      <c r="B6" s="5" t="s">
        <v>82</v>
      </c>
      <c r="C6" s="5" t="s">
        <v>84</v>
      </c>
    </row>
    <row r="7" spans="1:3">
      <c r="B7" s="5"/>
      <c r="C7" s="5" t="s">
        <v>85</v>
      </c>
    </row>
    <row r="8" spans="1:3">
      <c r="B8" s="5"/>
      <c r="C8" s="5" t="s">
        <v>86</v>
      </c>
    </row>
    <row r="9" spans="1:3">
      <c r="B9" s="5"/>
      <c r="C9" s="5" t="s">
        <v>87</v>
      </c>
    </row>
    <row r="10" spans="1:3">
      <c r="B10" s="5"/>
      <c r="C10" s="5" t="s">
        <v>88</v>
      </c>
    </row>
    <row r="11" spans="1:3">
      <c r="B11" s="5"/>
      <c r="C11" s="5" t="s">
        <v>83</v>
      </c>
    </row>
    <row r="12" spans="1:3">
      <c r="B12" s="5"/>
      <c r="C12" s="5" t="s">
        <v>89</v>
      </c>
    </row>
    <row r="13" spans="1:3">
      <c r="B13" s="5"/>
      <c r="C13" s="5" t="s">
        <v>90</v>
      </c>
    </row>
    <row r="14" spans="1:3">
      <c r="B14" s="1" t="s">
        <v>16</v>
      </c>
      <c r="C14" s="5" t="s">
        <v>80</v>
      </c>
    </row>
    <row r="15" spans="1:3">
      <c r="B15" s="1" t="s">
        <v>4</v>
      </c>
      <c r="C15" s="6" t="s">
        <v>91</v>
      </c>
    </row>
    <row r="16" spans="1:3">
      <c r="B16" s="5" t="s">
        <v>5</v>
      </c>
      <c r="C16" s="6" t="s">
        <v>617</v>
      </c>
    </row>
    <row r="17" spans="2:3">
      <c r="B17" s="1" t="s">
        <v>17</v>
      </c>
      <c r="C17" s="5" t="s">
        <v>92</v>
      </c>
    </row>
    <row r="18" spans="2:3">
      <c r="B18" s="22" t="s">
        <v>93</v>
      </c>
      <c r="C18" s="5"/>
    </row>
    <row r="19" spans="2:3">
      <c r="C19" s="23" t="s">
        <v>94</v>
      </c>
    </row>
    <row r="20" spans="2:3">
      <c r="C20" s="5" t="s">
        <v>95</v>
      </c>
    </row>
    <row r="21" spans="2:3">
      <c r="C21" s="5" t="s">
        <v>96</v>
      </c>
    </row>
    <row r="22" spans="2:3">
      <c r="C22" s="5"/>
    </row>
    <row r="23" spans="2:3">
      <c r="C23" s="23" t="s">
        <v>101</v>
      </c>
    </row>
    <row r="24" spans="2:3">
      <c r="C24" s="5" t="s">
        <v>97</v>
      </c>
    </row>
    <row r="25" spans="2:3">
      <c r="C25" s="24" t="s">
        <v>98</v>
      </c>
    </row>
    <row r="26" spans="2:3" s="22" customFormat="1">
      <c r="C26" s="24" t="s">
        <v>99</v>
      </c>
    </row>
    <row r="27" spans="2:3" s="22" customFormat="1">
      <c r="C27" s="24"/>
    </row>
    <row r="28" spans="2:3" s="22" customFormat="1">
      <c r="C28" s="23" t="s">
        <v>100</v>
      </c>
    </row>
    <row r="29" spans="2:3">
      <c r="C29" s="5" t="s">
        <v>102</v>
      </c>
    </row>
    <row r="30" spans="2:3" s="22" customFormat="1">
      <c r="C30" s="24" t="s">
        <v>103</v>
      </c>
    </row>
    <row r="31" spans="2:3">
      <c r="C31" s="5"/>
    </row>
    <row r="32" spans="2:3">
      <c r="B32" s="1" t="s">
        <v>21</v>
      </c>
      <c r="C32" s="6" t="s">
        <v>22</v>
      </c>
    </row>
    <row r="33" spans="2:3">
      <c r="B33" s="1" t="s">
        <v>18</v>
      </c>
      <c r="C33" s="1" t="s">
        <v>19</v>
      </c>
    </row>
    <row r="34" spans="2:3">
      <c r="C34" s="5" t="s">
        <v>105</v>
      </c>
    </row>
    <row r="35" spans="2:3">
      <c r="C35" s="5" t="s">
        <v>106</v>
      </c>
    </row>
    <row r="36" spans="2:3">
      <c r="C36" s="5" t="s">
        <v>104</v>
      </c>
    </row>
    <row r="40" spans="2:3">
      <c r="C40" s="5"/>
    </row>
    <row r="42" spans="2:3">
      <c r="C42" s="4"/>
    </row>
    <row r="43" spans="2:3">
      <c r="C43" s="5"/>
    </row>
    <row r="44" spans="2:3">
      <c r="C44" s="5"/>
    </row>
    <row r="45" spans="2:3">
      <c r="C45" s="5"/>
    </row>
    <row r="46" spans="2:3">
      <c r="C46" s="5"/>
    </row>
    <row r="47" spans="2:3">
      <c r="C47" s="5"/>
    </row>
    <row r="56" spans="3:3">
      <c r="C56" s="4"/>
    </row>
  </sheetData>
  <phoneticPr fontId="1" type="noConversion"/>
  <hyperlinks>
    <hyperlink ref="A1" location="Main!A1" display="Main" xr:uid="{00000000-0004-0000-0300-000000000000}"/>
    <hyperlink ref="C19" r:id="rId1" xr:uid="{00000000-0004-0000-0300-000001000000}"/>
    <hyperlink ref="C23" r:id="rId2" display="Phase 1, n=30" xr:uid="{00000000-0004-0000-0300-000002000000}"/>
    <hyperlink ref="C28" r:id="rId3" xr:uid="{00000000-0004-0000-0300-000003000000}"/>
  </hyperlinks>
  <pageMargins left="0.75" right="0.75" top="1" bottom="1" header="0.5" footer="0.5"/>
  <headerFooter alignWithMargins="0"/>
  <drawing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95"/>
  <sheetViews>
    <sheetView workbookViewId="0">
      <selection activeCell="C25" sqref="C25"/>
    </sheetView>
  </sheetViews>
  <sheetFormatPr defaultRowHeight="12.75"/>
  <cols>
    <col min="1" max="1" width="5" style="36" bestFit="1" customWidth="1"/>
    <col min="2" max="2" width="14.42578125" style="36" customWidth="1"/>
    <col min="3" max="16384" width="9.140625" style="36"/>
  </cols>
  <sheetData>
    <row r="1" spans="1:3">
      <c r="A1" s="23" t="s">
        <v>14</v>
      </c>
    </row>
    <row r="2" spans="1:3">
      <c r="A2" s="23"/>
      <c r="B2" s="43" t="s">
        <v>224</v>
      </c>
    </row>
    <row r="3" spans="1:3">
      <c r="A3" s="23"/>
      <c r="B3" s="23" t="s">
        <v>210</v>
      </c>
      <c r="C3" s="32" t="s">
        <v>217</v>
      </c>
    </row>
    <row r="4" spans="1:3">
      <c r="A4" s="23"/>
      <c r="C4" s="32" t="s">
        <v>273</v>
      </c>
    </row>
    <row r="5" spans="1:3">
      <c r="A5" s="23"/>
      <c r="C5" s="32" t="s">
        <v>212</v>
      </c>
    </row>
    <row r="6" spans="1:3">
      <c r="A6" s="23"/>
      <c r="C6" s="32" t="s">
        <v>213</v>
      </c>
    </row>
    <row r="7" spans="1:3">
      <c r="A7" s="23"/>
      <c r="C7" s="32" t="s">
        <v>214</v>
      </c>
    </row>
    <row r="8" spans="1:3">
      <c r="A8" s="23"/>
      <c r="C8" s="32" t="s">
        <v>274</v>
      </c>
    </row>
    <row r="9" spans="1:3">
      <c r="A9" s="23"/>
      <c r="C9" s="32" t="s">
        <v>215</v>
      </c>
    </row>
    <row r="10" spans="1:3">
      <c r="A10" s="23"/>
      <c r="C10" s="32" t="s">
        <v>216</v>
      </c>
    </row>
    <row r="11" spans="1:3">
      <c r="B11" s="23" t="s">
        <v>179</v>
      </c>
      <c r="C11" s="32" t="s">
        <v>180</v>
      </c>
    </row>
    <row r="12" spans="1:3">
      <c r="C12" s="32" t="s">
        <v>218</v>
      </c>
    </row>
    <row r="13" spans="1:3">
      <c r="B13" s="23" t="s">
        <v>219</v>
      </c>
      <c r="C13" s="32" t="s">
        <v>220</v>
      </c>
    </row>
    <row r="14" spans="1:3">
      <c r="B14" s="23" t="s">
        <v>221</v>
      </c>
      <c r="C14" s="32" t="s">
        <v>222</v>
      </c>
    </row>
    <row r="15" spans="1:3">
      <c r="B15" s="32"/>
      <c r="C15" s="32" t="s">
        <v>223</v>
      </c>
    </row>
    <row r="16" spans="1:3">
      <c r="B16" s="23" t="s">
        <v>231</v>
      </c>
      <c r="C16" s="32" t="s">
        <v>275</v>
      </c>
    </row>
    <row r="17" spans="2:3">
      <c r="B17" s="32"/>
      <c r="C17" s="32" t="s">
        <v>232</v>
      </c>
    </row>
    <row r="18" spans="2:3">
      <c r="B18" s="32"/>
      <c r="C18" s="32" t="s">
        <v>233</v>
      </c>
    </row>
    <row r="19" spans="2:3">
      <c r="B19" s="32"/>
      <c r="C19" s="32" t="s">
        <v>276</v>
      </c>
    </row>
    <row r="20" spans="2:3">
      <c r="B20" s="32"/>
      <c r="C20" s="32" t="s">
        <v>234</v>
      </c>
    </row>
    <row r="21" spans="2:3">
      <c r="B21" s="32"/>
      <c r="C21" s="32" t="s">
        <v>258</v>
      </c>
    </row>
    <row r="22" spans="2:3">
      <c r="B22" s="32"/>
      <c r="C22" s="32" t="s">
        <v>277</v>
      </c>
    </row>
    <row r="23" spans="2:3">
      <c r="B23" s="32"/>
      <c r="C23" s="32" t="s">
        <v>235</v>
      </c>
    </row>
    <row r="24" spans="2:3">
      <c r="C24" s="32" t="s">
        <v>256</v>
      </c>
    </row>
    <row r="25" spans="2:3">
      <c r="B25" s="23" t="s">
        <v>259</v>
      </c>
      <c r="C25" s="32" t="s">
        <v>261</v>
      </c>
    </row>
    <row r="26" spans="2:3">
      <c r="B26" s="23" t="s">
        <v>263</v>
      </c>
      <c r="C26" s="32" t="s">
        <v>264</v>
      </c>
    </row>
    <row r="27" spans="2:3">
      <c r="B27" s="23" t="s">
        <v>265</v>
      </c>
      <c r="C27" s="32" t="s">
        <v>267</v>
      </c>
    </row>
    <row r="28" spans="2:3">
      <c r="B28" s="44" t="s">
        <v>266</v>
      </c>
      <c r="C28" s="32" t="s">
        <v>271</v>
      </c>
    </row>
    <row r="29" spans="2:3">
      <c r="B29" s="42"/>
      <c r="C29" s="32" t="s">
        <v>270</v>
      </c>
    </row>
    <row r="30" spans="2:3">
      <c r="B30" s="42"/>
      <c r="C30" s="32" t="s">
        <v>272</v>
      </c>
    </row>
    <row r="31" spans="2:3">
      <c r="C31" s="32" t="s">
        <v>278</v>
      </c>
    </row>
    <row r="32" spans="2:3">
      <c r="C32" s="32" t="s">
        <v>268</v>
      </c>
    </row>
    <row r="33" spans="2:3">
      <c r="C33" s="32" t="s">
        <v>288</v>
      </c>
    </row>
    <row r="34" spans="2:3">
      <c r="C34" s="32" t="s">
        <v>269</v>
      </c>
    </row>
    <row r="35" spans="2:3">
      <c r="C35" s="32"/>
    </row>
    <row r="36" spans="2:3">
      <c r="B36" s="43" t="s">
        <v>81</v>
      </c>
      <c r="C36" s="32"/>
    </row>
    <row r="37" spans="2:3">
      <c r="B37" s="36" t="s">
        <v>181</v>
      </c>
      <c r="C37" s="32" t="s">
        <v>182</v>
      </c>
    </row>
    <row r="38" spans="2:3">
      <c r="C38" s="32" t="s">
        <v>279</v>
      </c>
    </row>
    <row r="39" spans="2:3">
      <c r="C39" s="32" t="s">
        <v>239</v>
      </c>
    </row>
    <row r="40" spans="2:3">
      <c r="C40" s="32" t="s">
        <v>236</v>
      </c>
    </row>
    <row r="41" spans="2:3">
      <c r="C41" s="32" t="s">
        <v>237</v>
      </c>
    </row>
    <row r="42" spans="2:3">
      <c r="C42" s="32" t="s">
        <v>238</v>
      </c>
    </row>
    <row r="43" spans="2:3">
      <c r="C43" s="32" t="s">
        <v>255</v>
      </c>
    </row>
    <row r="44" spans="2:3">
      <c r="B44" s="42" t="s">
        <v>183</v>
      </c>
      <c r="C44" s="32" t="s">
        <v>280</v>
      </c>
    </row>
    <row r="45" spans="2:3">
      <c r="C45" s="32" t="s">
        <v>186</v>
      </c>
    </row>
    <row r="46" spans="2:3">
      <c r="C46" s="32" t="s">
        <v>184</v>
      </c>
    </row>
    <row r="47" spans="2:3">
      <c r="C47" s="32" t="s">
        <v>185</v>
      </c>
    </row>
    <row r="48" spans="2:3">
      <c r="B48" s="36" t="s">
        <v>187</v>
      </c>
      <c r="C48" s="32" t="s">
        <v>188</v>
      </c>
    </row>
    <row r="49" spans="2:3">
      <c r="C49" s="32" t="s">
        <v>281</v>
      </c>
    </row>
    <row r="50" spans="2:3">
      <c r="C50" s="32" t="s">
        <v>191</v>
      </c>
    </row>
    <row r="51" spans="2:3">
      <c r="B51" s="36" t="s">
        <v>189</v>
      </c>
      <c r="C51" s="32" t="s">
        <v>190</v>
      </c>
    </row>
    <row r="52" spans="2:3">
      <c r="C52" s="32" t="s">
        <v>281</v>
      </c>
    </row>
    <row r="53" spans="2:3">
      <c r="C53" s="32" t="s">
        <v>192</v>
      </c>
    </row>
    <row r="54" spans="2:3">
      <c r="B54" s="42" t="s">
        <v>193</v>
      </c>
      <c r="C54" s="32" t="s">
        <v>282</v>
      </c>
    </row>
    <row r="55" spans="2:3">
      <c r="C55" s="32" t="s">
        <v>283</v>
      </c>
    </row>
    <row r="56" spans="2:3">
      <c r="B56" s="36" t="s">
        <v>194</v>
      </c>
      <c r="C56" s="32" t="s">
        <v>195</v>
      </c>
    </row>
    <row r="57" spans="2:3">
      <c r="B57" s="36" t="s">
        <v>196</v>
      </c>
      <c r="C57" s="32" t="s">
        <v>197</v>
      </c>
    </row>
    <row r="58" spans="2:3">
      <c r="B58" s="36" t="s">
        <v>198</v>
      </c>
      <c r="C58" s="32" t="s">
        <v>199</v>
      </c>
    </row>
    <row r="59" spans="2:3">
      <c r="B59" s="36" t="s">
        <v>200</v>
      </c>
      <c r="C59" s="32" t="s">
        <v>201</v>
      </c>
    </row>
    <row r="60" spans="2:3">
      <c r="B60" s="36" t="s">
        <v>202</v>
      </c>
      <c r="C60" s="32" t="s">
        <v>203</v>
      </c>
    </row>
    <row r="61" spans="2:3">
      <c r="B61" s="36" t="s">
        <v>204</v>
      </c>
      <c r="C61" s="32" t="s">
        <v>284</v>
      </c>
    </row>
    <row r="62" spans="2:3">
      <c r="C62" s="32" t="s">
        <v>240</v>
      </c>
    </row>
    <row r="63" spans="2:3">
      <c r="B63" s="36" t="s">
        <v>205</v>
      </c>
      <c r="C63" s="32" t="s">
        <v>285</v>
      </c>
    </row>
    <row r="64" spans="2:3">
      <c r="C64" s="32" t="s">
        <v>206</v>
      </c>
    </row>
    <row r="65" spans="2:3">
      <c r="C65" s="32" t="s">
        <v>207</v>
      </c>
    </row>
    <row r="66" spans="2:3">
      <c r="C66" s="32" t="s">
        <v>286</v>
      </c>
    </row>
    <row r="67" spans="2:3">
      <c r="C67" s="32" t="s">
        <v>254</v>
      </c>
    </row>
    <row r="68" spans="2:3">
      <c r="C68" s="32" t="s">
        <v>241</v>
      </c>
    </row>
    <row r="69" spans="2:3">
      <c r="B69" s="36" t="s">
        <v>208</v>
      </c>
      <c r="C69" s="32" t="s">
        <v>209</v>
      </c>
    </row>
    <row r="70" spans="2:3">
      <c r="B70" s="36" t="s">
        <v>210</v>
      </c>
      <c r="C70" s="32" t="s">
        <v>211</v>
      </c>
    </row>
    <row r="71" spans="2:3">
      <c r="B71" s="36" t="s">
        <v>242</v>
      </c>
      <c r="C71" s="32" t="s">
        <v>243</v>
      </c>
    </row>
    <row r="72" spans="2:3">
      <c r="B72" s="36" t="s">
        <v>179</v>
      </c>
      <c r="C72" s="32" t="s">
        <v>180</v>
      </c>
    </row>
    <row r="73" spans="2:3">
      <c r="B73" s="36" t="s">
        <v>244</v>
      </c>
      <c r="C73" s="32" t="s">
        <v>225</v>
      </c>
    </row>
    <row r="74" spans="2:3">
      <c r="B74" s="36" t="s">
        <v>245</v>
      </c>
      <c r="C74" s="32" t="s">
        <v>226</v>
      </c>
    </row>
    <row r="75" spans="2:3">
      <c r="C75" s="32" t="s">
        <v>250</v>
      </c>
    </row>
    <row r="76" spans="2:3">
      <c r="C76" s="32" t="s">
        <v>251</v>
      </c>
    </row>
    <row r="77" spans="2:3">
      <c r="C77" s="32" t="s">
        <v>252</v>
      </c>
    </row>
    <row r="78" spans="2:3">
      <c r="C78" s="32" t="s">
        <v>253</v>
      </c>
    </row>
    <row r="79" spans="2:3">
      <c r="B79" s="36" t="s">
        <v>219</v>
      </c>
      <c r="C79" s="32" t="s">
        <v>229</v>
      </c>
    </row>
    <row r="80" spans="2:3">
      <c r="B80" s="42" t="s">
        <v>227</v>
      </c>
      <c r="C80" s="32" t="s">
        <v>228</v>
      </c>
    </row>
    <row r="81" spans="2:3">
      <c r="B81" s="36" t="s">
        <v>221</v>
      </c>
      <c r="C81" s="32" t="s">
        <v>230</v>
      </c>
    </row>
    <row r="82" spans="2:3">
      <c r="B82" s="36" t="s">
        <v>246</v>
      </c>
      <c r="C82" s="32" t="s">
        <v>247</v>
      </c>
    </row>
    <row r="83" spans="2:3">
      <c r="B83" s="36" t="s">
        <v>248</v>
      </c>
      <c r="C83" s="32" t="s">
        <v>249</v>
      </c>
    </row>
    <row r="84" spans="2:3">
      <c r="B84" s="42" t="s">
        <v>231</v>
      </c>
      <c r="C84" s="32" t="s">
        <v>257</v>
      </c>
    </row>
    <row r="85" spans="2:3">
      <c r="C85" s="32" t="s">
        <v>258</v>
      </c>
    </row>
    <row r="86" spans="2:3">
      <c r="B86" s="36" t="s">
        <v>260</v>
      </c>
      <c r="C86" s="32" t="s">
        <v>262</v>
      </c>
    </row>
    <row r="87" spans="2:3">
      <c r="B87" s="36" t="s">
        <v>259</v>
      </c>
      <c r="C87" s="32" t="s">
        <v>261</v>
      </c>
    </row>
    <row r="88" spans="2:3">
      <c r="B88" s="36" t="s">
        <v>263</v>
      </c>
      <c r="C88" s="32" t="s">
        <v>264</v>
      </c>
    </row>
    <row r="89" spans="2:3">
      <c r="B89" s="36" t="s">
        <v>265</v>
      </c>
      <c r="C89" s="32" t="s">
        <v>267</v>
      </c>
    </row>
    <row r="90" spans="2:3">
      <c r="B90" s="42" t="s">
        <v>266</v>
      </c>
      <c r="C90" s="32" t="s">
        <v>271</v>
      </c>
    </row>
    <row r="91" spans="2:3">
      <c r="C91" s="32" t="s">
        <v>270</v>
      </c>
    </row>
    <row r="92" spans="2:3">
      <c r="C92" s="32" t="s">
        <v>272</v>
      </c>
    </row>
    <row r="93" spans="2:3">
      <c r="C93" s="32"/>
    </row>
    <row r="94" spans="2:3">
      <c r="C94" s="32"/>
    </row>
    <row r="95" spans="2:3">
      <c r="C95" s="32"/>
    </row>
  </sheetData>
  <hyperlinks>
    <hyperlink ref="A1" location="Main!A1" display="Main" xr:uid="{00000000-0004-0000-0400-000000000000}"/>
    <hyperlink ref="B11" r:id="rId1" xr:uid="{00000000-0004-0000-0400-000001000000}"/>
    <hyperlink ref="B13" r:id="rId2" xr:uid="{00000000-0004-0000-0400-000002000000}"/>
    <hyperlink ref="B3" r:id="rId3" xr:uid="{00000000-0004-0000-0400-000003000000}"/>
    <hyperlink ref="B14" r:id="rId4" xr:uid="{00000000-0004-0000-0400-000004000000}"/>
    <hyperlink ref="B16" r:id="rId5" xr:uid="{00000000-0004-0000-0400-000005000000}"/>
    <hyperlink ref="B25" r:id="rId6" xr:uid="{00000000-0004-0000-0400-000006000000}"/>
    <hyperlink ref="B26" r:id="rId7" xr:uid="{00000000-0004-0000-0400-000007000000}"/>
    <hyperlink ref="B27" r:id="rId8" xr:uid="{00000000-0004-0000-0400-000008000000}"/>
    <hyperlink ref="B28" r:id="rId9" xr:uid="{00000000-0004-0000-0400-000009000000}"/>
  </hyperlinks>
  <pageMargins left="0.75" right="0.75" top="1" bottom="1" header="0.5" footer="0.5"/>
  <pageSetup orientation="portrait" horizontalDpi="1200" verticalDpi="1200" r:id="rId10"/>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W636"/>
  <sheetViews>
    <sheetView zoomScaleNormal="100" workbookViewId="0"/>
  </sheetViews>
  <sheetFormatPr defaultRowHeight="12.75"/>
  <cols>
    <col min="1" max="1" width="5" style="36" bestFit="1" customWidth="1"/>
    <col min="2" max="2" width="14.42578125" style="52" customWidth="1"/>
    <col min="3" max="16384" width="9.140625" style="36"/>
  </cols>
  <sheetData>
    <row r="1" spans="1:12">
      <c r="A1" s="23" t="s">
        <v>14</v>
      </c>
    </row>
    <row r="2" spans="1:12">
      <c r="A2" s="23"/>
      <c r="B2" s="53" t="s">
        <v>297</v>
      </c>
    </row>
    <row r="3" spans="1:12">
      <c r="A3" s="23"/>
      <c r="B3" s="54">
        <v>8791110</v>
      </c>
      <c r="C3" s="43" t="s">
        <v>421</v>
      </c>
    </row>
    <row r="4" spans="1:12">
      <c r="A4" s="23"/>
      <c r="C4" s="32" t="s">
        <v>420</v>
      </c>
    </row>
    <row r="5" spans="1:12">
      <c r="A5" s="23"/>
      <c r="C5" s="32"/>
    </row>
    <row r="6" spans="1:12">
      <c r="A6" s="23"/>
      <c r="C6" s="32"/>
      <c r="F6" s="58" t="s">
        <v>298</v>
      </c>
      <c r="G6" s="58"/>
      <c r="H6" s="58"/>
      <c r="I6" s="58"/>
      <c r="J6" s="58" t="s">
        <v>569</v>
      </c>
      <c r="K6" s="58"/>
      <c r="L6" s="58"/>
    </row>
    <row r="7" spans="1:12">
      <c r="A7" s="23"/>
      <c r="C7" s="32" t="s">
        <v>305</v>
      </c>
      <c r="F7" s="2" t="s">
        <v>299</v>
      </c>
      <c r="G7" s="2" t="s">
        <v>300</v>
      </c>
      <c r="H7" s="2" t="s">
        <v>301</v>
      </c>
      <c r="I7" s="2" t="s">
        <v>302</v>
      </c>
    </row>
    <row r="8" spans="1:12">
      <c r="A8" s="23"/>
      <c r="C8" s="32"/>
      <c r="F8" s="2"/>
      <c r="G8" s="2"/>
      <c r="H8" s="2"/>
      <c r="I8" s="2"/>
    </row>
    <row r="9" spans="1:12">
      <c r="B9" s="55"/>
      <c r="C9" s="32" t="s">
        <v>414</v>
      </c>
      <c r="F9" s="2">
        <v>0.109</v>
      </c>
      <c r="G9" s="2">
        <v>0.28000000000000003</v>
      </c>
      <c r="H9" s="2">
        <v>0.98</v>
      </c>
      <c r="I9" s="2" t="s">
        <v>303</v>
      </c>
    </row>
    <row r="10" spans="1:12">
      <c r="B10" s="55"/>
      <c r="C10" s="32" t="s">
        <v>417</v>
      </c>
      <c r="F10" s="2"/>
      <c r="G10" s="2"/>
      <c r="H10" s="2"/>
      <c r="I10" s="2"/>
    </row>
    <row r="11" spans="1:12">
      <c r="B11" s="55"/>
      <c r="C11" s="32"/>
      <c r="F11" s="2"/>
      <c r="G11" s="2"/>
      <c r="H11" s="2"/>
      <c r="I11" s="2"/>
    </row>
    <row r="12" spans="1:12">
      <c r="B12" s="55"/>
      <c r="C12" s="32"/>
      <c r="F12" s="2"/>
      <c r="G12" s="2"/>
      <c r="H12" s="2"/>
      <c r="I12" s="2"/>
    </row>
    <row r="13" spans="1:12">
      <c r="B13" s="55"/>
      <c r="C13" s="32"/>
      <c r="F13" s="2"/>
      <c r="G13" s="2"/>
      <c r="H13" s="2"/>
      <c r="I13" s="2"/>
    </row>
    <row r="14" spans="1:12">
      <c r="B14" s="55"/>
      <c r="C14" s="32"/>
      <c r="F14" s="2"/>
      <c r="G14" s="2"/>
      <c r="H14" s="2"/>
      <c r="I14" s="2"/>
    </row>
    <row r="15" spans="1:12">
      <c r="C15" s="32" t="s">
        <v>415</v>
      </c>
      <c r="F15" s="2">
        <v>0.17799999999999999</v>
      </c>
      <c r="G15" s="2">
        <v>0.48</v>
      </c>
      <c r="H15" s="2">
        <v>1.02</v>
      </c>
      <c r="I15" s="2" t="s">
        <v>303</v>
      </c>
    </row>
    <row r="16" spans="1:12">
      <c r="B16" s="55"/>
      <c r="C16" s="32" t="s">
        <v>416</v>
      </c>
    </row>
    <row r="17" spans="2:23">
      <c r="B17" s="55"/>
      <c r="C17" s="32"/>
    </row>
    <row r="18" spans="2:23">
      <c r="B18" s="56"/>
      <c r="C18" s="32"/>
    </row>
    <row r="19" spans="2:23">
      <c r="B19" s="55"/>
      <c r="C19" s="32"/>
    </row>
    <row r="20" spans="2:23">
      <c r="B20" s="56"/>
      <c r="C20" s="32"/>
    </row>
    <row r="21" spans="2:23">
      <c r="B21" s="54">
        <v>8754082</v>
      </c>
      <c r="C21" s="43" t="s">
        <v>445</v>
      </c>
    </row>
    <row r="22" spans="2:23">
      <c r="B22" s="56"/>
      <c r="C22" s="32" t="s">
        <v>418</v>
      </c>
    </row>
    <row r="23" spans="2:23">
      <c r="C23" s="32" t="s">
        <v>304</v>
      </c>
    </row>
    <row r="24" spans="2:23">
      <c r="C24" s="32"/>
    </row>
    <row r="25" spans="2:23">
      <c r="C25" s="32"/>
      <c r="J25" s="109" t="s">
        <v>298</v>
      </c>
      <c r="K25" s="109"/>
      <c r="L25" s="109"/>
      <c r="M25" s="109"/>
      <c r="N25" s="109"/>
    </row>
    <row r="26" spans="2:23">
      <c r="C26" s="68" t="s">
        <v>305</v>
      </c>
      <c r="D26" s="58"/>
      <c r="E26" s="58"/>
      <c r="F26" s="58"/>
      <c r="G26" s="58"/>
      <c r="H26" s="58" t="s">
        <v>577</v>
      </c>
      <c r="I26" s="58"/>
      <c r="J26" s="69" t="s">
        <v>300</v>
      </c>
      <c r="K26" s="41" t="s">
        <v>306</v>
      </c>
      <c r="L26" s="41" t="s">
        <v>307</v>
      </c>
      <c r="M26" s="41" t="s">
        <v>308</v>
      </c>
      <c r="N26" s="41" t="s">
        <v>309</v>
      </c>
      <c r="O26" s="58"/>
      <c r="P26" s="58" t="s">
        <v>580</v>
      </c>
      <c r="Q26" s="58"/>
      <c r="R26" s="58"/>
      <c r="S26" s="58"/>
      <c r="T26" s="58"/>
      <c r="U26" s="58"/>
      <c r="V26" s="58" t="s">
        <v>569</v>
      </c>
      <c r="W26" s="58"/>
    </row>
    <row r="27" spans="2:23">
      <c r="C27" s="32"/>
      <c r="J27" s="2"/>
      <c r="K27" s="2"/>
      <c r="L27" s="2"/>
      <c r="M27" s="2"/>
      <c r="N27" s="2"/>
    </row>
    <row r="28" spans="2:23">
      <c r="B28" s="53"/>
      <c r="C28" s="32" t="s">
        <v>575</v>
      </c>
      <c r="H28" s="36" t="s">
        <v>455</v>
      </c>
      <c r="J28" s="2" t="s">
        <v>310</v>
      </c>
      <c r="K28" s="2" t="s">
        <v>310</v>
      </c>
      <c r="L28" s="2" t="s">
        <v>310</v>
      </c>
      <c r="M28" s="2" t="s">
        <v>310</v>
      </c>
      <c r="N28" s="52" t="s">
        <v>578</v>
      </c>
      <c r="P28" s="36" t="s">
        <v>581</v>
      </c>
    </row>
    <row r="29" spans="2:23">
      <c r="B29" s="53"/>
      <c r="C29" s="32" t="s">
        <v>576</v>
      </c>
      <c r="N29" s="2" t="s">
        <v>579</v>
      </c>
      <c r="P29" s="36" t="s">
        <v>582</v>
      </c>
    </row>
    <row r="30" spans="2:23">
      <c r="B30" s="53"/>
      <c r="C30" s="32"/>
      <c r="P30" s="36" t="s">
        <v>583</v>
      </c>
    </row>
    <row r="31" spans="2:23">
      <c r="B31" s="53"/>
      <c r="C31" s="32"/>
      <c r="P31" s="36" t="s">
        <v>584</v>
      </c>
    </row>
    <row r="32" spans="2:23">
      <c r="C32" s="32"/>
      <c r="P32" s="36" t="s">
        <v>585</v>
      </c>
    </row>
    <row r="33" spans="2:8">
      <c r="C33" s="32"/>
    </row>
    <row r="34" spans="2:8">
      <c r="C34" s="32"/>
    </row>
    <row r="35" spans="2:8">
      <c r="C35" s="32"/>
    </row>
    <row r="36" spans="2:8">
      <c r="B36" s="54">
        <v>8664274</v>
      </c>
      <c r="C36" s="43" t="s">
        <v>586</v>
      </c>
    </row>
    <row r="37" spans="2:8">
      <c r="B37" s="56" t="s">
        <v>365</v>
      </c>
      <c r="C37" s="32" t="s">
        <v>419</v>
      </c>
    </row>
    <row r="38" spans="2:8">
      <c r="B38" s="56" t="s">
        <v>62</v>
      </c>
      <c r="C38" s="32" t="s">
        <v>312</v>
      </c>
    </row>
    <row r="39" spans="2:8">
      <c r="C39" s="32"/>
    </row>
    <row r="40" spans="2:8">
      <c r="C40" s="56" t="s">
        <v>313</v>
      </c>
      <c r="F40" s="36" t="s">
        <v>314</v>
      </c>
    </row>
    <row r="41" spans="2:8">
      <c r="C41" s="60" t="s">
        <v>316</v>
      </c>
      <c r="D41" s="58"/>
      <c r="E41" s="58"/>
      <c r="F41" s="58" t="s">
        <v>315</v>
      </c>
      <c r="G41" s="58"/>
      <c r="H41" s="61" t="s">
        <v>330</v>
      </c>
    </row>
    <row r="42" spans="2:8">
      <c r="C42" s="56" t="s">
        <v>331</v>
      </c>
      <c r="F42" s="36" t="s">
        <v>326</v>
      </c>
      <c r="H42" s="66">
        <v>5.5E-2</v>
      </c>
    </row>
    <row r="43" spans="2:8">
      <c r="C43" s="56" t="s">
        <v>331</v>
      </c>
      <c r="F43" s="36" t="s">
        <v>327</v>
      </c>
      <c r="H43" s="66">
        <v>0.125</v>
      </c>
    </row>
    <row r="44" spans="2:8">
      <c r="C44" s="53" t="s">
        <v>317</v>
      </c>
      <c r="D44" s="43"/>
      <c r="E44" s="43"/>
      <c r="F44" s="43" t="s">
        <v>327</v>
      </c>
      <c r="G44" s="43"/>
      <c r="H44" s="67">
        <v>6.8000000000000005E-2</v>
      </c>
    </row>
    <row r="45" spans="2:8">
      <c r="C45" s="53" t="s">
        <v>317</v>
      </c>
      <c r="D45" s="43"/>
      <c r="E45" s="43"/>
      <c r="F45" s="43" t="s">
        <v>328</v>
      </c>
      <c r="G45" s="43"/>
      <c r="H45" s="67">
        <v>8.5000000000000006E-2</v>
      </c>
    </row>
    <row r="46" spans="2:8">
      <c r="C46" s="56" t="s">
        <v>318</v>
      </c>
      <c r="F46" s="36" t="s">
        <v>326</v>
      </c>
      <c r="H46" s="66">
        <v>0.1</v>
      </c>
    </row>
    <row r="47" spans="2:8">
      <c r="C47" s="56" t="s">
        <v>319</v>
      </c>
      <c r="F47" s="36" t="s">
        <v>326</v>
      </c>
      <c r="H47" s="66">
        <v>6.2E-2</v>
      </c>
    </row>
    <row r="48" spans="2:8">
      <c r="C48" s="53" t="s">
        <v>320</v>
      </c>
      <c r="D48" s="43"/>
      <c r="E48" s="43"/>
      <c r="F48" s="43" t="s">
        <v>326</v>
      </c>
      <c r="G48" s="43"/>
      <c r="H48" s="62" t="s">
        <v>329</v>
      </c>
    </row>
    <row r="49" spans="3:8">
      <c r="C49" s="56" t="s">
        <v>321</v>
      </c>
      <c r="F49" s="36" t="s">
        <v>326</v>
      </c>
      <c r="H49" s="66">
        <v>0.15</v>
      </c>
    </row>
    <row r="50" spans="3:8">
      <c r="C50" s="56" t="s">
        <v>322</v>
      </c>
      <c r="F50" s="36" t="s">
        <v>326</v>
      </c>
      <c r="H50" s="66">
        <v>0.3</v>
      </c>
    </row>
    <row r="51" spans="3:8">
      <c r="C51" s="56" t="s">
        <v>323</v>
      </c>
      <c r="F51" s="36" t="s">
        <v>326</v>
      </c>
      <c r="H51" s="66">
        <v>0.15</v>
      </c>
    </row>
    <row r="52" spans="3:8">
      <c r="C52" s="53" t="s">
        <v>324</v>
      </c>
      <c r="D52" s="43"/>
      <c r="E52" s="43"/>
      <c r="F52" s="43" t="s">
        <v>326</v>
      </c>
      <c r="G52" s="43"/>
      <c r="H52" s="62" t="s">
        <v>329</v>
      </c>
    </row>
    <row r="53" spans="3:8">
      <c r="C53" s="53" t="s">
        <v>325</v>
      </c>
      <c r="D53" s="43"/>
      <c r="E53" s="43"/>
      <c r="F53" s="43" t="s">
        <v>326</v>
      </c>
      <c r="G53" s="43"/>
      <c r="H53" s="62" t="s">
        <v>329</v>
      </c>
    </row>
    <row r="54" spans="3:8">
      <c r="C54" s="32"/>
    </row>
    <row r="55" spans="3:8">
      <c r="C55" s="32" t="s">
        <v>332</v>
      </c>
    </row>
    <row r="56" spans="3:8">
      <c r="C56" s="32" t="s">
        <v>333</v>
      </c>
    </row>
    <row r="57" spans="3:8">
      <c r="C57" s="32"/>
    </row>
    <row r="58" spans="3:8">
      <c r="C58" s="56"/>
      <c r="F58" s="36" t="s">
        <v>314</v>
      </c>
    </row>
    <row r="59" spans="3:8">
      <c r="C59" s="60" t="s">
        <v>370</v>
      </c>
      <c r="D59" s="58"/>
      <c r="E59" s="58"/>
      <c r="F59" s="58" t="s">
        <v>315</v>
      </c>
      <c r="G59" s="58"/>
      <c r="H59" s="61" t="s">
        <v>330</v>
      </c>
    </row>
    <row r="60" spans="3:8">
      <c r="C60" s="56" t="s">
        <v>334</v>
      </c>
      <c r="F60" s="36" t="s">
        <v>326</v>
      </c>
      <c r="H60" s="38" t="s">
        <v>329</v>
      </c>
    </row>
    <row r="61" spans="3:8">
      <c r="C61" s="56" t="s">
        <v>335</v>
      </c>
      <c r="F61" s="36" t="s">
        <v>326</v>
      </c>
      <c r="H61" s="38" t="s">
        <v>329</v>
      </c>
    </row>
    <row r="62" spans="3:8">
      <c r="C62" s="56" t="s">
        <v>336</v>
      </c>
      <c r="D62" s="43"/>
      <c r="E62" s="43"/>
      <c r="F62" s="36" t="s">
        <v>326</v>
      </c>
      <c r="G62" s="43"/>
      <c r="H62" s="38" t="s">
        <v>329</v>
      </c>
    </row>
    <row r="63" spans="3:8">
      <c r="C63" s="56" t="s">
        <v>337</v>
      </c>
      <c r="D63" s="43"/>
      <c r="E63" s="43"/>
      <c r="F63" s="36" t="s">
        <v>326</v>
      </c>
      <c r="G63" s="43"/>
      <c r="H63" s="38" t="s">
        <v>329</v>
      </c>
    </row>
    <row r="64" spans="3:8">
      <c r="C64" s="56" t="s">
        <v>338</v>
      </c>
      <c r="F64" s="36" t="s">
        <v>326</v>
      </c>
      <c r="H64" s="38" t="s">
        <v>329</v>
      </c>
    </row>
    <row r="65" spans="3:8">
      <c r="C65" s="56" t="s">
        <v>339</v>
      </c>
      <c r="F65" s="36" t="s">
        <v>326</v>
      </c>
      <c r="H65" s="38" t="s">
        <v>329</v>
      </c>
    </row>
    <row r="66" spans="3:8">
      <c r="C66" s="63" t="s">
        <v>340</v>
      </c>
      <c r="D66" s="43"/>
      <c r="E66" s="43"/>
      <c r="F66" s="36" t="s">
        <v>326</v>
      </c>
      <c r="G66" s="43"/>
      <c r="H66" s="38" t="s">
        <v>329</v>
      </c>
    </row>
    <row r="67" spans="3:8">
      <c r="C67" s="32"/>
    </row>
    <row r="68" spans="3:8">
      <c r="C68" s="32" t="s">
        <v>362</v>
      </c>
    </row>
    <row r="69" spans="3:8">
      <c r="C69" s="32" t="s">
        <v>341</v>
      </c>
    </row>
    <row r="70" spans="3:8">
      <c r="C70" s="32" t="s">
        <v>342</v>
      </c>
    </row>
    <row r="71" spans="3:8">
      <c r="C71" s="32" t="s">
        <v>363</v>
      </c>
    </row>
    <row r="72" spans="3:8">
      <c r="C72" s="32" t="s">
        <v>587</v>
      </c>
    </row>
    <row r="73" spans="3:8">
      <c r="C73" s="32"/>
    </row>
    <row r="74" spans="3:8">
      <c r="C74" s="56" t="s">
        <v>343</v>
      </c>
      <c r="F74" s="36" t="s">
        <v>314</v>
      </c>
    </row>
    <row r="75" spans="3:8">
      <c r="C75" s="60" t="s">
        <v>316</v>
      </c>
      <c r="D75" s="58"/>
      <c r="E75" s="58"/>
      <c r="F75" s="58" t="s">
        <v>315</v>
      </c>
      <c r="G75" s="58"/>
      <c r="H75" s="61" t="s">
        <v>330</v>
      </c>
    </row>
    <row r="76" spans="3:8">
      <c r="C76" s="56" t="s">
        <v>331</v>
      </c>
      <c r="F76" s="32" t="s">
        <v>326</v>
      </c>
      <c r="G76" s="32"/>
      <c r="H76" s="65">
        <v>0.12</v>
      </c>
    </row>
    <row r="77" spans="3:8">
      <c r="C77" s="56" t="s">
        <v>318</v>
      </c>
      <c r="F77" s="32" t="s">
        <v>327</v>
      </c>
      <c r="G77" s="32"/>
      <c r="H77" s="65">
        <v>0.1</v>
      </c>
    </row>
    <row r="78" spans="3:8">
      <c r="C78" s="56" t="s">
        <v>321</v>
      </c>
      <c r="D78" s="43"/>
      <c r="E78" s="43"/>
      <c r="F78" s="32" t="s">
        <v>327</v>
      </c>
      <c r="G78" s="32"/>
      <c r="H78" s="65">
        <v>0.3</v>
      </c>
    </row>
    <row r="79" spans="3:8">
      <c r="C79" s="56" t="s">
        <v>322</v>
      </c>
      <c r="D79" s="43"/>
      <c r="E79" s="43"/>
      <c r="F79" s="32" t="s">
        <v>328</v>
      </c>
      <c r="G79" s="32"/>
      <c r="H79" s="65">
        <v>1</v>
      </c>
    </row>
    <row r="80" spans="3:8">
      <c r="C80" s="56" t="s">
        <v>323</v>
      </c>
      <c r="F80" s="32" t="s">
        <v>326</v>
      </c>
      <c r="G80" s="32"/>
      <c r="H80" s="65">
        <v>0.3</v>
      </c>
    </row>
    <row r="81" spans="2:8">
      <c r="C81" s="56"/>
      <c r="F81" s="32"/>
      <c r="G81" s="32"/>
      <c r="H81" s="38"/>
    </row>
    <row r="82" spans="2:8">
      <c r="C82" s="56" t="s">
        <v>344</v>
      </c>
      <c r="F82" s="32"/>
      <c r="G82" s="32"/>
      <c r="H82" s="38"/>
    </row>
    <row r="83" spans="2:8">
      <c r="C83" s="56" t="s">
        <v>345</v>
      </c>
      <c r="D83" s="43"/>
      <c r="E83" s="43"/>
      <c r="F83" s="32"/>
      <c r="G83" s="32"/>
      <c r="H83" s="38" t="s">
        <v>353</v>
      </c>
    </row>
    <row r="84" spans="2:8">
      <c r="C84" s="56" t="s">
        <v>346</v>
      </c>
      <c r="F84" s="32"/>
      <c r="G84" s="32"/>
      <c r="H84" s="38" t="s">
        <v>354</v>
      </c>
    </row>
    <row r="85" spans="2:8">
      <c r="C85" s="56" t="s">
        <v>347</v>
      </c>
      <c r="F85" s="32"/>
      <c r="G85" s="32"/>
      <c r="H85" s="38" t="s">
        <v>355</v>
      </c>
    </row>
    <row r="86" spans="2:8">
      <c r="C86" s="56" t="s">
        <v>348</v>
      </c>
      <c r="F86" s="32"/>
      <c r="G86" s="32"/>
      <c r="H86" s="38" t="s">
        <v>356</v>
      </c>
    </row>
    <row r="87" spans="2:8">
      <c r="C87" s="56" t="s">
        <v>349</v>
      </c>
      <c r="D87" s="43"/>
      <c r="E87" s="43"/>
      <c r="F87" s="32"/>
      <c r="G87" s="32"/>
      <c r="H87" s="38" t="s">
        <v>358</v>
      </c>
    </row>
    <row r="88" spans="2:8">
      <c r="C88" s="56" t="s">
        <v>350</v>
      </c>
      <c r="D88" s="43"/>
      <c r="E88" s="43"/>
      <c r="F88" s="32"/>
      <c r="G88" s="32"/>
      <c r="H88" s="64">
        <v>0.68200000000000005</v>
      </c>
    </row>
    <row r="89" spans="2:8">
      <c r="C89" s="56" t="s">
        <v>351</v>
      </c>
      <c r="D89" s="43"/>
      <c r="E89" s="43"/>
      <c r="F89" s="43"/>
      <c r="G89" s="43"/>
      <c r="H89" s="38" t="s">
        <v>357</v>
      </c>
    </row>
    <row r="90" spans="2:8">
      <c r="C90" s="56" t="s">
        <v>352</v>
      </c>
      <c r="D90" s="43"/>
      <c r="E90" s="43"/>
      <c r="F90" s="43"/>
      <c r="G90" s="43"/>
      <c r="H90" s="38" t="s">
        <v>359</v>
      </c>
    </row>
    <row r="91" spans="2:8">
      <c r="C91" s="32"/>
    </row>
    <row r="92" spans="2:8">
      <c r="B92" s="57"/>
      <c r="C92" s="32" t="s">
        <v>360</v>
      </c>
    </row>
    <row r="93" spans="2:8">
      <c r="C93" s="32" t="s">
        <v>588</v>
      </c>
    </row>
    <row r="94" spans="2:8">
      <c r="C94" s="32" t="s">
        <v>589</v>
      </c>
    </row>
    <row r="95" spans="2:8">
      <c r="C95" s="32" t="s">
        <v>364</v>
      </c>
    </row>
    <row r="96" spans="2:8">
      <c r="C96" s="32"/>
    </row>
    <row r="97" spans="3:3">
      <c r="C97" s="32" t="s">
        <v>590</v>
      </c>
    </row>
    <row r="98" spans="3:3">
      <c r="C98" s="32" t="s">
        <v>591</v>
      </c>
    </row>
    <row r="99" spans="3:3">
      <c r="C99" s="32" t="s">
        <v>592</v>
      </c>
    </row>
    <row r="100" spans="3:3">
      <c r="C100" s="32" t="s">
        <v>361</v>
      </c>
    </row>
    <row r="101" spans="3:3">
      <c r="C101" s="32"/>
    </row>
    <row r="102" spans="3:3">
      <c r="C102" s="32"/>
    </row>
    <row r="103" spans="3:3">
      <c r="C103" s="32"/>
    </row>
    <row r="104" spans="3:3">
      <c r="C104" s="32"/>
    </row>
    <row r="105" spans="3:3">
      <c r="C105" s="32"/>
    </row>
    <row r="106" spans="3:3">
      <c r="C106" s="32"/>
    </row>
    <row r="107" spans="3:3">
      <c r="C107" s="32"/>
    </row>
    <row r="108" spans="3:3">
      <c r="C108" s="32"/>
    </row>
    <row r="109" spans="3:3">
      <c r="C109" s="32"/>
    </row>
    <row r="110" spans="3:3">
      <c r="C110" s="32"/>
    </row>
    <row r="111" spans="3:3">
      <c r="C111" s="32"/>
    </row>
    <row r="112" spans="3:3">
      <c r="C112" s="32"/>
    </row>
    <row r="113" spans="2:3">
      <c r="C113" s="32"/>
    </row>
    <row r="114" spans="2:3">
      <c r="C114" s="32"/>
    </row>
    <row r="115" spans="2:3">
      <c r="C115" s="32"/>
    </row>
    <row r="116" spans="2:3">
      <c r="C116" s="32"/>
    </row>
    <row r="117" spans="2:3">
      <c r="C117" s="32"/>
    </row>
    <row r="118" spans="2:3">
      <c r="C118" s="32"/>
    </row>
    <row r="119" spans="2:3">
      <c r="C119" s="32"/>
    </row>
    <row r="120" spans="2:3">
      <c r="C120" s="32"/>
    </row>
    <row r="121" spans="2:3">
      <c r="C121" s="32"/>
    </row>
    <row r="122" spans="2:3">
      <c r="B122" s="54">
        <v>8658697</v>
      </c>
      <c r="C122" s="43" t="s">
        <v>593</v>
      </c>
    </row>
    <row r="123" spans="2:3">
      <c r="B123" s="56" t="s">
        <v>365</v>
      </c>
      <c r="C123" s="32" t="s">
        <v>366</v>
      </c>
    </row>
    <row r="124" spans="2:3">
      <c r="B124" s="56" t="s">
        <v>62</v>
      </c>
      <c r="C124" s="32" t="s">
        <v>594</v>
      </c>
    </row>
    <row r="125" spans="2:3">
      <c r="C125" s="32"/>
    </row>
    <row r="126" spans="2:3">
      <c r="C126" s="32"/>
    </row>
    <row r="127" spans="2:3">
      <c r="C127" s="32"/>
    </row>
    <row r="128" spans="2:3">
      <c r="B128" s="57"/>
      <c r="C128" s="32"/>
    </row>
    <row r="129" spans="2:3">
      <c r="C129" s="32"/>
    </row>
    <row r="130" spans="2:3">
      <c r="C130" s="32"/>
    </row>
    <row r="131" spans="2:3">
      <c r="C131" s="32"/>
    </row>
    <row r="132" spans="2:3">
      <c r="C132" s="32"/>
    </row>
    <row r="133" spans="2:3">
      <c r="C133" s="32"/>
    </row>
    <row r="134" spans="2:3">
      <c r="B134" s="57"/>
      <c r="C134" s="32"/>
    </row>
    <row r="135" spans="2:3">
      <c r="C135" s="32"/>
    </row>
    <row r="136" spans="2:3">
      <c r="C136" s="32"/>
    </row>
    <row r="137" spans="2:3">
      <c r="C137" s="32"/>
    </row>
    <row r="138" spans="2:3">
      <c r="C138" s="32"/>
    </row>
    <row r="139" spans="2:3">
      <c r="C139" s="32"/>
    </row>
    <row r="144" spans="2:3">
      <c r="C144" s="36" t="s">
        <v>367</v>
      </c>
    </row>
    <row r="145" spans="3:3">
      <c r="C145" s="32" t="s">
        <v>595</v>
      </c>
    </row>
    <row r="167" spans="3:3">
      <c r="C167" s="32" t="s">
        <v>596</v>
      </c>
    </row>
    <row r="168" spans="3:3">
      <c r="C168" s="32" t="s">
        <v>368</v>
      </c>
    </row>
    <row r="169" spans="3:3">
      <c r="C169" s="36" t="s">
        <v>369</v>
      </c>
    </row>
    <row r="191" spans="3:3">
      <c r="C191" s="36" t="s">
        <v>371</v>
      </c>
    </row>
    <row r="192" spans="3:3">
      <c r="C192" s="36" t="s">
        <v>372</v>
      </c>
    </row>
    <row r="193" spans="2:17">
      <c r="C193" s="36" t="s">
        <v>373</v>
      </c>
    </row>
    <row r="195" spans="2:17">
      <c r="B195" s="54">
        <v>8629170</v>
      </c>
      <c r="C195" s="43" t="s">
        <v>445</v>
      </c>
    </row>
    <row r="196" spans="2:17">
      <c r="B196" s="56" t="s">
        <v>597</v>
      </c>
      <c r="C196" s="36" t="s">
        <v>598</v>
      </c>
    </row>
    <row r="197" spans="2:17">
      <c r="B197" s="56" t="s">
        <v>599</v>
      </c>
      <c r="C197" s="36" t="s">
        <v>496</v>
      </c>
    </row>
    <row r="198" spans="2:17">
      <c r="C198" s="36" t="s">
        <v>374</v>
      </c>
    </row>
    <row r="199" spans="2:17">
      <c r="C199" s="36" t="s">
        <v>375</v>
      </c>
    </row>
    <row r="201" spans="2:17">
      <c r="D201" s="36" t="s">
        <v>377</v>
      </c>
      <c r="K201" s="36" t="s">
        <v>433</v>
      </c>
    </row>
    <row r="202" spans="2:17">
      <c r="D202" s="63" t="s">
        <v>378</v>
      </c>
      <c r="G202" s="32" t="s">
        <v>380</v>
      </c>
      <c r="K202" s="36" t="s">
        <v>434</v>
      </c>
    </row>
    <row r="203" spans="2:17">
      <c r="C203" s="58" t="s">
        <v>376</v>
      </c>
      <c r="D203" s="58" t="s">
        <v>379</v>
      </c>
      <c r="E203" s="58"/>
      <c r="F203" s="58"/>
      <c r="G203" s="68" t="s">
        <v>381</v>
      </c>
      <c r="H203" s="58"/>
      <c r="I203" s="58" t="s">
        <v>379</v>
      </c>
      <c r="J203" s="58"/>
      <c r="K203" s="68" t="s">
        <v>435</v>
      </c>
      <c r="L203" s="68" t="s">
        <v>384</v>
      </c>
      <c r="M203" s="58"/>
      <c r="N203" s="58"/>
      <c r="O203" s="58" t="s">
        <v>382</v>
      </c>
      <c r="P203" s="58"/>
      <c r="Q203" s="58"/>
    </row>
    <row r="205" spans="2:17">
      <c r="C205" s="52">
        <v>600037</v>
      </c>
      <c r="D205" s="36">
        <v>1.6E-2</v>
      </c>
      <c r="G205" s="36">
        <v>900</v>
      </c>
      <c r="I205" s="36" t="s">
        <v>383</v>
      </c>
      <c r="K205" s="36" t="s">
        <v>385</v>
      </c>
      <c r="L205" s="36" t="s">
        <v>386</v>
      </c>
    </row>
    <row r="213" spans="3:12">
      <c r="C213" s="52">
        <v>600193</v>
      </c>
      <c r="D213" s="36">
        <v>1.1000000000000001E-3</v>
      </c>
      <c r="G213" s="3">
        <v>13000</v>
      </c>
      <c r="I213" s="36" t="s">
        <v>383</v>
      </c>
      <c r="K213" s="36" t="s">
        <v>385</v>
      </c>
      <c r="L213" s="36" t="s">
        <v>387</v>
      </c>
    </row>
    <row r="227" spans="2:17">
      <c r="B227" s="54">
        <v>8623347</v>
      </c>
      <c r="C227" s="43" t="s">
        <v>600</v>
      </c>
    </row>
    <row r="228" spans="2:17">
      <c r="B228" s="54"/>
      <c r="C228" s="36" t="s">
        <v>412</v>
      </c>
    </row>
    <row r="229" spans="2:17">
      <c r="B229" s="54"/>
      <c r="C229" s="36" t="s">
        <v>411</v>
      </c>
    </row>
    <row r="230" spans="2:17">
      <c r="C230" s="32" t="s">
        <v>413</v>
      </c>
    </row>
    <row r="231" spans="2:17">
      <c r="C231" s="36" t="s">
        <v>388</v>
      </c>
    </row>
    <row r="233" spans="2:17">
      <c r="D233" s="36" t="s">
        <v>391</v>
      </c>
    </row>
    <row r="234" spans="2:17">
      <c r="C234" s="58" t="s">
        <v>376</v>
      </c>
      <c r="D234" s="58" t="s">
        <v>389</v>
      </c>
      <c r="E234" s="58"/>
      <c r="F234" s="58"/>
      <c r="G234" s="58"/>
      <c r="H234" s="58" t="s">
        <v>401</v>
      </c>
      <c r="I234" s="58"/>
      <c r="J234" s="58" t="s">
        <v>390</v>
      </c>
      <c r="K234" s="58"/>
      <c r="L234" s="68"/>
      <c r="M234" s="68" t="s">
        <v>384</v>
      </c>
      <c r="N234" s="58"/>
      <c r="O234" s="58" t="s">
        <v>382</v>
      </c>
      <c r="P234" s="58"/>
      <c r="Q234" s="58"/>
    </row>
    <row r="236" spans="2:17">
      <c r="C236" s="52">
        <v>6</v>
      </c>
      <c r="D236" s="36" t="s">
        <v>392</v>
      </c>
      <c r="H236" s="36" t="s">
        <v>402</v>
      </c>
      <c r="J236" s="36" t="s">
        <v>395</v>
      </c>
      <c r="M236" s="36" t="s">
        <v>397</v>
      </c>
    </row>
    <row r="237" spans="2:17">
      <c r="D237" s="36" t="s">
        <v>393</v>
      </c>
      <c r="J237" s="36" t="s">
        <v>396</v>
      </c>
    </row>
    <row r="238" spans="2:17">
      <c r="D238" s="36" t="s">
        <v>394</v>
      </c>
    </row>
    <row r="241" spans="2:17">
      <c r="C241" s="52">
        <v>7</v>
      </c>
      <c r="D241" s="36" t="s">
        <v>398</v>
      </c>
      <c r="H241" s="36" t="s">
        <v>402</v>
      </c>
      <c r="J241" s="36" t="s">
        <v>403</v>
      </c>
      <c r="M241" s="36" t="s">
        <v>397</v>
      </c>
    </row>
    <row r="242" spans="2:17">
      <c r="D242" s="36" t="s">
        <v>400</v>
      </c>
      <c r="J242" s="36" t="s">
        <v>396</v>
      </c>
    </row>
    <row r="243" spans="2:17">
      <c r="D243" s="36" t="s">
        <v>399</v>
      </c>
    </row>
    <row r="246" spans="2:17">
      <c r="C246" s="52">
        <v>1</v>
      </c>
      <c r="D246" s="36" t="s">
        <v>404</v>
      </c>
      <c r="H246" s="36" t="s">
        <v>402</v>
      </c>
      <c r="J246" s="36" t="s">
        <v>409</v>
      </c>
    </row>
    <row r="247" spans="2:17">
      <c r="D247" s="36" t="s">
        <v>405</v>
      </c>
      <c r="J247" s="36" t="s">
        <v>396</v>
      </c>
      <c r="M247" s="36" t="s">
        <v>410</v>
      </c>
    </row>
    <row r="248" spans="2:17">
      <c r="D248" s="36" t="s">
        <v>406</v>
      </c>
    </row>
    <row r="249" spans="2:17">
      <c r="D249" s="36" t="s">
        <v>407</v>
      </c>
    </row>
    <row r="250" spans="2:17">
      <c r="D250" s="36" t="s">
        <v>408</v>
      </c>
    </row>
    <row r="252" spans="2:17">
      <c r="B252" s="54">
        <v>8518951</v>
      </c>
      <c r="C252" s="43" t="s">
        <v>421</v>
      </c>
    </row>
    <row r="253" spans="2:17">
      <c r="C253" s="32" t="s">
        <v>610</v>
      </c>
    </row>
    <row r="254" spans="2:17">
      <c r="C254" s="58" t="s">
        <v>376</v>
      </c>
      <c r="D254" s="68" t="s">
        <v>422</v>
      </c>
      <c r="E254" s="58"/>
      <c r="F254" s="58"/>
      <c r="G254" s="68" t="s">
        <v>423</v>
      </c>
      <c r="H254" s="58"/>
      <c r="I254" s="58"/>
      <c r="J254" s="68" t="s">
        <v>424</v>
      </c>
      <c r="K254" s="58"/>
      <c r="L254" s="68"/>
      <c r="M254" s="68"/>
      <c r="N254" s="58"/>
      <c r="O254" s="58" t="s">
        <v>382</v>
      </c>
      <c r="P254" s="58"/>
      <c r="Q254" s="58"/>
    </row>
    <row r="256" spans="2:17">
      <c r="C256" s="52">
        <v>313761</v>
      </c>
      <c r="D256" s="32" t="s">
        <v>427</v>
      </c>
      <c r="G256" s="32" t="s">
        <v>429</v>
      </c>
      <c r="J256" s="32" t="s">
        <v>425</v>
      </c>
    </row>
    <row r="266" spans="3:10">
      <c r="C266" s="52">
        <v>280611</v>
      </c>
      <c r="D266" s="32" t="s">
        <v>426</v>
      </c>
      <c r="G266" s="32" t="s">
        <v>428</v>
      </c>
      <c r="J266" s="36" t="s">
        <v>430</v>
      </c>
    </row>
    <row r="278" spans="2:10">
      <c r="C278" s="52">
        <v>20013</v>
      </c>
      <c r="D278" s="32" t="s">
        <v>431</v>
      </c>
      <c r="G278" s="32" t="s">
        <v>431</v>
      </c>
      <c r="J278" s="36" t="s">
        <v>430</v>
      </c>
    </row>
    <row r="287" spans="2:10">
      <c r="B287" s="54">
        <v>8492434</v>
      </c>
      <c r="C287" s="43" t="s">
        <v>432</v>
      </c>
    </row>
    <row r="288" spans="2:10">
      <c r="B288" s="56" t="s">
        <v>601</v>
      </c>
      <c r="C288" s="32" t="s">
        <v>611</v>
      </c>
    </row>
    <row r="289" spans="2:17">
      <c r="B289" s="56" t="s">
        <v>602</v>
      </c>
      <c r="C289" s="36" t="s">
        <v>436</v>
      </c>
    </row>
    <row r="290" spans="2:17">
      <c r="B290" s="56"/>
      <c r="C290" s="36" t="s">
        <v>437</v>
      </c>
    </row>
    <row r="292" spans="2:17">
      <c r="D292" s="36" t="s">
        <v>377</v>
      </c>
      <c r="K292" s="36" t="s">
        <v>433</v>
      </c>
    </row>
    <row r="293" spans="2:17">
      <c r="D293" s="63" t="s">
        <v>378</v>
      </c>
      <c r="G293" s="32" t="s">
        <v>380</v>
      </c>
      <c r="K293" s="36" t="s">
        <v>434</v>
      </c>
    </row>
    <row r="294" spans="2:17">
      <c r="C294" s="58" t="s">
        <v>376</v>
      </c>
      <c r="D294" s="58" t="s">
        <v>379</v>
      </c>
      <c r="E294" s="58"/>
      <c r="F294" s="58"/>
      <c r="G294" s="68" t="s">
        <v>381</v>
      </c>
      <c r="H294" s="58"/>
      <c r="I294" s="58" t="s">
        <v>379</v>
      </c>
      <c r="J294" s="58"/>
      <c r="K294" s="68" t="s">
        <v>435</v>
      </c>
      <c r="L294" s="68" t="s">
        <v>384</v>
      </c>
      <c r="M294" s="58"/>
      <c r="N294" s="58"/>
      <c r="O294" s="58" t="s">
        <v>382</v>
      </c>
      <c r="P294" s="58"/>
      <c r="Q294" s="58"/>
    </row>
    <row r="296" spans="2:17">
      <c r="C296" s="52">
        <v>408306</v>
      </c>
      <c r="D296" s="36">
        <v>0.02</v>
      </c>
      <c r="G296" s="36" t="s">
        <v>438</v>
      </c>
      <c r="I296" s="52">
        <v>0.5</v>
      </c>
      <c r="K296" s="36" t="s">
        <v>439</v>
      </c>
      <c r="L296" s="36" t="s">
        <v>440</v>
      </c>
    </row>
    <row r="297" spans="2:17">
      <c r="I297" s="52"/>
    </row>
    <row r="298" spans="2:17">
      <c r="I298" s="52"/>
    </row>
    <row r="299" spans="2:17">
      <c r="I299" s="52"/>
    </row>
    <row r="300" spans="2:17">
      <c r="I300" s="52"/>
    </row>
    <row r="301" spans="2:17">
      <c r="C301" s="52">
        <v>600161</v>
      </c>
      <c r="D301" s="36">
        <v>5.0000000000000001E-4</v>
      </c>
      <c r="G301" s="36" t="s">
        <v>441</v>
      </c>
      <c r="I301" s="52" t="s">
        <v>442</v>
      </c>
      <c r="K301" s="36" t="s">
        <v>443</v>
      </c>
      <c r="L301" s="36" t="s">
        <v>444</v>
      </c>
    </row>
    <row r="313" spans="2:15">
      <c r="B313" s="54">
        <v>8461177</v>
      </c>
      <c r="C313" s="43" t="s">
        <v>445</v>
      </c>
    </row>
    <row r="314" spans="2:15">
      <c r="B314" s="54"/>
      <c r="C314" s="32" t="s">
        <v>612</v>
      </c>
    </row>
    <row r="315" spans="2:15">
      <c r="C315" s="36" t="s">
        <v>446</v>
      </c>
    </row>
    <row r="317" spans="2:15">
      <c r="D317" s="36" t="s">
        <v>391</v>
      </c>
    </row>
    <row r="318" spans="2:15">
      <c r="C318" s="58" t="s">
        <v>376</v>
      </c>
      <c r="D318" s="58" t="s">
        <v>389</v>
      </c>
      <c r="E318" s="58"/>
      <c r="F318" s="58"/>
      <c r="G318" s="58"/>
      <c r="H318" s="58" t="s">
        <v>390</v>
      </c>
      <c r="I318" s="58"/>
      <c r="J318" s="68"/>
      <c r="K318" s="68" t="s">
        <v>384</v>
      </c>
      <c r="L318" s="58"/>
      <c r="M318" s="58" t="s">
        <v>382</v>
      </c>
      <c r="N318" s="58"/>
      <c r="O318" s="58"/>
    </row>
    <row r="320" spans="2:15">
      <c r="C320" s="52">
        <v>1</v>
      </c>
      <c r="D320" s="36" t="s">
        <v>447</v>
      </c>
      <c r="H320" s="36" t="s">
        <v>456</v>
      </c>
      <c r="K320" s="36" t="s">
        <v>455</v>
      </c>
    </row>
    <row r="321" spans="2:17">
      <c r="D321" s="36" t="s">
        <v>448</v>
      </c>
      <c r="H321" s="36" t="s">
        <v>457</v>
      </c>
    </row>
    <row r="322" spans="2:17">
      <c r="D322" s="36" t="s">
        <v>449</v>
      </c>
      <c r="H322" s="36" t="s">
        <v>454</v>
      </c>
    </row>
    <row r="323" spans="2:17">
      <c r="D323" s="36" t="s">
        <v>450</v>
      </c>
    </row>
    <row r="324" spans="2:17">
      <c r="D324" s="36" t="s">
        <v>451</v>
      </c>
    </row>
    <row r="325" spans="2:17">
      <c r="D325" s="36" t="s">
        <v>452</v>
      </c>
    </row>
    <row r="326" spans="2:17">
      <c r="D326" s="36" t="s">
        <v>453</v>
      </c>
    </row>
    <row r="330" spans="2:17">
      <c r="C330" s="32"/>
      <c r="F330" s="109" t="s">
        <v>459</v>
      </c>
      <c r="G330" s="109"/>
      <c r="H330" s="109"/>
      <c r="I330" s="109"/>
      <c r="J330" s="109"/>
      <c r="K330" s="109"/>
      <c r="L330" s="109"/>
      <c r="M330" s="109"/>
      <c r="N330" s="109"/>
      <c r="O330" s="109"/>
      <c r="P330" s="109"/>
      <c r="Q330" s="109"/>
    </row>
    <row r="331" spans="2:17">
      <c r="C331" s="32" t="s">
        <v>305</v>
      </c>
      <c r="F331" s="2" t="s">
        <v>458</v>
      </c>
      <c r="H331" s="2" t="s">
        <v>300</v>
      </c>
      <c r="J331" s="59" t="s">
        <v>306</v>
      </c>
      <c r="L331" s="59" t="s">
        <v>307</v>
      </c>
      <c r="N331" s="59" t="s">
        <v>308</v>
      </c>
      <c r="P331" s="59" t="s">
        <v>309</v>
      </c>
    </row>
    <row r="332" spans="2:17">
      <c r="C332" s="32"/>
    </row>
    <row r="333" spans="2:17">
      <c r="C333" s="56">
        <v>1</v>
      </c>
      <c r="F333" s="36" t="s">
        <v>460</v>
      </c>
      <c r="H333" s="36" t="s">
        <v>460</v>
      </c>
      <c r="J333" s="36" t="s">
        <v>460</v>
      </c>
      <c r="L333" s="36" t="s">
        <v>460</v>
      </c>
      <c r="N333" s="36" t="s">
        <v>460</v>
      </c>
      <c r="P333" s="36" t="s">
        <v>311</v>
      </c>
    </row>
    <row r="335" spans="2:17">
      <c r="B335" s="54">
        <v>8410149</v>
      </c>
      <c r="C335" s="43" t="s">
        <v>603</v>
      </c>
    </row>
    <row r="336" spans="2:17">
      <c r="B336" s="56" t="s">
        <v>62</v>
      </c>
      <c r="C336" s="32" t="s">
        <v>612</v>
      </c>
    </row>
    <row r="337" spans="2:3">
      <c r="B337" s="56" t="s">
        <v>1</v>
      </c>
      <c r="C337" s="36" t="s">
        <v>461</v>
      </c>
    </row>
    <row r="338" spans="2:3">
      <c r="B338" s="56" t="s">
        <v>604</v>
      </c>
      <c r="C338" s="36" t="s">
        <v>475</v>
      </c>
    </row>
    <row r="339" spans="2:3">
      <c r="B339" s="56" t="s">
        <v>605</v>
      </c>
      <c r="C339" s="36" t="s">
        <v>477</v>
      </c>
    </row>
    <row r="340" spans="2:3">
      <c r="B340" s="56" t="s">
        <v>606</v>
      </c>
      <c r="C340" s="36" t="s">
        <v>478</v>
      </c>
    </row>
    <row r="341" spans="2:3">
      <c r="B341" s="56" t="s">
        <v>607</v>
      </c>
      <c r="C341" s="36" t="s">
        <v>479</v>
      </c>
    </row>
    <row r="363" spans="3:3">
      <c r="C363" s="32" t="s">
        <v>462</v>
      </c>
    </row>
    <row r="364" spans="3:3">
      <c r="C364" s="36" t="s">
        <v>476</v>
      </c>
    </row>
    <row r="390" spans="3:3">
      <c r="C390" s="32"/>
    </row>
    <row r="391" spans="3:3">
      <c r="C391" s="32"/>
    </row>
    <row r="392" spans="3:3">
      <c r="C392" s="32" t="s">
        <v>463</v>
      </c>
    </row>
    <row r="417" spans="3:3">
      <c r="C417" s="32"/>
    </row>
    <row r="418" spans="3:3">
      <c r="C418" s="32"/>
    </row>
    <row r="419" spans="3:3">
      <c r="C419" s="32" t="s">
        <v>464</v>
      </c>
    </row>
    <row r="420" spans="3:3">
      <c r="C420" s="36" t="s">
        <v>480</v>
      </c>
    </row>
    <row r="421" spans="3:3">
      <c r="C421" s="32" t="s">
        <v>608</v>
      </c>
    </row>
    <row r="444" spans="3:3">
      <c r="C444" s="32" t="s">
        <v>465</v>
      </c>
    </row>
    <row r="445" spans="3:3">
      <c r="C445" s="36" t="s">
        <v>481</v>
      </c>
    </row>
    <row r="466" spans="2:3">
      <c r="C466" s="36" t="s">
        <v>466</v>
      </c>
    </row>
    <row r="467" spans="2:3">
      <c r="C467" s="36" t="s">
        <v>467</v>
      </c>
    </row>
    <row r="468" spans="2:3">
      <c r="C468" s="36" t="s">
        <v>468</v>
      </c>
    </row>
    <row r="469" spans="2:3">
      <c r="C469" s="36" t="s">
        <v>469</v>
      </c>
    </row>
    <row r="470" spans="2:3">
      <c r="C470" s="36" t="s">
        <v>470</v>
      </c>
    </row>
    <row r="471" spans="2:3">
      <c r="C471" s="36" t="s">
        <v>471</v>
      </c>
    </row>
    <row r="472" spans="2:3">
      <c r="C472" s="36" t="s">
        <v>472</v>
      </c>
    </row>
    <row r="473" spans="2:3">
      <c r="C473" s="36" t="s">
        <v>473</v>
      </c>
    </row>
    <row r="474" spans="2:3">
      <c r="C474" s="32" t="s">
        <v>609</v>
      </c>
    </row>
    <row r="475" spans="2:3">
      <c r="C475" s="36" t="s">
        <v>474</v>
      </c>
    </row>
    <row r="477" spans="2:3">
      <c r="B477" s="54">
        <v>7977365</v>
      </c>
      <c r="C477" s="43" t="s">
        <v>445</v>
      </c>
    </row>
    <row r="478" spans="2:3">
      <c r="B478" s="56" t="s">
        <v>1</v>
      </c>
      <c r="C478" s="32" t="s">
        <v>418</v>
      </c>
    </row>
    <row r="479" spans="2:3">
      <c r="B479" s="52" t="s">
        <v>597</v>
      </c>
      <c r="C479" s="32" t="s">
        <v>483</v>
      </c>
    </row>
    <row r="480" spans="2:3">
      <c r="B480" s="56" t="s">
        <v>599</v>
      </c>
      <c r="C480" s="32" t="s">
        <v>484</v>
      </c>
    </row>
    <row r="481" spans="3:3">
      <c r="C481" s="36" t="s">
        <v>485</v>
      </c>
    </row>
    <row r="508" spans="3:3">
      <c r="C508" s="32" t="s">
        <v>486</v>
      </c>
    </row>
    <row r="509" spans="3:3">
      <c r="C509" s="32" t="s">
        <v>487</v>
      </c>
    </row>
    <row r="510" spans="3:3">
      <c r="C510" s="36" t="s">
        <v>488</v>
      </c>
    </row>
    <row r="532" spans="3:3">
      <c r="C532" s="32" t="s">
        <v>489</v>
      </c>
    </row>
    <row r="533" spans="3:3">
      <c r="C533" s="32" t="s">
        <v>490</v>
      </c>
    </row>
    <row r="534" spans="3:3">
      <c r="C534" s="32" t="s">
        <v>491</v>
      </c>
    </row>
    <row r="535" spans="3:3">
      <c r="C535" s="32" t="s">
        <v>492</v>
      </c>
    </row>
    <row r="536" spans="3:3">
      <c r="C536" s="32" t="s">
        <v>613</v>
      </c>
    </row>
    <row r="559" spans="3:3">
      <c r="C559" s="32" t="s">
        <v>493</v>
      </c>
    </row>
    <row r="560" spans="3:3">
      <c r="C560" s="32" t="s">
        <v>494</v>
      </c>
    </row>
    <row r="561" spans="3:3">
      <c r="C561" s="32" t="s">
        <v>495</v>
      </c>
    </row>
    <row r="562" spans="3:3">
      <c r="C562" s="32" t="s">
        <v>614</v>
      </c>
    </row>
    <row r="580" spans="3:9">
      <c r="C580" s="32" t="s">
        <v>496</v>
      </c>
    </row>
    <row r="581" spans="3:9">
      <c r="C581" s="36" t="s">
        <v>497</v>
      </c>
    </row>
    <row r="582" spans="3:9">
      <c r="C582" s="36" t="s">
        <v>547</v>
      </c>
    </row>
    <row r="585" spans="3:9">
      <c r="C585" s="32" t="s">
        <v>498</v>
      </c>
    </row>
    <row r="587" spans="3:9">
      <c r="D587" s="63" t="s">
        <v>500</v>
      </c>
      <c r="G587" s="32"/>
    </row>
    <row r="588" spans="3:9">
      <c r="C588" s="68" t="s">
        <v>499</v>
      </c>
      <c r="D588" s="68" t="s">
        <v>501</v>
      </c>
      <c r="E588" s="58"/>
      <c r="F588" s="58"/>
      <c r="G588" s="58"/>
      <c r="H588" s="58" t="s">
        <v>502</v>
      </c>
      <c r="I588" s="68"/>
    </row>
    <row r="590" spans="3:9">
      <c r="C590" s="52" t="s">
        <v>458</v>
      </c>
      <c r="D590" s="36" t="s">
        <v>505</v>
      </c>
      <c r="H590" s="36" t="s">
        <v>512</v>
      </c>
    </row>
    <row r="591" spans="3:9">
      <c r="C591" s="36" t="s">
        <v>503</v>
      </c>
      <c r="D591" s="36" t="s">
        <v>506</v>
      </c>
      <c r="H591" s="36" t="s">
        <v>513</v>
      </c>
    </row>
    <row r="592" spans="3:9">
      <c r="C592" s="36" t="s">
        <v>301</v>
      </c>
      <c r="D592" s="36" t="s">
        <v>507</v>
      </c>
      <c r="H592" s="36" t="s">
        <v>514</v>
      </c>
    </row>
    <row r="593" spans="3:9">
      <c r="C593" s="36" t="s">
        <v>504</v>
      </c>
      <c r="D593" s="36" t="s">
        <v>508</v>
      </c>
      <c r="H593" s="32" t="s">
        <v>517</v>
      </c>
    </row>
    <row r="594" spans="3:9">
      <c r="C594" s="36" t="s">
        <v>300</v>
      </c>
      <c r="D594" s="36" t="s">
        <v>508</v>
      </c>
      <c r="H594" s="36" t="s">
        <v>515</v>
      </c>
    </row>
    <row r="595" spans="3:9">
      <c r="C595" s="52" t="s">
        <v>299</v>
      </c>
      <c r="D595" s="36" t="s">
        <v>508</v>
      </c>
      <c r="H595" s="36" t="s">
        <v>516</v>
      </c>
    </row>
    <row r="596" spans="3:9">
      <c r="C596" s="36" t="s">
        <v>306</v>
      </c>
      <c r="D596" s="36" t="s">
        <v>509</v>
      </c>
      <c r="H596" s="36" t="s">
        <v>518</v>
      </c>
    </row>
    <row r="597" spans="3:9">
      <c r="C597" s="36" t="s">
        <v>308</v>
      </c>
      <c r="D597" s="36" t="s">
        <v>510</v>
      </c>
      <c r="H597" s="36" t="s">
        <v>519</v>
      </c>
    </row>
    <row r="598" spans="3:9">
      <c r="C598" s="36" t="s">
        <v>302</v>
      </c>
      <c r="D598" s="36" t="s">
        <v>511</v>
      </c>
      <c r="H598" s="36" t="s">
        <v>520</v>
      </c>
    </row>
    <row r="601" spans="3:9">
      <c r="C601" s="32" t="s">
        <v>521</v>
      </c>
    </row>
    <row r="602" spans="3:9">
      <c r="C602" s="32"/>
    </row>
    <row r="603" spans="3:9">
      <c r="D603" s="71" t="s">
        <v>522</v>
      </c>
      <c r="E603" s="71" t="s">
        <v>524</v>
      </c>
      <c r="G603" s="32"/>
      <c r="H603" s="36" t="s">
        <v>545</v>
      </c>
    </row>
    <row r="604" spans="3:9">
      <c r="C604" s="68" t="s">
        <v>499</v>
      </c>
      <c r="D604" s="70" t="s">
        <v>523</v>
      </c>
      <c r="E604" s="70" t="s">
        <v>525</v>
      </c>
      <c r="F604" s="58" t="s">
        <v>502</v>
      </c>
      <c r="G604" s="58"/>
      <c r="H604" s="68" t="s">
        <v>546</v>
      </c>
      <c r="I604"/>
    </row>
    <row r="606" spans="3:9">
      <c r="C606" s="52" t="s">
        <v>526</v>
      </c>
      <c r="D606" s="2" t="s">
        <v>535</v>
      </c>
      <c r="E606" s="2" t="s">
        <v>535</v>
      </c>
      <c r="F606" s="36" t="s">
        <v>512</v>
      </c>
      <c r="H606" s="2">
        <v>1</v>
      </c>
    </row>
    <row r="607" spans="3:9">
      <c r="C607" s="36" t="s">
        <v>527</v>
      </c>
      <c r="D607" s="2" t="s">
        <v>536</v>
      </c>
      <c r="E607" s="2" t="s">
        <v>536</v>
      </c>
      <c r="F607" s="36" t="s">
        <v>539</v>
      </c>
      <c r="H607" s="2">
        <v>15200</v>
      </c>
    </row>
    <row r="608" spans="3:9">
      <c r="C608" s="36" t="s">
        <v>528</v>
      </c>
      <c r="D608" s="2" t="s">
        <v>536</v>
      </c>
      <c r="E608" s="2" t="s">
        <v>535</v>
      </c>
      <c r="F608" s="36" t="s">
        <v>540</v>
      </c>
      <c r="H608" s="2">
        <v>850</v>
      </c>
    </row>
    <row r="609" spans="2:8">
      <c r="C609" s="36" t="s">
        <v>529</v>
      </c>
      <c r="D609" s="2" t="s">
        <v>535</v>
      </c>
      <c r="E609" s="2" t="s">
        <v>536</v>
      </c>
      <c r="F609" s="36" t="s">
        <v>541</v>
      </c>
      <c r="H609" s="2">
        <v>3800</v>
      </c>
    </row>
    <row r="610" spans="2:8">
      <c r="C610" s="36" t="s">
        <v>530</v>
      </c>
      <c r="D610" s="2" t="s">
        <v>536</v>
      </c>
      <c r="E610" s="2" t="s">
        <v>536</v>
      </c>
      <c r="F610" s="36" t="s">
        <v>513</v>
      </c>
      <c r="H610" s="2">
        <v>19600</v>
      </c>
    </row>
    <row r="611" spans="2:8">
      <c r="C611" s="36" t="s">
        <v>531</v>
      </c>
      <c r="D611" s="2" t="s">
        <v>535</v>
      </c>
      <c r="E611" s="2" t="s">
        <v>536</v>
      </c>
      <c r="F611" s="36" t="s">
        <v>542</v>
      </c>
      <c r="H611" s="2">
        <v>16900</v>
      </c>
    </row>
    <row r="612" spans="2:8">
      <c r="C612" s="36" t="s">
        <v>532</v>
      </c>
      <c r="D612" s="2" t="s">
        <v>535</v>
      </c>
      <c r="E612" s="2" t="s">
        <v>535</v>
      </c>
      <c r="F612" s="36" t="s">
        <v>543</v>
      </c>
      <c r="H612" s="2">
        <v>16200</v>
      </c>
    </row>
    <row r="613" spans="2:8">
      <c r="C613" s="36" t="s">
        <v>533</v>
      </c>
      <c r="D613" s="59" t="s">
        <v>537</v>
      </c>
      <c r="E613" s="2" t="s">
        <v>538</v>
      </c>
      <c r="F613" s="36" t="s">
        <v>514</v>
      </c>
      <c r="H613" s="2">
        <v>1600</v>
      </c>
    </row>
    <row r="614" spans="2:8">
      <c r="C614" s="36" t="s">
        <v>534</v>
      </c>
      <c r="D614" s="2" t="s">
        <v>535</v>
      </c>
      <c r="E614" s="2" t="s">
        <v>538</v>
      </c>
      <c r="F614" s="36" t="s">
        <v>544</v>
      </c>
      <c r="H614" s="2">
        <v>29</v>
      </c>
    </row>
    <row r="617" spans="2:8">
      <c r="C617" s="36" t="s">
        <v>548</v>
      </c>
    </row>
    <row r="618" spans="2:8">
      <c r="C618" s="36" t="s">
        <v>549</v>
      </c>
    </row>
    <row r="619" spans="2:8">
      <c r="C619" s="36" t="s">
        <v>551</v>
      </c>
    </row>
    <row r="620" spans="2:8">
      <c r="C620" s="36" t="s">
        <v>550</v>
      </c>
    </row>
    <row r="621" spans="2:8">
      <c r="C621" s="36" t="s">
        <v>552</v>
      </c>
    </row>
    <row r="623" spans="2:8">
      <c r="B623" s="54">
        <v>8518960</v>
      </c>
      <c r="C623" s="43" t="s">
        <v>553</v>
      </c>
    </row>
    <row r="625" spans="3:19">
      <c r="D625" s="71"/>
      <c r="E625" s="71"/>
      <c r="G625" s="32"/>
      <c r="J625" s="52" t="s">
        <v>559</v>
      </c>
      <c r="K625" s="36" t="s">
        <v>561</v>
      </c>
      <c r="N625" s="36" t="s">
        <v>381</v>
      </c>
    </row>
    <row r="626" spans="3:19">
      <c r="C626" s="68" t="s">
        <v>376</v>
      </c>
      <c r="D626" s="70" t="s">
        <v>554</v>
      </c>
      <c r="E626" s="70"/>
      <c r="F626" s="58"/>
      <c r="G626" s="58"/>
      <c r="H626" s="68" t="s">
        <v>401</v>
      </c>
      <c r="I626" s="58"/>
      <c r="J626" s="72" t="s">
        <v>560</v>
      </c>
      <c r="K626" s="58" t="s">
        <v>562</v>
      </c>
      <c r="L626" s="58"/>
      <c r="M626" s="58"/>
      <c r="N626" s="58" t="s">
        <v>563</v>
      </c>
      <c r="O626" s="58"/>
      <c r="P626" s="58" t="s">
        <v>569</v>
      </c>
      <c r="Q626" s="58"/>
      <c r="R626" s="58"/>
      <c r="S626" s="58"/>
    </row>
    <row r="627" spans="3:19">
      <c r="C627" s="52">
        <v>1</v>
      </c>
      <c r="D627" s="36" t="s">
        <v>555</v>
      </c>
      <c r="H627" s="36" t="s">
        <v>402</v>
      </c>
      <c r="J627" s="52">
        <v>414.48</v>
      </c>
      <c r="K627" s="36" t="s">
        <v>566</v>
      </c>
      <c r="N627" s="36" t="s">
        <v>567</v>
      </c>
    </row>
    <row r="628" spans="3:19">
      <c r="C628" s="52"/>
      <c r="D628" s="36" t="s">
        <v>556</v>
      </c>
      <c r="J628" s="52"/>
      <c r="K628" s="36" t="s">
        <v>564</v>
      </c>
      <c r="N628" s="36" t="s">
        <v>568</v>
      </c>
    </row>
    <row r="629" spans="3:19">
      <c r="C629" s="52"/>
      <c r="J629" s="52"/>
      <c r="K629" s="36" t="s">
        <v>565</v>
      </c>
    </row>
    <row r="630" spans="3:19">
      <c r="C630" s="52"/>
      <c r="J630" s="52"/>
    </row>
    <row r="631" spans="3:19">
      <c r="C631" s="52"/>
      <c r="J631" s="52"/>
    </row>
    <row r="632" spans="3:19">
      <c r="C632" s="52"/>
      <c r="J632" s="52"/>
    </row>
    <row r="633" spans="3:19">
      <c r="C633" s="52"/>
      <c r="J633" s="52"/>
      <c r="N633" s="36" t="s">
        <v>573</v>
      </c>
    </row>
    <row r="634" spans="3:19">
      <c r="C634" s="52">
        <v>2</v>
      </c>
      <c r="D634" s="36" t="s">
        <v>557</v>
      </c>
      <c r="H634" s="36" t="s">
        <v>402</v>
      </c>
      <c r="J634" s="52">
        <v>328.43</v>
      </c>
      <c r="K634" s="36" t="s">
        <v>570</v>
      </c>
      <c r="N634" s="36" t="s">
        <v>574</v>
      </c>
    </row>
    <row r="635" spans="3:19">
      <c r="D635" s="36" t="s">
        <v>558</v>
      </c>
      <c r="K635" s="36" t="s">
        <v>571</v>
      </c>
    </row>
    <row r="636" spans="3:19">
      <c r="K636" s="36" t="s">
        <v>572</v>
      </c>
    </row>
  </sheetData>
  <mergeCells count="2">
    <mergeCell ref="F330:Q330"/>
    <mergeCell ref="J25:N25"/>
  </mergeCells>
  <hyperlinks>
    <hyperlink ref="A1" location="Main!A1" display="Main" xr:uid="{00000000-0004-0000-0500-000000000000}"/>
    <hyperlink ref="B3" r:id="rId1" display="http://www.google.com/patents/US8791110" xr:uid="{00000000-0004-0000-0500-000001000000}"/>
    <hyperlink ref="B21" r:id="rId2" display="http://www.google.com/patents/US8754082" xr:uid="{00000000-0004-0000-0500-000002000000}"/>
    <hyperlink ref="B36" r:id="rId3" display="http://www.google.com/patents/US8664274" xr:uid="{00000000-0004-0000-0500-000003000000}"/>
    <hyperlink ref="B122" r:id="rId4" display="https://www.google.com/patents/US8658697?dq=patent+number+8658697&amp;hl=en&amp;sa=X&amp;ei=J9AlVO2IJ4PeoAS65YCoBg&amp;ved=0CB8Q6AEwAA" xr:uid="{00000000-0004-0000-0500-000004000000}"/>
    <hyperlink ref="B195" r:id="rId5" display="http://www.google.com/patents/US8629170" xr:uid="{00000000-0004-0000-0500-000005000000}"/>
    <hyperlink ref="B227" r:id="rId6" display="http://www.google.com/patents/US8623347" xr:uid="{00000000-0004-0000-0500-000006000000}"/>
    <hyperlink ref="B252" r:id="rId7" display="http://www.google.com/patents/US8518951" xr:uid="{00000000-0004-0000-0500-000007000000}"/>
    <hyperlink ref="B287" r:id="rId8" display="http://www.google.com/patents/US8492434" xr:uid="{00000000-0004-0000-0500-000008000000}"/>
    <hyperlink ref="B313" r:id="rId9" display="http://www.google.com/patents/US8461177" xr:uid="{00000000-0004-0000-0500-000009000000}"/>
    <hyperlink ref="B335" r:id="rId10" display="http://www.google.com/patents/US8410149" xr:uid="{00000000-0004-0000-0500-00000A000000}"/>
    <hyperlink ref="B477" r:id="rId11" display="http://www.google.com.ar/patents/US7977365" xr:uid="{00000000-0004-0000-0500-00000B000000}"/>
    <hyperlink ref="B623" r:id="rId12" display="https://www.google.com/patents/US8518960?dq=patent+number+8,518,960&amp;hl=en&amp;sa=X&amp;ei=ZtslVPSqLcigoQTboYLwCQ&amp;ved=0CB8Q6AEwAA" xr:uid="{00000000-0004-0000-0500-00000C000000}"/>
  </hyperlinks>
  <pageMargins left="0.75" right="0.75" top="1" bottom="1" header="0.5" footer="0.5"/>
  <pageSetup orientation="portrait" horizontalDpi="1200" verticalDpi="1200" r:id="rId13"/>
  <headerFooter alignWithMargins="0"/>
  <ignoredErrors>
    <ignoredError sqref="D604:E604" numberStoredAsText="1"/>
  </ignoredErrors>
  <drawing r:id="rId14"/>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64A4B226BE2F34C80DFAA3D37A3CB30" ma:contentTypeVersion="0" ma:contentTypeDescription="Create a new document." ma:contentTypeScope="" ma:versionID="70544b0716d1f2dd0e24adda29a3d132">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3B8FCBE5-DC3A-4133-9A7B-7CABB6178323}">
  <ds:schemaRefs>
    <ds:schemaRef ds:uri="http://schemas.microsoft.com/sharepoint/v3/contenttype/forms"/>
  </ds:schemaRefs>
</ds:datastoreItem>
</file>

<file path=customXml/itemProps2.xml><?xml version="1.0" encoding="utf-8"?>
<ds:datastoreItem xmlns:ds="http://schemas.openxmlformats.org/officeDocument/2006/customXml" ds:itemID="{677EA480-9029-43DF-B2CD-874C0C4FCFF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CFF1E9B8-B163-4EA4-B096-E0C9303C24CF}">
  <ds:schemaRefs>
    <ds:schemaRef ds:uri="http://schemas.microsoft.com/office/2006/documentManagement/types"/>
    <ds:schemaRef ds:uri="http://purl.org/dc/elements/1.1/"/>
    <ds:schemaRef ds:uri="http://schemas.openxmlformats.org/package/2006/metadata/core-properties"/>
    <ds:schemaRef ds:uri="http://schemas.microsoft.com/office/2006/metadata/properties"/>
    <ds:schemaRef ds:uri="http://purl.org/dc/terms/"/>
    <ds:schemaRef ds:uri="http://purl.org/dc/dcmitype/"/>
    <ds:schemaRef ds:uri="http://www.w3.org/XML/1998/namespace"/>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Main</vt:lpstr>
      <vt:lpstr>Monkeypox</vt:lpstr>
      <vt:lpstr>Model</vt:lpstr>
      <vt:lpstr>Potential award</vt:lpstr>
      <vt:lpstr>TPOXX</vt:lpstr>
      <vt:lpstr>Legal</vt:lpstr>
      <vt:lpstr>Pipeline</vt:lpstr>
      <vt:lpstr>Main!Print_Area</vt:lpstr>
    </vt:vector>
  </TitlesOfParts>
  <Company>Elea Capital Management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Shkreli</dc:creator>
  <cp:lastModifiedBy>Martin Shkreli</cp:lastModifiedBy>
  <cp:lastPrinted>2014-09-17T20:22:08Z</cp:lastPrinted>
  <dcterms:created xsi:type="dcterms:W3CDTF">2007-08-26T21:11:59Z</dcterms:created>
  <dcterms:modified xsi:type="dcterms:W3CDTF">2022-08-08T13:22:55Z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0x010100764A4B226BE2F34C80DFAA3D37A3CB30</vt:lpwstr>
  </property>
</Properties>
</file>