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A1C6A2E6-7CFA-4C5A-A172-E92B0742F909}" xr6:coauthVersionLast="47" xr6:coauthVersionMax="47" xr10:uidLastSave="{00000000-0000-0000-0000-000000000000}"/>
  <bookViews>
    <workbookView xWindow="-39705" yWindow="1980" windowWidth="28230" windowHeight="17955" activeTab="1"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1" l="1"/>
  <c r="J5" i="1"/>
  <c r="CR111" i="27"/>
  <c r="CR105" i="27"/>
  <c r="CR107" i="27"/>
  <c r="CR99" i="27"/>
  <c r="CR97" i="27"/>
  <c r="CR88" i="27"/>
  <c r="CQ88" i="27"/>
  <c r="CQ111" i="27"/>
  <c r="CQ105" i="27"/>
  <c r="CQ107" i="27"/>
  <c r="CQ99" i="27"/>
  <c r="CQ97" i="27"/>
  <c r="CS7" i="27"/>
  <c r="CT7" i="27" s="1"/>
  <c r="CU7" i="27" s="1"/>
  <c r="CV7" i="27" s="1"/>
  <c r="CW7" i="27" s="1"/>
  <c r="CX7" i="27" s="1"/>
  <c r="CS4" i="27"/>
  <c r="CT4" i="27" s="1"/>
  <c r="CU4" i="27" s="1"/>
  <c r="CV4" i="27" s="1"/>
  <c r="CW4" i="27" s="1"/>
  <c r="CX4" i="27" s="1"/>
  <c r="CS3" i="27"/>
  <c r="CT3" i="27" s="1"/>
  <c r="CU3" i="27" s="1"/>
  <c r="CV3" i="27" s="1"/>
  <c r="CW3" i="27" s="1"/>
  <c r="CX3" i="27" s="1"/>
  <c r="CS9" i="27"/>
  <c r="CT9" i="27" s="1"/>
  <c r="CU9" i="27" s="1"/>
  <c r="CV9" i="27" s="1"/>
  <c r="CW9" i="27" s="1"/>
  <c r="CX9" i="27" s="1"/>
  <c r="CS8" i="27"/>
  <c r="CT8" i="27" s="1"/>
  <c r="CU8" i="27" s="1"/>
  <c r="CV8" i="27" s="1"/>
  <c r="CW8" i="27" s="1"/>
  <c r="CX8" i="27" s="1"/>
  <c r="CT10" i="27"/>
  <c r="CU10" i="27" s="1"/>
  <c r="CV10" i="27" s="1"/>
  <c r="CW10" i="27" s="1"/>
  <c r="CX10" i="27" s="1"/>
  <c r="CS10" i="27"/>
  <c r="CX13" i="27"/>
  <c r="CW13" i="27"/>
  <c r="CV13" i="27"/>
  <c r="CU13" i="27"/>
  <c r="CT13" i="27"/>
  <c r="CS13" i="27"/>
  <c r="CX17" i="27"/>
  <c r="CW17" i="27"/>
  <c r="CV17" i="27"/>
  <c r="CU17" i="27"/>
  <c r="CT17" i="27"/>
  <c r="CS17" i="27"/>
  <c r="CX18" i="27"/>
  <c r="CW18" i="27"/>
  <c r="CV18" i="27"/>
  <c r="CU18" i="27"/>
  <c r="CT18" i="27"/>
  <c r="CS18" i="27"/>
  <c r="CX19" i="27"/>
  <c r="CW19" i="27"/>
  <c r="CV19" i="27"/>
  <c r="CU19" i="27"/>
  <c r="CT19" i="27"/>
  <c r="CS19" i="27"/>
  <c r="CX20" i="27"/>
  <c r="CW20" i="27"/>
  <c r="CV20" i="27"/>
  <c r="CU20" i="27"/>
  <c r="CT20" i="27"/>
  <c r="CS20" i="27"/>
  <c r="CX21" i="27"/>
  <c r="CW21" i="27"/>
  <c r="CV21" i="27"/>
  <c r="CU21" i="27"/>
  <c r="CT21" i="27"/>
  <c r="CS21" i="27"/>
  <c r="CX22" i="27"/>
  <c r="CW22" i="27"/>
  <c r="CV22" i="27"/>
  <c r="CU22" i="27"/>
  <c r="CT22" i="27"/>
  <c r="CS22" i="27"/>
  <c r="CX23" i="27"/>
  <c r="CW23" i="27"/>
  <c r="CV23" i="27"/>
  <c r="CU23" i="27"/>
  <c r="CT23" i="27"/>
  <c r="CS23" i="27"/>
  <c r="CX25" i="27"/>
  <c r="CW25" i="27"/>
  <c r="CV25" i="27"/>
  <c r="CU25" i="27"/>
  <c r="CT25" i="27"/>
  <c r="CS25" i="27"/>
  <c r="CX26" i="27"/>
  <c r="CW26" i="27"/>
  <c r="CV26" i="27"/>
  <c r="CU26" i="27"/>
  <c r="CT26" i="27"/>
  <c r="CS26" i="27"/>
  <c r="CW27" i="27"/>
  <c r="CV27" i="27"/>
  <c r="CU27" i="27"/>
  <c r="CT27" i="27"/>
  <c r="CX27" i="27" s="1"/>
  <c r="CS27" i="27"/>
  <c r="CX28" i="27"/>
  <c r="CW28" i="27"/>
  <c r="CV28" i="27"/>
  <c r="CU28" i="27"/>
  <c r="CT28" i="27"/>
  <c r="CS28" i="27"/>
  <c r="CX29" i="27"/>
  <c r="CW29" i="27"/>
  <c r="CV29" i="27"/>
  <c r="CU29" i="27"/>
  <c r="CT29" i="27"/>
  <c r="CS29" i="27"/>
  <c r="CX30" i="27"/>
  <c r="CW30" i="27"/>
  <c r="CV30" i="27"/>
  <c r="CU30" i="27"/>
  <c r="CT30" i="27"/>
  <c r="CS30" i="27"/>
  <c r="CX31" i="27"/>
  <c r="CW31" i="27"/>
  <c r="CV31" i="27"/>
  <c r="CU31" i="27"/>
  <c r="CT31" i="27"/>
  <c r="CS31" i="27"/>
  <c r="CX32" i="27"/>
  <c r="CW32" i="27"/>
  <c r="CV32" i="27"/>
  <c r="CU32" i="27"/>
  <c r="CT32" i="27"/>
  <c r="CS32" i="27"/>
  <c r="CX34" i="27"/>
  <c r="CW34" i="27"/>
  <c r="CV34" i="27"/>
  <c r="CU34" i="27"/>
  <c r="CT34" i="27"/>
  <c r="CS34" i="27"/>
  <c r="CX35" i="27"/>
  <c r="CW35" i="27"/>
  <c r="CV35" i="27"/>
  <c r="CU35" i="27"/>
  <c r="CT35" i="27"/>
  <c r="CS35" i="27"/>
  <c r="CX36" i="27"/>
  <c r="CW36" i="27"/>
  <c r="CV36" i="27"/>
  <c r="CU36" i="27"/>
  <c r="CT36" i="27"/>
  <c r="CS36" i="27"/>
  <c r="CR60" i="27"/>
  <c r="CQ60" i="27"/>
  <c r="CQ39" i="27"/>
  <c r="CN39" i="27"/>
  <c r="CR39" i="27"/>
  <c r="DY36" i="27"/>
  <c r="DZ36" i="27" s="1"/>
  <c r="EA36" i="27" s="1"/>
  <c r="EB36" i="27" s="1"/>
  <c r="EC36" i="27" s="1"/>
  <c r="ED36" i="27" s="1"/>
  <c r="EE36" i="27" s="1"/>
  <c r="EF36" i="27" s="1"/>
  <c r="EG36" i="27" s="1"/>
  <c r="EH36" i="27" s="1"/>
  <c r="EI36" i="27" s="1"/>
  <c r="EJ36" i="27" s="1"/>
  <c r="DW36" i="27"/>
  <c r="EA46" i="27"/>
  <c r="DW43" i="27"/>
  <c r="DX43" i="27" s="1"/>
  <c r="DV43" i="27"/>
  <c r="DV44" i="27" s="1"/>
  <c r="DU43" i="27"/>
  <c r="DU44" i="27" s="1"/>
  <c r="DW51" i="27"/>
  <c r="DZ11" i="27"/>
  <c r="EA11" i="27" s="1"/>
  <c r="EB11" i="27" s="1"/>
  <c r="EC11" i="27" s="1"/>
  <c r="ED11" i="27" s="1"/>
  <c r="EE11" i="27" s="1"/>
  <c r="EF11" i="27" s="1"/>
  <c r="EG11" i="27" s="1"/>
  <c r="EH11" i="27" s="1"/>
  <c r="EI11" i="27" s="1"/>
  <c r="EJ11" i="27" s="1"/>
  <c r="DY10" i="27"/>
  <c r="DZ10" i="27" s="1"/>
  <c r="EA10" i="27" s="1"/>
  <c r="EB10" i="27" s="1"/>
  <c r="EC10" i="27" s="1"/>
  <c r="ED10" i="27" s="1"/>
  <c r="EE10" i="27" s="1"/>
  <c r="EF10" i="27" s="1"/>
  <c r="EG10" i="27" s="1"/>
  <c r="EH10" i="27" s="1"/>
  <c r="EI10" i="27" s="1"/>
  <c r="EJ10" i="27" s="1"/>
  <c r="DY9" i="27"/>
  <c r="DZ9" i="27" s="1"/>
  <c r="EA9" i="27" s="1"/>
  <c r="EB9" i="27" s="1"/>
  <c r="EC9" i="27" s="1"/>
  <c r="ED9" i="27" s="1"/>
  <c r="EE9" i="27" s="1"/>
  <c r="EF9" i="27" s="1"/>
  <c r="EG9" i="27" s="1"/>
  <c r="EH9" i="27" s="1"/>
  <c r="EI9" i="27" s="1"/>
  <c r="EJ9"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Z55" i="27"/>
  <c r="BZ54" i="27"/>
  <c r="BZ53" i="27"/>
  <c r="BV46" i="27"/>
  <c r="BZ46" i="27"/>
  <c r="BV44" i="27"/>
  <c r="BV39" i="27"/>
  <c r="BV41" i="27" s="1"/>
  <c r="BV53" i="27" s="1"/>
  <c r="BW46" i="27"/>
  <c r="CA46" i="27"/>
  <c r="BW44" i="27"/>
  <c r="BW39" i="27"/>
  <c r="BW41" i="27" s="1"/>
  <c r="BW53" i="27" s="1"/>
  <c r="CK46" i="27"/>
  <c r="CL46" i="27"/>
  <c r="CL39" i="27"/>
  <c r="CL41" i="27" s="1"/>
  <c r="BX46" i="27"/>
  <c r="CB44" i="27"/>
  <c r="CA44" i="27"/>
  <c r="BZ44" i="27"/>
  <c r="BY44" i="27"/>
  <c r="BX44" i="27"/>
  <c r="CB39" i="27"/>
  <c r="CB41" i="27" s="1"/>
  <c r="CB53" i="27" s="1"/>
  <c r="CA39" i="27"/>
  <c r="CA41" i="27" s="1"/>
  <c r="CA53" i="27" s="1"/>
  <c r="BZ39" i="27"/>
  <c r="BZ41" i="27" s="1"/>
  <c r="BY39" i="27"/>
  <c r="BY41" i="27" s="1"/>
  <c r="BX39" i="27"/>
  <c r="BX41" i="27" s="1"/>
  <c r="BX53" i="27" s="1"/>
  <c r="CL69" i="27"/>
  <c r="CK69" i="27"/>
  <c r="CI69" i="27"/>
  <c r="CH69" i="27"/>
  <c r="CG69" i="27"/>
  <c r="CJ69" i="27"/>
  <c r="CF46" i="27"/>
  <c r="CJ46" i="27"/>
  <c r="CN43" i="27"/>
  <c r="CM43" i="27"/>
  <c r="CP43" i="27"/>
  <c r="CO43" i="27"/>
  <c r="CN42" i="27"/>
  <c r="CM42" i="27"/>
  <c r="CP42" i="27"/>
  <c r="CO42" i="27"/>
  <c r="CM51" i="27"/>
  <c r="CK44" i="27"/>
  <c r="CN69" i="27"/>
  <c r="CM69" i="27"/>
  <c r="CP69" i="27"/>
  <c r="CO69" i="27"/>
  <c r="CL67" i="27"/>
  <c r="CK67" i="27"/>
  <c r="CO67" i="27"/>
  <c r="CN67" i="27"/>
  <c r="CM67" i="27"/>
  <c r="CP67" i="27"/>
  <c r="CI67" i="27"/>
  <c r="CH67" i="27"/>
  <c r="CG67" i="27"/>
  <c r="CJ67" i="27"/>
  <c r="CJ44" i="27"/>
  <c r="CJ39" i="27"/>
  <c r="CJ41" i="27" s="1"/>
  <c r="CJ53" i="27" s="1"/>
  <c r="CC44" i="27"/>
  <c r="CC39" i="27"/>
  <c r="CC41" i="27" s="1"/>
  <c r="CC53" i="27" s="1"/>
  <c r="DT44" i="27"/>
  <c r="DT45" i="27" s="1"/>
  <c r="DS44" i="27"/>
  <c r="DS45" i="27" s="1"/>
  <c r="CD44" i="27"/>
  <c r="CD39" i="27"/>
  <c r="CD41" i="27" s="1"/>
  <c r="CD53" i="27" s="1"/>
  <c r="CS39" i="27" l="1"/>
  <c r="CS60" i="27" s="1"/>
  <c r="CT39" i="27"/>
  <c r="CT60" i="27" s="1"/>
  <c r="CU39" i="27"/>
  <c r="CU60" i="27" s="1"/>
  <c r="CV39" i="27"/>
  <c r="CV60" i="27" s="1"/>
  <c r="CW39" i="27"/>
  <c r="CX39" i="27"/>
  <c r="DX29" i="27"/>
  <c r="DY29" i="27" s="1"/>
  <c r="DZ29" i="27" s="1"/>
  <c r="EA29" i="27" s="1"/>
  <c r="EB29" i="27" s="1"/>
  <c r="EC29" i="27" s="1"/>
  <c r="ED29" i="27" s="1"/>
  <c r="EE29" i="27" s="1"/>
  <c r="EF29" i="27" s="1"/>
  <c r="EG29" i="27" s="1"/>
  <c r="EH29" i="27" s="1"/>
  <c r="EI29" i="27" s="1"/>
  <c r="EJ29" i="27" s="1"/>
  <c r="DX30" i="27"/>
  <c r="DY30" i="27" s="1"/>
  <c r="DZ30" i="27" s="1"/>
  <c r="EA30" i="27" s="1"/>
  <c r="EB30" i="27" s="1"/>
  <c r="EC30" i="27" s="1"/>
  <c r="ED30" i="27" s="1"/>
  <c r="EE30" i="27" s="1"/>
  <c r="EF30" i="27" s="1"/>
  <c r="EG30" i="27" s="1"/>
  <c r="EH30" i="27" s="1"/>
  <c r="EI30" i="27" s="1"/>
  <c r="EJ30" i="27" s="1"/>
  <c r="DX24" i="27"/>
  <c r="DY24" i="27" s="1"/>
  <c r="DZ24" i="27" s="1"/>
  <c r="EA24" i="27" s="1"/>
  <c r="EB24" i="27" s="1"/>
  <c r="EC24" i="27" s="1"/>
  <c r="ED24" i="27" s="1"/>
  <c r="EE24" i="27" s="1"/>
  <c r="EF24" i="27" s="1"/>
  <c r="EG24" i="27" s="1"/>
  <c r="EH24" i="27" s="1"/>
  <c r="EI24" i="27" s="1"/>
  <c r="EJ24" i="27" s="1"/>
  <c r="DX28" i="27"/>
  <c r="DY28" i="27" s="1"/>
  <c r="DZ28" i="27" s="1"/>
  <c r="EA28" i="27" s="1"/>
  <c r="EB28" i="27" s="1"/>
  <c r="EC28" i="27" s="1"/>
  <c r="ED28" i="27" s="1"/>
  <c r="EE28" i="27" s="1"/>
  <c r="EF28" i="27" s="1"/>
  <c r="EG28" i="27" s="1"/>
  <c r="EH28" i="27" s="1"/>
  <c r="EI28" i="27" s="1"/>
  <c r="EJ28" i="27" s="1"/>
  <c r="DX21" i="27"/>
  <c r="DY21" i="27" s="1"/>
  <c r="DZ21" i="27" s="1"/>
  <c r="EA21" i="27" s="1"/>
  <c r="EB21" i="27" s="1"/>
  <c r="EC21" i="27" s="1"/>
  <c r="ED21" i="27" s="1"/>
  <c r="EE21" i="27" s="1"/>
  <c r="EF21" i="27" s="1"/>
  <c r="EG21" i="27" s="1"/>
  <c r="EH21" i="27" s="1"/>
  <c r="EI21" i="27" s="1"/>
  <c r="EJ21" i="27" s="1"/>
  <c r="DW37" i="27"/>
  <c r="DW39" i="27" s="1"/>
  <c r="DW41" i="27" s="1"/>
  <c r="DX7" i="27"/>
  <c r="DY7" i="27" s="1"/>
  <c r="DZ7" i="27" s="1"/>
  <c r="EA7" i="27" s="1"/>
  <c r="EB7" i="27" s="1"/>
  <c r="EC7" i="27" s="1"/>
  <c r="ED7" i="27" s="1"/>
  <c r="EE7" i="27" s="1"/>
  <c r="EF7" i="27" s="1"/>
  <c r="EG7" i="27" s="1"/>
  <c r="EH7" i="27" s="1"/>
  <c r="EI7" i="27" s="1"/>
  <c r="EJ7" i="27" s="1"/>
  <c r="CM46" i="27"/>
  <c r="DX31" i="27"/>
  <c r="DY31" i="27" s="1"/>
  <c r="DZ31" i="27" s="1"/>
  <c r="EA31" i="27" s="1"/>
  <c r="EB31" i="27" s="1"/>
  <c r="EC31" i="27" s="1"/>
  <c r="ED31" i="27" s="1"/>
  <c r="EE31" i="27" s="1"/>
  <c r="EF31" i="27" s="1"/>
  <c r="EG31" i="27" s="1"/>
  <c r="EH31" i="27" s="1"/>
  <c r="EI31" i="27" s="1"/>
  <c r="EJ31" i="27" s="1"/>
  <c r="DX4" i="27"/>
  <c r="DY4" i="27" s="1"/>
  <c r="DZ4" i="27" s="1"/>
  <c r="EA4" i="27" s="1"/>
  <c r="EB4" i="27" s="1"/>
  <c r="EC4" i="27" s="1"/>
  <c r="ED4" i="27" s="1"/>
  <c r="EE4" i="27" s="1"/>
  <c r="EF4" i="27" s="1"/>
  <c r="EG4" i="27" s="1"/>
  <c r="EH4" i="27" s="1"/>
  <c r="EI4" i="27" s="1"/>
  <c r="EJ4" i="27" s="1"/>
  <c r="DX16" i="27"/>
  <c r="DY16" i="27" s="1"/>
  <c r="DZ16" i="27" s="1"/>
  <c r="EA16" i="27" s="1"/>
  <c r="EB16" i="27" s="1"/>
  <c r="EC16" i="27" s="1"/>
  <c r="ED16" i="27" s="1"/>
  <c r="EE16" i="27" s="1"/>
  <c r="EF16" i="27" s="1"/>
  <c r="EG16" i="27" s="1"/>
  <c r="EH16" i="27" s="1"/>
  <c r="EI16" i="27" s="1"/>
  <c r="EJ16" i="27" s="1"/>
  <c r="DX22" i="27"/>
  <c r="DY22" i="27" s="1"/>
  <c r="DZ22" i="27" s="1"/>
  <c r="EA22" i="27" s="1"/>
  <c r="EB22" i="27" s="1"/>
  <c r="EC22" i="27" s="1"/>
  <c r="ED22" i="27" s="1"/>
  <c r="EE22" i="27" s="1"/>
  <c r="EF22" i="27" s="1"/>
  <c r="EG22" i="27" s="1"/>
  <c r="EH22" i="27" s="1"/>
  <c r="EI22" i="27" s="1"/>
  <c r="EJ22" i="27" s="1"/>
  <c r="DX18" i="27"/>
  <c r="DY18" i="27" s="1"/>
  <c r="DZ18" i="27" s="1"/>
  <c r="EA18" i="27" s="1"/>
  <c r="EB18" i="27" s="1"/>
  <c r="EC18" i="27" s="1"/>
  <c r="ED18" i="27" s="1"/>
  <c r="EE18" i="27" s="1"/>
  <c r="EF18" i="27" s="1"/>
  <c r="EG18" i="27" s="1"/>
  <c r="EH18" i="27" s="1"/>
  <c r="EI18" i="27" s="1"/>
  <c r="EJ18" i="27" s="1"/>
  <c r="DX33" i="27"/>
  <c r="DY33" i="27" s="1"/>
  <c r="DZ33" i="27" s="1"/>
  <c r="EA33" i="27" s="1"/>
  <c r="EB33" i="27" s="1"/>
  <c r="EC33" i="27" s="1"/>
  <c r="ED33" i="27" s="1"/>
  <c r="EE33" i="27" s="1"/>
  <c r="EF33" i="27" s="1"/>
  <c r="EG33" i="27" s="1"/>
  <c r="EH33" i="27" s="1"/>
  <c r="EI33" i="27" s="1"/>
  <c r="EJ33" i="27" s="1"/>
  <c r="DX3" i="27"/>
  <c r="DY3" i="27" s="1"/>
  <c r="DX25" i="27"/>
  <c r="DY25" i="27" s="1"/>
  <c r="DZ25" i="27" s="1"/>
  <c r="EA25" i="27" s="1"/>
  <c r="EB25" i="27" s="1"/>
  <c r="EC25" i="27" s="1"/>
  <c r="ED25" i="27" s="1"/>
  <c r="EE25" i="27" s="1"/>
  <c r="EF25" i="27" s="1"/>
  <c r="EG25" i="27" s="1"/>
  <c r="EH25" i="27" s="1"/>
  <c r="EI25" i="27" s="1"/>
  <c r="EJ25" i="27" s="1"/>
  <c r="DX8" i="27"/>
  <c r="DY8" i="27" s="1"/>
  <c r="DZ8" i="27" s="1"/>
  <c r="EA8" i="27" s="1"/>
  <c r="EB8" i="27" s="1"/>
  <c r="EC8" i="27" s="1"/>
  <c r="ED8" i="27" s="1"/>
  <c r="EE8" i="27" s="1"/>
  <c r="EF8" i="27" s="1"/>
  <c r="EG8" i="27" s="1"/>
  <c r="EH8" i="27" s="1"/>
  <c r="EI8" i="27" s="1"/>
  <c r="EJ8" i="27" s="1"/>
  <c r="DX27" i="27"/>
  <c r="DY27" i="27" s="1"/>
  <c r="DZ27" i="27" s="1"/>
  <c r="EA27" i="27" s="1"/>
  <c r="EB27" i="27" s="1"/>
  <c r="EC27" i="27" s="1"/>
  <c r="ED27" i="27" s="1"/>
  <c r="EE27" i="27" s="1"/>
  <c r="EF27" i="27" s="1"/>
  <c r="EG27" i="27" s="1"/>
  <c r="EH27" i="27" s="1"/>
  <c r="EI27" i="27" s="1"/>
  <c r="EJ27" i="27" s="1"/>
  <c r="DT37" i="27"/>
  <c r="DX23" i="27"/>
  <c r="DY23" i="27" s="1"/>
  <c r="DZ23" i="27" s="1"/>
  <c r="EA23" i="27" s="1"/>
  <c r="EB23" i="27" s="1"/>
  <c r="EC23" i="27" s="1"/>
  <c r="ED23" i="27" s="1"/>
  <c r="EE23" i="27" s="1"/>
  <c r="EF23" i="27" s="1"/>
  <c r="EG23" i="27" s="1"/>
  <c r="EH23" i="27" s="1"/>
  <c r="EI23" i="27" s="1"/>
  <c r="EJ23" i="27" s="1"/>
  <c r="DX6" i="27"/>
  <c r="DY6" i="27" s="1"/>
  <c r="DZ6" i="27" s="1"/>
  <c r="EA6" i="27" s="1"/>
  <c r="EB6" i="27" s="1"/>
  <c r="EC6" i="27" s="1"/>
  <c r="ED6" i="27" s="1"/>
  <c r="EE6" i="27" s="1"/>
  <c r="EF6" i="27" s="1"/>
  <c r="EG6" i="27" s="1"/>
  <c r="EH6" i="27" s="1"/>
  <c r="EI6" i="27" s="1"/>
  <c r="EJ6" i="27" s="1"/>
  <c r="DX17" i="27"/>
  <c r="DY17" i="27" s="1"/>
  <c r="DZ17" i="27" s="1"/>
  <c r="EA17" i="27" s="1"/>
  <c r="EB17" i="27" s="1"/>
  <c r="EC17" i="27" s="1"/>
  <c r="ED17" i="27" s="1"/>
  <c r="EE17" i="27" s="1"/>
  <c r="EF17" i="27" s="1"/>
  <c r="EG17" i="27" s="1"/>
  <c r="EH17" i="27" s="1"/>
  <c r="EI17" i="27" s="1"/>
  <c r="EJ17" i="27" s="1"/>
  <c r="DX44" i="27"/>
  <c r="DY43" i="27"/>
  <c r="DY44" i="27" s="1"/>
  <c r="BW54" i="27"/>
  <c r="BW55" i="27"/>
  <c r="CA55" i="27"/>
  <c r="DW44" i="27"/>
  <c r="DW46" i="27"/>
  <c r="BX55" i="27"/>
  <c r="BV55" i="27"/>
  <c r="BX54" i="27"/>
  <c r="BV54" i="27"/>
  <c r="DX19" i="27"/>
  <c r="DY19" i="27" s="1"/>
  <c r="DZ19" i="27" s="1"/>
  <c r="EA19" i="27" s="1"/>
  <c r="EB19" i="27" s="1"/>
  <c r="EC19" i="27" s="1"/>
  <c r="ED19" i="27" s="1"/>
  <c r="EE19" i="27" s="1"/>
  <c r="EF19" i="27" s="1"/>
  <c r="EG19" i="27" s="1"/>
  <c r="EH19" i="27" s="1"/>
  <c r="EI19" i="27" s="1"/>
  <c r="EJ19" i="27" s="1"/>
  <c r="DX20" i="27"/>
  <c r="DY20" i="27" s="1"/>
  <c r="DZ20" i="27" s="1"/>
  <c r="EA20" i="27" s="1"/>
  <c r="EB20" i="27" s="1"/>
  <c r="EC20" i="27" s="1"/>
  <c r="ED20" i="27" s="1"/>
  <c r="EE20" i="27" s="1"/>
  <c r="EF20" i="27" s="1"/>
  <c r="EG20" i="27" s="1"/>
  <c r="EH20" i="27" s="1"/>
  <c r="EI20" i="27" s="1"/>
  <c r="EJ20" i="27" s="1"/>
  <c r="CA54" i="27"/>
  <c r="DX26" i="27"/>
  <c r="DV37" i="27"/>
  <c r="DV39" i="27" s="1"/>
  <c r="DV41" i="27" s="1"/>
  <c r="DU37" i="27"/>
  <c r="DU39" i="27" s="1"/>
  <c r="DU41" i="27" s="1"/>
  <c r="BV45" i="27"/>
  <c r="BW45" i="27"/>
  <c r="CM44" i="27"/>
  <c r="CJ54" i="27"/>
  <c r="CN44" i="27"/>
  <c r="CP44" i="27"/>
  <c r="CL44" i="27"/>
  <c r="CL45" i="27" s="1"/>
  <c r="CJ55" i="27"/>
  <c r="CB54" i="27"/>
  <c r="CB55" i="27"/>
  <c r="CO44" i="27"/>
  <c r="BY45" i="27"/>
  <c r="BY47" i="27" s="1"/>
  <c r="BY49" i="27" s="1"/>
  <c r="BY50" i="27" s="1"/>
  <c r="BZ45" i="27"/>
  <c r="CA45" i="27"/>
  <c r="BX45" i="27"/>
  <c r="CB45" i="27"/>
  <c r="CN46" i="27"/>
  <c r="CN51" i="27"/>
  <c r="CK39" i="27"/>
  <c r="CK41" i="27" s="1"/>
  <c r="CJ45" i="27"/>
  <c r="CC54" i="27"/>
  <c r="CC55" i="27"/>
  <c r="CC45" i="27"/>
  <c r="CD54" i="27"/>
  <c r="CD55" i="27"/>
  <c r="CD45" i="27"/>
  <c r="CW60" i="27" l="1"/>
  <c r="CX60" i="27"/>
  <c r="DZ43" i="27"/>
  <c r="EA43" i="27" s="1"/>
  <c r="DV45" i="27"/>
  <c r="DV56" i="27" s="1"/>
  <c r="DV53" i="27"/>
  <c r="CA47" i="27"/>
  <c r="CA56" i="27"/>
  <c r="BX47" i="27"/>
  <c r="BX56" i="27"/>
  <c r="DY26" i="27"/>
  <c r="DZ26" i="27" s="1"/>
  <c r="EA26" i="27" s="1"/>
  <c r="EB26" i="27" s="1"/>
  <c r="EC26" i="27" s="1"/>
  <c r="ED26" i="27" s="1"/>
  <c r="EE26" i="27" s="1"/>
  <c r="EF26" i="27" s="1"/>
  <c r="EG26" i="27" s="1"/>
  <c r="EH26" i="27" s="1"/>
  <c r="EI26" i="27" s="1"/>
  <c r="EJ26" i="27" s="1"/>
  <c r="BV47" i="27"/>
  <c r="BV56" i="27"/>
  <c r="DW45" i="27"/>
  <c r="DW47" i="27" s="1"/>
  <c r="DW49" i="27" s="1"/>
  <c r="DW50" i="27" s="1"/>
  <c r="DW53" i="27"/>
  <c r="BZ47" i="27"/>
  <c r="BZ56" i="27"/>
  <c r="DZ3" i="27"/>
  <c r="BW47" i="27"/>
  <c r="BW49" i="27" s="1"/>
  <c r="BW56" i="27"/>
  <c r="DU45" i="27"/>
  <c r="DU56" i="27" s="1"/>
  <c r="DU53" i="27"/>
  <c r="CB56" i="27"/>
  <c r="CB47" i="27"/>
  <c r="CK54" i="27"/>
  <c r="CK45" i="27"/>
  <c r="CK47" i="27" s="1"/>
  <c r="CO46" i="27"/>
  <c r="CO51" i="27"/>
  <c r="CK55" i="27"/>
  <c r="CJ56" i="27"/>
  <c r="CJ47" i="27"/>
  <c r="CC47" i="27"/>
  <c r="CC56" i="27"/>
  <c r="CD56" i="27"/>
  <c r="CD47" i="27"/>
  <c r="DZ44" i="27" l="1"/>
  <c r="DV47" i="27"/>
  <c r="BW50" i="27"/>
  <c r="BW57" i="27"/>
  <c r="BZ49" i="27"/>
  <c r="BZ58" i="27"/>
  <c r="BV49" i="27"/>
  <c r="BV58" i="27"/>
  <c r="DU47" i="27"/>
  <c r="DU49" i="27" s="1"/>
  <c r="DU50" i="27" s="1"/>
  <c r="CO39" i="27"/>
  <c r="EA3" i="27"/>
  <c r="BW58" i="27"/>
  <c r="BX49" i="27"/>
  <c r="BX58" i="27"/>
  <c r="CA49" i="27"/>
  <c r="CA58" i="27"/>
  <c r="EA44" i="27"/>
  <c r="EB43" i="27"/>
  <c r="DV49" i="27"/>
  <c r="DV57" i="27" s="1"/>
  <c r="CB58" i="27"/>
  <c r="CB49" i="27"/>
  <c r="CM39" i="27"/>
  <c r="CM41" i="27" s="1"/>
  <c r="CM45" i="27" s="1"/>
  <c r="CM47" i="27" s="1"/>
  <c r="CM48" i="27" s="1"/>
  <c r="CM58" i="27" s="1"/>
  <c r="CK53" i="27"/>
  <c r="CK56" i="27"/>
  <c r="CL47" i="27"/>
  <c r="CK58" i="27"/>
  <c r="CP46" i="27"/>
  <c r="CP51" i="27"/>
  <c r="DX51" i="27" s="1"/>
  <c r="DY51" i="27" s="1"/>
  <c r="DZ51" i="27" s="1"/>
  <c r="EA51" i="27" s="1"/>
  <c r="EB51" i="27" s="1"/>
  <c r="EC51" i="27" s="1"/>
  <c r="ED51" i="27" s="1"/>
  <c r="EE51" i="27" s="1"/>
  <c r="EF51" i="27" s="1"/>
  <c r="EG51" i="27" s="1"/>
  <c r="EH51" i="27" s="1"/>
  <c r="EI51" i="27" s="1"/>
  <c r="EJ51" i="27" s="1"/>
  <c r="CL54" i="27"/>
  <c r="CL55" i="27"/>
  <c r="DX38" i="27"/>
  <c r="CJ58" i="27"/>
  <c r="CJ49" i="27"/>
  <c r="CC58" i="27"/>
  <c r="CC49" i="27"/>
  <c r="CD49" i="27"/>
  <c r="CD58" i="27"/>
  <c r="CN41" i="27" l="1"/>
  <c r="CN45" i="27" s="1"/>
  <c r="CN47" i="27" s="1"/>
  <c r="CN48" i="27" s="1"/>
  <c r="CN58" i="27" s="1"/>
  <c r="DY38" i="27"/>
  <c r="BX50" i="27"/>
  <c r="BX57" i="27"/>
  <c r="EB3" i="27"/>
  <c r="DU57" i="27"/>
  <c r="CA50" i="27"/>
  <c r="CA57" i="27"/>
  <c r="BV50" i="27"/>
  <c r="BV57" i="27"/>
  <c r="BZ50" i="27"/>
  <c r="BZ57" i="27"/>
  <c r="EB44" i="27"/>
  <c r="EC43" i="27"/>
  <c r="CM54" i="27"/>
  <c r="CB57" i="27"/>
  <c r="CB50" i="27"/>
  <c r="CM55" i="27"/>
  <c r="DX35" i="27"/>
  <c r="CM53" i="27"/>
  <c r="CL56" i="27"/>
  <c r="CL53" i="27"/>
  <c r="CM56" i="27"/>
  <c r="CM49" i="27"/>
  <c r="CK49" i="27"/>
  <c r="CK57" i="27" s="1"/>
  <c r="CM40" i="27"/>
  <c r="CL58" i="27"/>
  <c r="CO41" i="27"/>
  <c r="CO45" i="27" s="1"/>
  <c r="CO47" i="27" s="1"/>
  <c r="CO48" i="27" s="1"/>
  <c r="CO58" i="27" s="1"/>
  <c r="CO54" i="27"/>
  <c r="CO55" i="27"/>
  <c r="CO60" i="27"/>
  <c r="CJ50" i="27"/>
  <c r="CJ57" i="27"/>
  <c r="CC57" i="27"/>
  <c r="CC50" i="27"/>
  <c r="CD57" i="27"/>
  <c r="CD50" i="27"/>
  <c r="CN60" i="27" l="1"/>
  <c r="CN54" i="27"/>
  <c r="CN55" i="27"/>
  <c r="CP39" i="27"/>
  <c r="CP55" i="27" s="1"/>
  <c r="DY35" i="27"/>
  <c r="DX37" i="27"/>
  <c r="DX39" i="27" s="1"/>
  <c r="DX41" i="27" s="1"/>
  <c r="EC3" i="27"/>
  <c r="DZ38" i="27"/>
  <c r="ED43" i="27"/>
  <c r="EC44" i="27"/>
  <c r="CN56" i="27"/>
  <c r="CK50" i="27"/>
  <c r="CN49" i="27"/>
  <c r="CN50" i="27" s="1"/>
  <c r="CN40" i="27"/>
  <c r="CL49" i="27"/>
  <c r="CL57" i="27" s="1"/>
  <c r="CM50" i="27"/>
  <c r="CM57" i="27"/>
  <c r="CN53" i="27"/>
  <c r="CO40" i="27"/>
  <c r="CO56" i="27"/>
  <c r="CO53" i="27"/>
  <c r="CO49" i="27"/>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69" i="27"/>
  <c r="AV72" i="27"/>
  <c r="AU72" i="27"/>
  <c r="AV71" i="27"/>
  <c r="AU71" i="27"/>
  <c r="AV63" i="27"/>
  <c r="AV46" i="27"/>
  <c r="AV44" i="27"/>
  <c r="AV38" i="27"/>
  <c r="AW38" i="27" s="1"/>
  <c r="AX38" i="27" s="1"/>
  <c r="AV37" i="27"/>
  <c r="AV5" i="27"/>
  <c r="AW16" i="27"/>
  <c r="AX16" i="27" s="1"/>
  <c r="AW18" i="27"/>
  <c r="AX18" i="27" s="1"/>
  <c r="AW19" i="27"/>
  <c r="AX19" i="27" s="1"/>
  <c r="AW20" i="27"/>
  <c r="AX20" i="27" s="1"/>
  <c r="AW29" i="27"/>
  <c r="AX29" i="27" s="1"/>
  <c r="AU3" i="27"/>
  <c r="AU63" i="27" s="1"/>
  <c r="AS51" i="27"/>
  <c r="AT51" i="27" s="1"/>
  <c r="DL51" i="27" s="1"/>
  <c r="DM51" i="27" s="1"/>
  <c r="DN51" i="27" s="1"/>
  <c r="DO51" i="27" s="1"/>
  <c r="DP51" i="27" s="1"/>
  <c r="DQ51" i="27" s="1"/>
  <c r="DR51" i="27" s="1"/>
  <c r="DS51" i="27" s="1"/>
  <c r="AS43" i="27"/>
  <c r="AS44" i="27" s="1"/>
  <c r="AR63" i="27"/>
  <c r="AR46" i="27"/>
  <c r="AR44" i="27"/>
  <c r="AR38" i="27"/>
  <c r="AR29" i="27"/>
  <c r="AS29" i="27" s="1"/>
  <c r="AT29" i="27" s="1"/>
  <c r="AR19" i="27"/>
  <c r="AV67" i="27" s="1"/>
  <c r="AR18" i="27"/>
  <c r="AS18" i="27" s="1"/>
  <c r="AT18" i="27" s="1"/>
  <c r="AR16" i="27"/>
  <c r="AV70" i="27" s="1"/>
  <c r="AR8" i="27"/>
  <c r="AR7" i="27"/>
  <c r="AV64" i="27" s="1"/>
  <c r="AR6" i="27"/>
  <c r="AR4" i="27"/>
  <c r="AV62" i="27" s="1"/>
  <c r="AQ46" i="27"/>
  <c r="AQ44" i="27"/>
  <c r="AQ19" i="27"/>
  <c r="AQ29" i="27"/>
  <c r="AQ18" i="27"/>
  <c r="AQ16" i="27"/>
  <c r="AQ8" i="27"/>
  <c r="AU8" i="27" s="1"/>
  <c r="AQ7" i="27"/>
  <c r="AU7" i="27" s="1"/>
  <c r="AU64" i="27" s="1"/>
  <c r="AQ6" i="27"/>
  <c r="AU6" i="27" s="1"/>
  <c r="AQ4" i="27"/>
  <c r="AU4" i="27" s="1"/>
  <c r="AU62" i="27" s="1"/>
  <c r="AT42" i="27"/>
  <c r="AT71" i="27" s="1"/>
  <c r="DK51" i="27"/>
  <c r="DK48" i="27"/>
  <c r="DK43" i="27"/>
  <c r="DK42" i="27"/>
  <c r="DK40" i="27"/>
  <c r="DK38" i="27"/>
  <c r="AQ72" i="27"/>
  <c r="AP72" i="27"/>
  <c r="AO72" i="27"/>
  <c r="AS71" i="27"/>
  <c r="AR71" i="27"/>
  <c r="AQ71" i="27"/>
  <c r="AP71" i="27"/>
  <c r="AO71" i="27"/>
  <c r="AS20" i="27"/>
  <c r="AT20" i="27" s="1"/>
  <c r="AU20" i="27" s="1"/>
  <c r="AU69" i="27" s="1"/>
  <c r="AT43" i="27"/>
  <c r="AR72" i="27"/>
  <c r="AP44" i="27"/>
  <c r="AP66" i="27"/>
  <c r="AP63" i="27"/>
  <c r="AT3" i="27"/>
  <c r="AT63" i="27" s="1"/>
  <c r="AS3" i="27"/>
  <c r="AW3" i="27" s="1"/>
  <c r="AQ63" i="27"/>
  <c r="AP29" i="27"/>
  <c r="AP19" i="27"/>
  <c r="DK19" i="27" s="1"/>
  <c r="AP18" i="27"/>
  <c r="AP16" i="27"/>
  <c r="AP8" i="27"/>
  <c r="AT8" i="27" s="1"/>
  <c r="AP7" i="27"/>
  <c r="AT7" i="27" s="1"/>
  <c r="AX7" i="27" s="1"/>
  <c r="AP6" i="27"/>
  <c r="AT6" i="27" s="1"/>
  <c r="AX6" i="27" s="1"/>
  <c r="AP4" i="27"/>
  <c r="AP5" i="27" s="1"/>
  <c r="AO66" i="27"/>
  <c r="AO63" i="27"/>
  <c r="AO46" i="27"/>
  <c r="AO44" i="27"/>
  <c r="AO29" i="27"/>
  <c r="AO18" i="27"/>
  <c r="AO16" i="27"/>
  <c r="AO8" i="27"/>
  <c r="AS8" i="27" s="1"/>
  <c r="AW8" i="27" s="1"/>
  <c r="AO7" i="27"/>
  <c r="AS7" i="27" s="1"/>
  <c r="AO6" i="27"/>
  <c r="DK3" i="27"/>
  <c r="AO4" i="27"/>
  <c r="AO5" i="27" s="1"/>
  <c r="AN72" i="27"/>
  <c r="AN71" i="27"/>
  <c r="AN66" i="27"/>
  <c r="AN63" i="27"/>
  <c r="AN46" i="27"/>
  <c r="AN18" i="27"/>
  <c r="AN29" i="27"/>
  <c r="AN16" i="27"/>
  <c r="AN8" i="27"/>
  <c r="AN7" i="27"/>
  <c r="AN6" i="27"/>
  <c r="AN4" i="27"/>
  <c r="AN5" i="27" s="1"/>
  <c r="DD7" i="27"/>
  <c r="AM104" i="27"/>
  <c r="AM109" i="27" s="1"/>
  <c r="AM111" i="27" s="1"/>
  <c r="AM97" i="27"/>
  <c r="AM95" i="27"/>
  <c r="DJ3" i="27"/>
  <c r="AN44" i="27"/>
  <c r="DJ43" i="27"/>
  <c r="DJ42" i="27"/>
  <c r="DJ38" i="27"/>
  <c r="AM72" i="27"/>
  <c r="AM71" i="27"/>
  <c r="AM66" i="27"/>
  <c r="AM63"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6" i="27"/>
  <c r="AK66" i="27"/>
  <c r="AL66" i="27"/>
  <c r="AJ72" i="27"/>
  <c r="AJ44" i="27"/>
  <c r="AI72" i="27"/>
  <c r="AH72" i="27"/>
  <c r="AG72" i="27"/>
  <c r="AF72" i="27"/>
  <c r="AE72" i="27"/>
  <c r="AI71" i="27"/>
  <c r="AH71" i="27"/>
  <c r="AG71" i="27"/>
  <c r="AF71" i="27"/>
  <c r="AE71" i="27"/>
  <c r="AH15" i="27"/>
  <c r="AH18" i="27"/>
  <c r="AH16" i="27"/>
  <c r="AH8" i="27"/>
  <c r="AH7" i="27"/>
  <c r="AH6" i="27"/>
  <c r="AH4" i="27"/>
  <c r="AH5" i="27" s="1"/>
  <c r="AI66" i="27"/>
  <c r="AH66" i="27"/>
  <c r="AG66" i="27"/>
  <c r="AI63" i="27"/>
  <c r="AH63" i="27"/>
  <c r="AG63"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0"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3" i="27"/>
  <c r="AE66" i="27"/>
  <c r="AE44" i="27"/>
  <c r="AF66" i="27"/>
  <c r="AF63" i="27"/>
  <c r="AF44" i="27"/>
  <c r="DH51" i="27"/>
  <c r="DD3" i="27"/>
  <c r="DD63"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2"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4" i="27" s="1"/>
  <c r="Q7" i="27"/>
  <c r="R7" i="27"/>
  <c r="S7" i="27"/>
  <c r="T7" i="27"/>
  <c r="T64" i="27" s="1"/>
  <c r="U7" i="27"/>
  <c r="V7" i="27"/>
  <c r="W7" i="27"/>
  <c r="X7" i="27"/>
  <c r="Y7" i="27"/>
  <c r="Z7" i="27"/>
  <c r="I7" i="27"/>
  <c r="L7" i="27"/>
  <c r="L64" i="27" s="1"/>
  <c r="M7" i="27"/>
  <c r="N7" i="27"/>
  <c r="N64"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0" i="27" s="1"/>
  <c r="V16" i="27"/>
  <c r="V70" i="27" s="1"/>
  <c r="W16" i="27"/>
  <c r="X16" i="27"/>
  <c r="Y16" i="27"/>
  <c r="Y70" i="27" s="1"/>
  <c r="Z16" i="27"/>
  <c r="DG18" i="27"/>
  <c r="DA37" i="27"/>
  <c r="DA39" i="27" s="1"/>
  <c r="DA41" i="27" s="1"/>
  <c r="DB37" i="27"/>
  <c r="DB39" i="27" s="1"/>
  <c r="DC37" i="27"/>
  <c r="DC39" i="27" s="1"/>
  <c r="C37" i="27"/>
  <c r="D37" i="27"/>
  <c r="E37" i="27"/>
  <c r="F37" i="27"/>
  <c r="F39" i="27" s="1"/>
  <c r="F92" i="27" s="1"/>
  <c r="P37" i="27"/>
  <c r="DF38" i="27"/>
  <c r="DF66" i="27" s="1"/>
  <c r="DG38" i="27"/>
  <c r="C38" i="27"/>
  <c r="D38" i="27"/>
  <c r="E38" i="27"/>
  <c r="G38" i="27"/>
  <c r="H38" i="27"/>
  <c r="I38" i="27"/>
  <c r="M66" i="27" s="1"/>
  <c r="J38" i="27"/>
  <c r="N38" i="27"/>
  <c r="R66" i="27" s="1"/>
  <c r="O38" i="27"/>
  <c r="S66" i="27" s="1"/>
  <c r="P38" i="27"/>
  <c r="T66" i="27" s="1"/>
  <c r="Q38" i="27"/>
  <c r="Q66" i="27" s="1"/>
  <c r="DE42" i="27"/>
  <c r="DF42" i="27"/>
  <c r="DG42" i="27"/>
  <c r="DH42" i="27"/>
  <c r="DE43" i="27"/>
  <c r="DF43" i="27"/>
  <c r="DG43" i="27"/>
  <c r="DH43" i="27"/>
  <c r="G43" i="27"/>
  <c r="G44" i="27" s="1"/>
  <c r="H43" i="27"/>
  <c r="H44" i="27" s="1"/>
  <c r="I43" i="27"/>
  <c r="I44" i="27" s="1"/>
  <c r="J43" i="27"/>
  <c r="J44" i="27" s="1"/>
  <c r="K43" i="27"/>
  <c r="O72" i="27" s="1"/>
  <c r="M43" i="27"/>
  <c r="Q72"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2" i="27"/>
  <c r="DB63" i="27"/>
  <c r="DC63" i="27"/>
  <c r="G63" i="27"/>
  <c r="H63" i="27"/>
  <c r="I63" i="27"/>
  <c r="J63" i="27"/>
  <c r="K63" i="27"/>
  <c r="L63" i="27"/>
  <c r="M63" i="27"/>
  <c r="N63" i="27"/>
  <c r="O63" i="27"/>
  <c r="P63" i="27"/>
  <c r="Q63" i="27"/>
  <c r="R63" i="27"/>
  <c r="S63" i="27"/>
  <c r="T63" i="27"/>
  <c r="U63" i="27"/>
  <c r="V63" i="27"/>
  <c r="W63" i="27"/>
  <c r="X63" i="27"/>
  <c r="Y63" i="27"/>
  <c r="Z63" i="27"/>
  <c r="AA63" i="27"/>
  <c r="AB63" i="27"/>
  <c r="AC63" i="27"/>
  <c r="AD63" i="27"/>
  <c r="V66" i="27"/>
  <c r="W66" i="27"/>
  <c r="X66" i="27"/>
  <c r="Y66" i="27"/>
  <c r="Z66" i="27"/>
  <c r="AA66" i="27"/>
  <c r="AB66" i="27"/>
  <c r="AC66" i="27"/>
  <c r="AD66" i="27"/>
  <c r="U70" i="27"/>
  <c r="DN71" i="27"/>
  <c r="DO71" i="27"/>
  <c r="O71" i="27"/>
  <c r="P71" i="27"/>
  <c r="Q71" i="27"/>
  <c r="R71" i="27"/>
  <c r="S71" i="27"/>
  <c r="T71" i="27"/>
  <c r="U71" i="27"/>
  <c r="V71" i="27"/>
  <c r="W71" i="27"/>
  <c r="X71" i="27"/>
  <c r="Y71" i="27"/>
  <c r="Z71" i="27"/>
  <c r="AA71" i="27"/>
  <c r="AB71" i="27"/>
  <c r="AC71" i="27"/>
  <c r="AD71" i="27"/>
  <c r="P72" i="27"/>
  <c r="S72" i="27"/>
  <c r="T72" i="27"/>
  <c r="U72" i="27"/>
  <c r="V72" i="27"/>
  <c r="W72" i="27"/>
  <c r="X72" i="27"/>
  <c r="Y72" i="27"/>
  <c r="Z72" i="27"/>
  <c r="AA72" i="27"/>
  <c r="AB72" i="27"/>
  <c r="AC72" i="27"/>
  <c r="AD72" i="27"/>
  <c r="Q132" i="27"/>
  <c r="R132" i="27" s="1"/>
  <c r="S132" i="27" s="1"/>
  <c r="T132" i="27" s="1"/>
  <c r="Q138" i="27"/>
  <c r="R138" i="27" s="1"/>
  <c r="S138" i="27" s="1"/>
  <c r="T138" i="27" s="1"/>
  <c r="U138" i="27" s="1"/>
  <c r="F88" i="27"/>
  <c r="I103" i="27"/>
  <c r="I104" i="27" s="1"/>
  <c r="I109" i="27" s="1"/>
  <c r="I111" i="27" s="1"/>
  <c r="J88" i="27"/>
  <c r="K88" i="27"/>
  <c r="L88" i="27"/>
  <c r="M88" i="27"/>
  <c r="N88" i="27"/>
  <c r="O88" i="27"/>
  <c r="P89" i="27"/>
  <c r="P88" i="27" s="1"/>
  <c r="Q88" i="27"/>
  <c r="R88" i="27"/>
  <c r="S88" i="27"/>
  <c r="T88" i="27"/>
  <c r="U88" i="27"/>
  <c r="V88" i="27"/>
  <c r="W89" i="27"/>
  <c r="W88" i="27" s="1"/>
  <c r="X88" i="27"/>
  <c r="Y88" i="27"/>
  <c r="Z103" i="27"/>
  <c r="Z88" i="27" s="1"/>
  <c r="AA88" i="27"/>
  <c r="AB88" i="27"/>
  <c r="F95" i="27"/>
  <c r="I95" i="27"/>
  <c r="J95" i="27"/>
  <c r="K95" i="27"/>
  <c r="L95" i="27"/>
  <c r="M95" i="27"/>
  <c r="N95" i="27"/>
  <c r="O95" i="27"/>
  <c r="Q95" i="27"/>
  <c r="R95" i="27"/>
  <c r="S95" i="27"/>
  <c r="T95" i="27"/>
  <c r="U95" i="27"/>
  <c r="V95" i="27"/>
  <c r="X95" i="27"/>
  <c r="Y95" i="27"/>
  <c r="Z95" i="27"/>
  <c r="AA95" i="27"/>
  <c r="F97" i="27"/>
  <c r="I97" i="27"/>
  <c r="J97" i="27"/>
  <c r="K97" i="27"/>
  <c r="L97" i="27"/>
  <c r="M97" i="27"/>
  <c r="N97" i="27"/>
  <c r="O97" i="27"/>
  <c r="P97" i="27"/>
  <c r="Q97" i="27"/>
  <c r="R97" i="27"/>
  <c r="S97" i="27"/>
  <c r="T97" i="27"/>
  <c r="U97" i="27"/>
  <c r="V97" i="27"/>
  <c r="W97" i="27"/>
  <c r="X97" i="27"/>
  <c r="Y97" i="27"/>
  <c r="Z97" i="27"/>
  <c r="AA97" i="27"/>
  <c r="F104" i="27"/>
  <c r="F109" i="27" s="1"/>
  <c r="F111" i="27" s="1"/>
  <c r="J104" i="27"/>
  <c r="J109" i="27" s="1"/>
  <c r="J111" i="27" s="1"/>
  <c r="K104" i="27"/>
  <c r="K109" i="27" s="1"/>
  <c r="K111" i="27" s="1"/>
  <c r="L104" i="27"/>
  <c r="L109" i="27" s="1"/>
  <c r="L111" i="27" s="1"/>
  <c r="M104" i="27"/>
  <c r="M109" i="27" s="1"/>
  <c r="M111" i="27" s="1"/>
  <c r="N104" i="27"/>
  <c r="N109" i="27" s="1"/>
  <c r="N111" i="27" s="1"/>
  <c r="O104" i="27"/>
  <c r="O109" i="27" s="1"/>
  <c r="O111" i="27" s="1"/>
  <c r="P104" i="27"/>
  <c r="P109" i="27" s="1"/>
  <c r="P111" i="27" s="1"/>
  <c r="Q104" i="27"/>
  <c r="Q109" i="27" s="1"/>
  <c r="Q111" i="27" s="1"/>
  <c r="R104" i="27"/>
  <c r="R109" i="27" s="1"/>
  <c r="R111" i="27" s="1"/>
  <c r="S104" i="27"/>
  <c r="S109" i="27" s="1"/>
  <c r="S111" i="27" s="1"/>
  <c r="T104" i="27"/>
  <c r="T109" i="27" s="1"/>
  <c r="T111" i="27" s="1"/>
  <c r="U104" i="27"/>
  <c r="U109" i="27" s="1"/>
  <c r="U111" i="27" s="1"/>
  <c r="V104" i="27"/>
  <c r="V109" i="27" s="1"/>
  <c r="V111" i="27" s="1"/>
  <c r="W104" i="27"/>
  <c r="W109" i="27" s="1"/>
  <c r="W111" i="27" s="1"/>
  <c r="X104" i="27"/>
  <c r="X109" i="27" s="1"/>
  <c r="X111" i="27" s="1"/>
  <c r="Y104" i="27"/>
  <c r="Y109" i="27" s="1"/>
  <c r="Y111" i="27" s="1"/>
  <c r="AA104" i="27"/>
  <c r="AA109" i="27" s="1"/>
  <c r="AA111" i="27" s="1"/>
  <c r="E113" i="27"/>
  <c r="F113" i="27" s="1"/>
  <c r="H113" i="27"/>
  <c r="I113" i="27" s="1"/>
  <c r="J113" i="27" s="1"/>
  <c r="L113" i="27"/>
  <c r="M113" i="27" s="1"/>
  <c r="N113" i="27" s="1"/>
  <c r="P113" i="27"/>
  <c r="Q113" i="27" s="1"/>
  <c r="R113" i="27" s="1"/>
  <c r="T113" i="27"/>
  <c r="U113" i="27" s="1"/>
  <c r="V113" i="27" s="1"/>
  <c r="X113" i="27"/>
  <c r="Y113" i="27" s="1"/>
  <c r="F114" i="27"/>
  <c r="W117" i="27"/>
  <c r="X117" i="27"/>
  <c r="Y117" i="27"/>
  <c r="J4" i="1"/>
  <c r="J7" i="1" s="1"/>
  <c r="AK72" i="27"/>
  <c r="AJ63" i="27"/>
  <c r="AJ71" i="27"/>
  <c r="AL71" i="27"/>
  <c r="AK63" i="27"/>
  <c r="AL72" i="27"/>
  <c r="AK44" i="27"/>
  <c r="AL44" i="27"/>
  <c r="AK71" i="27"/>
  <c r="AL63" i="27"/>
  <c r="AQ66" i="27"/>
  <c r="CP60" i="27" l="1"/>
  <c r="CP41" i="27"/>
  <c r="CP45" i="27" s="1"/>
  <c r="CP47" i="27" s="1"/>
  <c r="CP48" i="27" s="1"/>
  <c r="CP58" i="27" s="1"/>
  <c r="BD45" i="27"/>
  <c r="BD47" i="27" s="1"/>
  <c r="BD49" i="27" s="1"/>
  <c r="BD50" i="27" s="1"/>
  <c r="G37" i="27"/>
  <c r="CP53" i="27"/>
  <c r="CP56" i="27"/>
  <c r="CP54" i="27"/>
  <c r="AS63" i="27"/>
  <c r="AS72" i="27"/>
  <c r="O66" i="27"/>
  <c r="AS16" i="27"/>
  <c r="AT16" i="27" s="1"/>
  <c r="AU16" i="27" s="1"/>
  <c r="AU70" i="27" s="1"/>
  <c r="AV39" i="27"/>
  <c r="AV55" i="27" s="1"/>
  <c r="EA38" i="27"/>
  <c r="ED3" i="27"/>
  <c r="CL50" i="27"/>
  <c r="DX53" i="27"/>
  <c r="DX45" i="27"/>
  <c r="DX47" i="27" s="1"/>
  <c r="DX48" i="27" s="1"/>
  <c r="DX49" i="27" s="1"/>
  <c r="DX50" i="27" s="1"/>
  <c r="DZ35" i="27"/>
  <c r="DY37" i="27"/>
  <c r="DY39" i="27" s="1"/>
  <c r="DY41" i="27" s="1"/>
  <c r="DY45" i="27" s="1"/>
  <c r="DY47" i="27" s="1"/>
  <c r="ED44" i="27"/>
  <c r="EE43" i="27"/>
  <c r="P62" i="27"/>
  <c r="DG63" i="27"/>
  <c r="AQ64" i="27"/>
  <c r="DL43" i="27"/>
  <c r="DL72" i="27" s="1"/>
  <c r="AS4" i="27"/>
  <c r="AS62" i="27" s="1"/>
  <c r="DL3" i="27"/>
  <c r="DM3" i="27" s="1"/>
  <c r="DN3" i="27" s="1"/>
  <c r="DO3" i="27" s="1"/>
  <c r="DP3" i="27" s="1"/>
  <c r="DQ3" i="27" s="1"/>
  <c r="I88" i="27"/>
  <c r="CN57" i="27"/>
  <c r="AB62" i="27"/>
  <c r="DL42" i="27"/>
  <c r="DM71" i="27" s="1"/>
  <c r="AC70" i="27"/>
  <c r="AF61" i="27"/>
  <c r="CF60" i="27"/>
  <c r="CJ60" i="27"/>
  <c r="AR5" i="27"/>
  <c r="AR37" i="27" s="1"/>
  <c r="AV65"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4" i="27"/>
  <c r="DG6" i="27"/>
  <c r="AM70" i="27"/>
  <c r="AX3" i="27"/>
  <c r="M64" i="27"/>
  <c r="AG64" i="27"/>
  <c r="DG44" i="27"/>
  <c r="DF16" i="27"/>
  <c r="G61" i="27"/>
  <c r="AL62" i="27"/>
  <c r="AK64" i="27"/>
  <c r="AQ70" i="27"/>
  <c r="AR62" i="27"/>
  <c r="DG72" i="27"/>
  <c r="AT4" i="27"/>
  <c r="AT5" i="27" s="1"/>
  <c r="AT61" i="27" s="1"/>
  <c r="AE62" i="27"/>
  <c r="AO62" i="27"/>
  <c r="DH63" i="27"/>
  <c r="P64" i="27"/>
  <c r="AK70" i="27"/>
  <c r="M99" i="27"/>
  <c r="R72" i="27"/>
  <c r="S62" i="27"/>
  <c r="K44" i="27"/>
  <c r="F99" i="27"/>
  <c r="DF71" i="27"/>
  <c r="Z70" i="27"/>
  <c r="U37" i="27"/>
  <c r="U39" i="27" s="1"/>
  <c r="U54" i="27" s="1"/>
  <c r="W64" i="27"/>
  <c r="J99" i="27"/>
  <c r="AA70" i="27"/>
  <c r="AP61" i="27"/>
  <c r="AG62" i="27"/>
  <c r="AP62" i="27"/>
  <c r="AE70" i="27"/>
  <c r="AK62" i="27"/>
  <c r="J62" i="27"/>
  <c r="AT72" i="27"/>
  <c r="AT44" i="27"/>
  <c r="DI63" i="27"/>
  <c r="DH72" i="27"/>
  <c r="DJ7" i="27"/>
  <c r="AE61" i="27"/>
  <c r="AA64" i="27"/>
  <c r="DH15" i="27"/>
  <c r="Y64" i="27"/>
  <c r="Z104" i="27"/>
  <c r="Z109" i="27" s="1"/>
  <c r="Z111" i="27" s="1"/>
  <c r="DH16" i="27"/>
  <c r="AB70" i="27"/>
  <c r="I99" i="27"/>
  <c r="DF72" i="27"/>
  <c r="AI62" i="27"/>
  <c r="X99" i="27"/>
  <c r="AN62" i="27"/>
  <c r="AB64" i="27"/>
  <c r="DE6" i="27"/>
  <c r="AJ61" i="27"/>
  <c r="DH7" i="27"/>
  <c r="AN64" i="27"/>
  <c r="AK37" i="27"/>
  <c r="AK39" i="27" s="1"/>
  <c r="AK41" i="27" s="1"/>
  <c r="DJ6" i="27"/>
  <c r="DH4" i="27"/>
  <c r="DH5" i="27" s="1"/>
  <c r="DE44" i="27"/>
  <c r="S5" i="27"/>
  <c r="S61" i="27" s="1"/>
  <c r="AO70" i="27"/>
  <c r="AH62" i="27"/>
  <c r="N62" i="27"/>
  <c r="AF64" i="27"/>
  <c r="AM62" i="27"/>
  <c r="AD62" i="27"/>
  <c r="AH70" i="27"/>
  <c r="DK6" i="27"/>
  <c r="DK46" i="27"/>
  <c r="DJ4" i="27"/>
  <c r="Y62" i="27"/>
  <c r="E39" i="27"/>
  <c r="E41" i="27" s="1"/>
  <c r="E45" i="27" s="1"/>
  <c r="E47" i="27" s="1"/>
  <c r="E49" i="27" s="1"/>
  <c r="W62" i="27"/>
  <c r="DG15" i="27"/>
  <c r="AH61" i="27"/>
  <c r="O37" i="27"/>
  <c r="O39" i="27" s="1"/>
  <c r="O140" i="27" s="1"/>
  <c r="O142" i="27" s="1"/>
  <c r="O99" i="27"/>
  <c r="DF8" i="27"/>
  <c r="J61" i="27"/>
  <c r="U62" i="27"/>
  <c r="DG66" i="27"/>
  <c r="DK71" i="27"/>
  <c r="AM64" i="27"/>
  <c r="M44" i="27"/>
  <c r="AI37" i="27"/>
  <c r="AI39" i="27" s="1"/>
  <c r="AI54" i="27" s="1"/>
  <c r="W95" i="27"/>
  <c r="W99" i="27" s="1"/>
  <c r="AD64" i="27"/>
  <c r="DG16" i="27"/>
  <c r="Q61" i="27"/>
  <c r="DI71" i="27"/>
  <c r="AA37" i="27"/>
  <c r="AA39" i="27" s="1"/>
  <c r="AA137" i="27" s="1"/>
  <c r="AA139" i="27" s="1"/>
  <c r="AE64" i="27"/>
  <c r="AH64" i="27"/>
  <c r="DG7" i="27"/>
  <c r="AD37" i="27"/>
  <c r="AD39" i="27" s="1"/>
  <c r="AD54" i="27" s="1"/>
  <c r="J37" i="27"/>
  <c r="J39" i="27" s="1"/>
  <c r="J92" i="27" s="1"/>
  <c r="X37" i="27"/>
  <c r="X39" i="27" s="1"/>
  <c r="I37" i="27"/>
  <c r="I39" i="27" s="1"/>
  <c r="I41" i="27" s="1"/>
  <c r="I45" i="27" s="1"/>
  <c r="I47" i="27" s="1"/>
  <c r="I49" i="27" s="1"/>
  <c r="I114" i="27" s="1"/>
  <c r="T99" i="27"/>
  <c r="DI4" i="27"/>
  <c r="AF62" i="27"/>
  <c r="S99" i="27"/>
  <c r="DF44" i="27"/>
  <c r="U61" i="27"/>
  <c r="AJ62" i="27"/>
  <c r="AI61" i="27"/>
  <c r="N5" i="27"/>
  <c r="N61" i="27" s="1"/>
  <c r="AE37" i="27"/>
  <c r="N37" i="27"/>
  <c r="N39" i="27" s="1"/>
  <c r="M62" i="27"/>
  <c r="U64" i="27"/>
  <c r="DK4" i="27"/>
  <c r="DK5" i="27" s="1"/>
  <c r="DJ71" i="27"/>
  <c r="X64" i="27"/>
  <c r="R99" i="27"/>
  <c r="DF15" i="27"/>
  <c r="DJ15" i="27"/>
  <c r="AM99" i="27"/>
  <c r="AQ62" i="27"/>
  <c r="AI70" i="27"/>
  <c r="AM5" i="27"/>
  <c r="AM61" i="27" s="1"/>
  <c r="AF37" i="27"/>
  <c r="AF39" i="27" s="1"/>
  <c r="DI8" i="27"/>
  <c r="DK44" i="27"/>
  <c r="AJ64" i="27"/>
  <c r="Z5" i="27"/>
  <c r="Z61" i="27" s="1"/>
  <c r="DB61" i="27"/>
  <c r="AB37" i="27"/>
  <c r="AB39" i="27" s="1"/>
  <c r="DI7" i="27"/>
  <c r="Y5" i="27"/>
  <c r="Y61" i="27" s="1"/>
  <c r="AC62" i="27"/>
  <c r="M37" i="27"/>
  <c r="DF6" i="27"/>
  <c r="X70" i="27"/>
  <c r="P95" i="27"/>
  <c r="P99" i="27" s="1"/>
  <c r="DE73" i="27"/>
  <c r="Z62" i="27"/>
  <c r="AI64" i="27"/>
  <c r="R62" i="27"/>
  <c r="DK18" i="27"/>
  <c r="DF7" i="27"/>
  <c r="G39" i="27"/>
  <c r="G41" i="27" s="1"/>
  <c r="G45" i="27" s="1"/>
  <c r="G47" i="27" s="1"/>
  <c r="G49" i="27" s="1"/>
  <c r="Q62" i="27"/>
  <c r="K61" i="27"/>
  <c r="U66" i="27"/>
  <c r="K62" i="27"/>
  <c r="DF4" i="27"/>
  <c r="DF5" i="27" s="1"/>
  <c r="DI16" i="27"/>
  <c r="DG4" i="27"/>
  <c r="AG61" i="27"/>
  <c r="X62" i="27"/>
  <c r="DH6" i="27"/>
  <c r="AH37" i="27"/>
  <c r="AL61" i="27"/>
  <c r="S37" i="27"/>
  <c r="S39" i="27" s="1"/>
  <c r="S55" i="27" s="1"/>
  <c r="AS19" i="27"/>
  <c r="DF63" i="27"/>
  <c r="DH68" i="27"/>
  <c r="DK29" i="27"/>
  <c r="K37" i="27"/>
  <c r="N66" i="27"/>
  <c r="I5" i="27"/>
  <c r="T37" i="27"/>
  <c r="W70" i="27"/>
  <c r="L99" i="27"/>
  <c r="C39" i="27"/>
  <c r="C41" i="27" s="1"/>
  <c r="C45" i="27" s="1"/>
  <c r="C47" i="27" s="1"/>
  <c r="C49" i="27" s="1"/>
  <c r="C50" i="27" s="1"/>
  <c r="H39" i="27"/>
  <c r="H41" i="27" s="1"/>
  <c r="H45" i="27" s="1"/>
  <c r="H47" i="27" s="1"/>
  <c r="DK8" i="27"/>
  <c r="AD70" i="27"/>
  <c r="AT69" i="27"/>
  <c r="Y37" i="27"/>
  <c r="Y39" i="27" s="1"/>
  <c r="Y92" i="27" s="1"/>
  <c r="DD4" i="27"/>
  <c r="AC64" i="27"/>
  <c r="W37" i="27"/>
  <c r="O62" i="27"/>
  <c r="DJ72" i="27"/>
  <c r="AN70" i="27"/>
  <c r="DL20" i="27"/>
  <c r="DM20" i="27" s="1"/>
  <c r="DN20" i="27" s="1"/>
  <c r="DO20" i="27" s="1"/>
  <c r="DP20" i="27" s="1"/>
  <c r="DQ20" i="27" s="1"/>
  <c r="W5" i="27"/>
  <c r="DG71" i="27"/>
  <c r="AM37" i="27"/>
  <c r="AM39" i="27" s="1"/>
  <c r="DJ8" i="27"/>
  <c r="T62" i="27"/>
  <c r="V99" i="27"/>
  <c r="S64" i="27"/>
  <c r="DC61" i="27"/>
  <c r="U132" i="27"/>
  <c r="V132" i="27" s="1"/>
  <c r="W132" i="27" s="1"/>
  <c r="X132" i="27" s="1"/>
  <c r="AK61" i="27"/>
  <c r="AO61" i="27"/>
  <c r="T61" i="27"/>
  <c r="P61" i="27"/>
  <c r="DC60" i="27"/>
  <c r="DC41" i="27"/>
  <c r="DC45" i="27" s="1"/>
  <c r="DL7" i="27"/>
  <c r="DM7" i="27" s="1"/>
  <c r="DN7" i="27" s="1"/>
  <c r="DO7" i="27" s="1"/>
  <c r="DP7" i="27" s="1"/>
  <c r="DQ7" i="27" s="1"/>
  <c r="AW7" i="27"/>
  <c r="AS64" i="27"/>
  <c r="DB60" i="27"/>
  <c r="DB41" i="27"/>
  <c r="DB45" i="27" s="1"/>
  <c r="O61" i="27"/>
  <c r="V62" i="27"/>
  <c r="L62" i="27"/>
  <c r="AB61" i="27"/>
  <c r="DJ44" i="27"/>
  <c r="Y99" i="27"/>
  <c r="P66" i="27"/>
  <c r="DK72" i="27"/>
  <c r="AO37" i="27"/>
  <c r="AQ5" i="27"/>
  <c r="AT64" i="27"/>
  <c r="AV66" i="27"/>
  <c r="DA45" i="27"/>
  <c r="Q37" i="27"/>
  <c r="AG37" i="27"/>
  <c r="AG39" i="27" s="1"/>
  <c r="AJ70" i="27"/>
  <c r="AS38" i="27"/>
  <c r="AN37" i="27"/>
  <c r="DE63" i="27"/>
  <c r="P39" i="27"/>
  <c r="AF70" i="27"/>
  <c r="AA62" i="27"/>
  <c r="AL70" i="27"/>
  <c r="AP70" i="27"/>
  <c r="R37" i="27"/>
  <c r="R39" i="27" s="1"/>
  <c r="R140" i="27" s="1"/>
  <c r="R142" i="27" s="1"/>
  <c r="DK16" i="27"/>
  <c r="AR66" i="27"/>
  <c r="AP64" i="27"/>
  <c r="AJ37" i="27"/>
  <c r="R5" i="27"/>
  <c r="V61" i="27" s="1"/>
  <c r="DJ18" i="27"/>
  <c r="Z37" i="27"/>
  <c r="Z39" i="27" s="1"/>
  <c r="Z137" i="27" s="1"/>
  <c r="Z139" i="27" s="1"/>
  <c r="DE4" i="27"/>
  <c r="H5" i="27"/>
  <c r="H61" i="27" s="1"/>
  <c r="K99" i="27"/>
  <c r="DI15" i="27"/>
  <c r="AO64" i="27"/>
  <c r="X61" i="27"/>
  <c r="DI44" i="27"/>
  <c r="DI6" i="27"/>
  <c r="AR70" i="27"/>
  <c r="DH71" i="27"/>
  <c r="D39" i="27"/>
  <c r="D41" i="27" s="1"/>
  <c r="D45" i="27" s="1"/>
  <c r="D47" i="27" s="1"/>
  <c r="D49" i="27" s="1"/>
  <c r="D50" i="27" s="1"/>
  <c r="AQ37" i="27"/>
  <c r="AU5" i="27"/>
  <c r="DK7" i="27"/>
  <c r="V37" i="27"/>
  <c r="DH44" i="27"/>
  <c r="DG8" i="27"/>
  <c r="Q99" i="27"/>
  <c r="L37" i="27"/>
  <c r="V64" i="27"/>
  <c r="AP37" i="27"/>
  <c r="AP39" i="27" s="1"/>
  <c r="AP55" i="27" s="1"/>
  <c r="DI72" i="27"/>
  <c r="AN61" i="27"/>
  <c r="AA99" i="27"/>
  <c r="DI18" i="27"/>
  <c r="R64" i="27"/>
  <c r="Z99" i="27"/>
  <c r="N99" i="27"/>
  <c r="DH8" i="27"/>
  <c r="DJ16" i="27"/>
  <c r="AL37" i="27"/>
  <c r="AL39" i="27" s="1"/>
  <c r="AX8" i="27"/>
  <c r="DL8" i="27"/>
  <c r="DM8" i="27" s="1"/>
  <c r="DN8" i="27" s="1"/>
  <c r="DO8" i="27" s="1"/>
  <c r="DP8" i="27" s="1"/>
  <c r="DQ8" i="27" s="1"/>
  <c r="V138" i="27"/>
  <c r="AU18" i="27"/>
  <c r="DL18" i="27"/>
  <c r="DM18" i="27" s="1"/>
  <c r="DN18" i="27" s="1"/>
  <c r="DO18" i="27" s="1"/>
  <c r="U99" i="27"/>
  <c r="AU29" i="27"/>
  <c r="DL29" i="27"/>
  <c r="DM29" i="27" s="1"/>
  <c r="DN29" i="27" s="1"/>
  <c r="DO29" i="27" s="1"/>
  <c r="DP29" i="27" s="1"/>
  <c r="DQ29" i="27" s="1"/>
  <c r="DR29" i="27" s="1"/>
  <c r="AC37" i="27"/>
  <c r="AS6" i="27"/>
  <c r="DE7" i="27"/>
  <c r="Q64" i="27"/>
  <c r="Z64" i="27"/>
  <c r="AR64" i="27"/>
  <c r="CP49" i="27" l="1"/>
  <c r="CP50" i="27" s="1"/>
  <c r="CP40" i="27"/>
  <c r="AV41" i="27"/>
  <c r="AT70" i="27"/>
  <c r="AV54" i="27"/>
  <c r="DL16" i="27"/>
  <c r="DM16" i="27" s="1"/>
  <c r="DN16" i="27" s="1"/>
  <c r="DO16" i="27" s="1"/>
  <c r="DP16" i="27" s="1"/>
  <c r="DQ16" i="27" s="1"/>
  <c r="CP57" i="27"/>
  <c r="AW4" i="27"/>
  <c r="AW5" i="27" s="1"/>
  <c r="AS70" i="27"/>
  <c r="AS5" i="27"/>
  <c r="AS61" i="27" s="1"/>
  <c r="DY48" i="27"/>
  <c r="DY49" i="27" s="1"/>
  <c r="DY50" i="27" s="1"/>
  <c r="EE3" i="27"/>
  <c r="EB38" i="27"/>
  <c r="EA35" i="27"/>
  <c r="DZ37" i="27"/>
  <c r="DZ39" i="27" s="1"/>
  <c r="DZ41" i="27" s="1"/>
  <c r="DZ45" i="27" s="1"/>
  <c r="DZ47" i="27" s="1"/>
  <c r="DZ48" i="27" s="1"/>
  <c r="DZ49" i="27" s="1"/>
  <c r="DZ50" i="27" s="1"/>
  <c r="EF43" i="27"/>
  <c r="EE44" i="27"/>
  <c r="AV61" i="27"/>
  <c r="DL44" i="27"/>
  <c r="AR61" i="27"/>
  <c r="DL71" i="27"/>
  <c r="CE45" i="27"/>
  <c r="CE47" i="27" s="1"/>
  <c r="CH45" i="27"/>
  <c r="CH47" i="27" s="1"/>
  <c r="CE56" i="27"/>
  <c r="CI45" i="27"/>
  <c r="CI53" i="27"/>
  <c r="CF45" i="27"/>
  <c r="CG45" i="27"/>
  <c r="AX4" i="27"/>
  <c r="AX5" i="27" s="1"/>
  <c r="DL4" i="27"/>
  <c r="DL5" i="27" s="1"/>
  <c r="DL61" i="27" s="1"/>
  <c r="AT62" i="27"/>
  <c r="AA140" i="27"/>
  <c r="AA142" i="27" s="1"/>
  <c r="AK54" i="27"/>
  <c r="AK55" i="27"/>
  <c r="AA41" i="27"/>
  <c r="AA45" i="27" s="1"/>
  <c r="AA143" i="27"/>
  <c r="AA145" i="27" s="1"/>
  <c r="AA65" i="27"/>
  <c r="AA55" i="27"/>
  <c r="AK60" i="27"/>
  <c r="AA131" i="27"/>
  <c r="AA133" i="27" s="1"/>
  <c r="U131" i="27"/>
  <c r="U133" i="27" s="1"/>
  <c r="U41" i="27"/>
  <c r="U53" i="27" s="1"/>
  <c r="U129" i="27" s="1"/>
  <c r="U137" i="27"/>
  <c r="U139" i="27" s="1"/>
  <c r="U140" i="27"/>
  <c r="U142" i="27" s="1"/>
  <c r="U143" i="27"/>
  <c r="U145" i="27" s="1"/>
  <c r="AA92" i="27"/>
  <c r="U92" i="27"/>
  <c r="U134" i="27"/>
  <c r="U136" i="27" s="1"/>
  <c r="U55" i="27"/>
  <c r="O54" i="27"/>
  <c r="O92" i="27"/>
  <c r="O137" i="27"/>
  <c r="O139" i="27" s="1"/>
  <c r="DI64" i="27"/>
  <c r="DJ62" i="27"/>
  <c r="DH70" i="27"/>
  <c r="DF64" i="27"/>
  <c r="AA134" i="27"/>
  <c r="AA136" i="27" s="1"/>
  <c r="AA54" i="27"/>
  <c r="AR39" i="27"/>
  <c r="AR55" i="27" s="1"/>
  <c r="S60" i="27"/>
  <c r="O131" i="27"/>
  <c r="O133" i="27" s="1"/>
  <c r="O143" i="27"/>
  <c r="O145" i="27" s="1"/>
  <c r="O55" i="27"/>
  <c r="O41" i="27"/>
  <c r="O134" i="27"/>
  <c r="O136" i="27" s="1"/>
  <c r="E58" i="27"/>
  <c r="N92" i="27"/>
  <c r="N143" i="27"/>
  <c r="N145" i="27" s="1"/>
  <c r="N140" i="27"/>
  <c r="N142" i="27" s="1"/>
  <c r="N55" i="27"/>
  <c r="N54" i="27"/>
  <c r="N131" i="27"/>
  <c r="N133" i="27" s="1"/>
  <c r="N137" i="27"/>
  <c r="N139" i="27" s="1"/>
  <c r="N134" i="27"/>
  <c r="N136" i="27" s="1"/>
  <c r="DH37" i="27"/>
  <c r="DH39" i="27" s="1"/>
  <c r="DH54" i="27" s="1"/>
  <c r="AC61" i="27"/>
  <c r="DJ5" i="27"/>
  <c r="Y41" i="27"/>
  <c r="Y45" i="27" s="1"/>
  <c r="AE65" i="27"/>
  <c r="W39" i="27"/>
  <c r="W60" i="27" s="1"/>
  <c r="Y143" i="27"/>
  <c r="Y145" i="27" s="1"/>
  <c r="I50" i="27"/>
  <c r="Y137" i="27"/>
  <c r="AD61" i="27"/>
  <c r="I58" i="27"/>
  <c r="AP54" i="27"/>
  <c r="I92" i="27"/>
  <c r="AB65" i="27"/>
  <c r="M65" i="27"/>
  <c r="Y60" i="27"/>
  <c r="DG64" i="27"/>
  <c r="DH64" i="27"/>
  <c r="X65" i="27"/>
  <c r="S134" i="27"/>
  <c r="S136" i="27" s="1"/>
  <c r="DG37" i="27"/>
  <c r="DG39" i="27" s="1"/>
  <c r="AE39" i="27"/>
  <c r="AE54" i="27" s="1"/>
  <c r="AH65" i="27"/>
  <c r="AF41" i="27"/>
  <c r="AF45" i="27" s="1"/>
  <c r="AF60" i="27"/>
  <c r="AI41" i="27"/>
  <c r="AP41" i="27"/>
  <c r="AP45" i="27" s="1"/>
  <c r="N65" i="27"/>
  <c r="AP65" i="27"/>
  <c r="AF65" i="27"/>
  <c r="AI65" i="27"/>
  <c r="DI5" i="27"/>
  <c r="DI61" i="27" s="1"/>
  <c r="DI62" i="27"/>
  <c r="J41" i="27"/>
  <c r="J45" i="27" s="1"/>
  <c r="J47" i="27" s="1"/>
  <c r="J58" i="27" s="1"/>
  <c r="AM65" i="27"/>
  <c r="AI55" i="27"/>
  <c r="AH39" i="27"/>
  <c r="AH41" i="27" s="1"/>
  <c r="AH53" i="27" s="1"/>
  <c r="AF54" i="27"/>
  <c r="Y134" i="27"/>
  <c r="Y136" i="27" s="1"/>
  <c r="M39" i="27"/>
  <c r="M60" i="27" s="1"/>
  <c r="AF55" i="27"/>
  <c r="Z65" i="27"/>
  <c r="DK37" i="27"/>
  <c r="DK39" i="27" s="1"/>
  <c r="AB41" i="27"/>
  <c r="AB54" i="27"/>
  <c r="AB55" i="27"/>
  <c r="G58" i="27"/>
  <c r="AU61" i="27"/>
  <c r="Y65" i="27"/>
  <c r="Y54" i="27"/>
  <c r="E114" i="27"/>
  <c r="E50" i="27"/>
  <c r="AQ61" i="27"/>
  <c r="Y140" i="27"/>
  <c r="Y142" i="27" s="1"/>
  <c r="Y131" i="27"/>
  <c r="Y133" i="27" s="1"/>
  <c r="Y55" i="27"/>
  <c r="S143" i="27"/>
  <c r="S145" i="27" s="1"/>
  <c r="DG5" i="27"/>
  <c r="DG62" i="27"/>
  <c r="DH62" i="27"/>
  <c r="S54" i="27"/>
  <c r="S65" i="27"/>
  <c r="AS67" i="27"/>
  <c r="AT19" i="27"/>
  <c r="DL19" i="27" s="1"/>
  <c r="S140" i="27"/>
  <c r="S142" i="27" s="1"/>
  <c r="DF37" i="27"/>
  <c r="DF39" i="27" s="1"/>
  <c r="T39" i="27"/>
  <c r="T60" i="27" s="1"/>
  <c r="T65" i="27"/>
  <c r="V39" i="27"/>
  <c r="V92" i="27" s="1"/>
  <c r="V65" i="27"/>
  <c r="R134" i="27"/>
  <c r="R136" i="27" s="1"/>
  <c r="DD62" i="27"/>
  <c r="DD5" i="27"/>
  <c r="DD61" i="27" s="1"/>
  <c r="N41" i="27"/>
  <c r="N60" i="27"/>
  <c r="AK65" i="27"/>
  <c r="AA61" i="27"/>
  <c r="W61" i="27"/>
  <c r="M61" i="27"/>
  <c r="I61" i="27"/>
  <c r="S137" i="27"/>
  <c r="S139" i="27" s="1"/>
  <c r="S41" i="27"/>
  <c r="S45" i="27" s="1"/>
  <c r="K39" i="27"/>
  <c r="K65" i="27"/>
  <c r="S131" i="27"/>
  <c r="S133" i="27" s="1"/>
  <c r="AP60" i="27"/>
  <c r="W65" i="27"/>
  <c r="S92" i="27"/>
  <c r="O65" i="27"/>
  <c r="DD37" i="27"/>
  <c r="DD39" i="27" s="1"/>
  <c r="Q39" i="27"/>
  <c r="Q65" i="27"/>
  <c r="U65" i="27"/>
  <c r="P55" i="27"/>
  <c r="P41" i="27"/>
  <c r="P134" i="27"/>
  <c r="P136" i="27" s="1"/>
  <c r="P131" i="27"/>
  <c r="P133" i="27" s="1"/>
  <c r="P54" i="27"/>
  <c r="P92" i="27"/>
  <c r="P137" i="27"/>
  <c r="P139" i="27" s="1"/>
  <c r="P140" i="27"/>
  <c r="P142" i="27" s="1"/>
  <c r="P143" i="27"/>
  <c r="P145" i="27" s="1"/>
  <c r="R61" i="27"/>
  <c r="R131" i="27"/>
  <c r="R133" i="27" s="1"/>
  <c r="AJ65" i="27"/>
  <c r="AJ39" i="27"/>
  <c r="AR65" i="27"/>
  <c r="AN39" i="27"/>
  <c r="AN65" i="27"/>
  <c r="AQ65" i="27"/>
  <c r="AQ39" i="27"/>
  <c r="AL65" i="27"/>
  <c r="AL41" i="27"/>
  <c r="AL55" i="27"/>
  <c r="AL54" i="27"/>
  <c r="AT38" i="27"/>
  <c r="AS66" i="27"/>
  <c r="R65" i="27"/>
  <c r="AM54" i="27"/>
  <c r="AM92" i="27"/>
  <c r="AM55" i="27"/>
  <c r="AM60" i="27"/>
  <c r="AM41" i="27"/>
  <c r="AK53" i="27"/>
  <c r="AK45" i="27"/>
  <c r="AB60" i="27"/>
  <c r="X131" i="27"/>
  <c r="X133" i="27" s="1"/>
  <c r="X140" i="27"/>
  <c r="X142" i="27" s="1"/>
  <c r="X143" i="27"/>
  <c r="X145" i="27" s="1"/>
  <c r="X137" i="27"/>
  <c r="X41" i="27"/>
  <c r="X134" i="27"/>
  <c r="X136" i="27" s="1"/>
  <c r="X92" i="27"/>
  <c r="X54" i="27"/>
  <c r="X55" i="27"/>
  <c r="H58" i="27"/>
  <c r="H49" i="27"/>
  <c r="AD41" i="27"/>
  <c r="AD60" i="27"/>
  <c r="AD55" i="27"/>
  <c r="P65" i="27"/>
  <c r="L39" i="27"/>
  <c r="L65" i="27"/>
  <c r="R54" i="27"/>
  <c r="R41" i="27"/>
  <c r="R143" i="27"/>
  <c r="R145" i="27" s="1"/>
  <c r="R60" i="27"/>
  <c r="R55" i="27"/>
  <c r="R137" i="27"/>
  <c r="R139" i="27" s="1"/>
  <c r="R92" i="27"/>
  <c r="AO65" i="27"/>
  <c r="AO39" i="27"/>
  <c r="AD65" i="27"/>
  <c r="DE62" i="27"/>
  <c r="DF62" i="27"/>
  <c r="DE5" i="27"/>
  <c r="DI37" i="27"/>
  <c r="Z131" i="27"/>
  <c r="Z133" i="27" s="1"/>
  <c r="Z134" i="27"/>
  <c r="Z136" i="27" s="1"/>
  <c r="Z55" i="27"/>
  <c r="Z54" i="27"/>
  <c r="Z143" i="27"/>
  <c r="Z145" i="27" s="1"/>
  <c r="Z92" i="27"/>
  <c r="Z140" i="27"/>
  <c r="Z142" i="27" s="1"/>
  <c r="Z41" i="27"/>
  <c r="AG54" i="27"/>
  <c r="AG41" i="27"/>
  <c r="AG55" i="27"/>
  <c r="L61" i="27"/>
  <c r="AC65" i="27"/>
  <c r="AC39" i="27"/>
  <c r="AG65" i="27"/>
  <c r="AV53" i="27"/>
  <c r="AV45" i="27"/>
  <c r="DE37" i="27"/>
  <c r="W138" i="27"/>
  <c r="G50" i="27"/>
  <c r="G114" i="27"/>
  <c r="AW6" i="27"/>
  <c r="AW37" i="27" s="1"/>
  <c r="AW39" i="27" s="1"/>
  <c r="AS37" i="27"/>
  <c r="DL6" i="27"/>
  <c r="CH56" i="27" l="1"/>
  <c r="AX37" i="27"/>
  <c r="AX39" i="27" s="1"/>
  <c r="DM4" i="27"/>
  <c r="EB35" i="27"/>
  <c r="EA37" i="27"/>
  <c r="EA39" i="27" s="1"/>
  <c r="EA41" i="27" s="1"/>
  <c r="EA45" i="27" s="1"/>
  <c r="EC38" i="27"/>
  <c r="EF3" i="27"/>
  <c r="EG43" i="27"/>
  <c r="EF44" i="27"/>
  <c r="AA53" i="27"/>
  <c r="AA129" i="27" s="1"/>
  <c r="CI47" i="27"/>
  <c r="CI56" i="27"/>
  <c r="CE49" i="27"/>
  <c r="CE58" i="27"/>
  <c r="CF56" i="27"/>
  <c r="CF47" i="27"/>
  <c r="CG56" i="27"/>
  <c r="CG47" i="27"/>
  <c r="CH49" i="27"/>
  <c r="CH58" i="27"/>
  <c r="DH55" i="27"/>
  <c r="U45" i="27"/>
  <c r="U47" i="27" s="1"/>
  <c r="AA130" i="27"/>
  <c r="Y53" i="27"/>
  <c r="Y129" i="27" s="1"/>
  <c r="DH60" i="27"/>
  <c r="U130" i="27"/>
  <c r="AF53" i="27"/>
  <c r="DH65" i="27"/>
  <c r="J49" i="27"/>
  <c r="J50" i="27" s="1"/>
  <c r="DJ61" i="27"/>
  <c r="O130" i="27"/>
  <c r="DJ37" i="27"/>
  <c r="DJ39" i="27" s="1"/>
  <c r="W41" i="27"/>
  <c r="W53" i="27" s="1"/>
  <c r="W129" i="27" s="1"/>
  <c r="N130" i="27"/>
  <c r="W143" i="27"/>
  <c r="W145" i="27" s="1"/>
  <c r="AR54" i="27"/>
  <c r="AV60" i="27"/>
  <c r="DK61" i="27"/>
  <c r="V60" i="27"/>
  <c r="AR41" i="27"/>
  <c r="W140" i="27"/>
  <c r="W142" i="27" s="1"/>
  <c r="M131" i="27"/>
  <c r="M133" i="27" s="1"/>
  <c r="W55" i="27"/>
  <c r="W92" i="27"/>
  <c r="M134" i="27"/>
  <c r="M136" i="27" s="1"/>
  <c r="W137" i="27"/>
  <c r="W139" i="27" s="1"/>
  <c r="W134" i="27"/>
  <c r="W136" i="27" s="1"/>
  <c r="W131" i="27"/>
  <c r="W133" i="27" s="1"/>
  <c r="W54" i="27"/>
  <c r="O53" i="27"/>
  <c r="O129" i="27" s="1"/>
  <c r="O45" i="27"/>
  <c r="AA60" i="27"/>
  <c r="M41" i="27"/>
  <c r="M53" i="27" s="1"/>
  <c r="M129" i="27" s="1"/>
  <c r="M92" i="27"/>
  <c r="M143" i="27"/>
  <c r="M145" i="27" s="1"/>
  <c r="M54" i="27"/>
  <c r="AP53" i="27"/>
  <c r="AE41" i="27"/>
  <c r="AE45" i="27" s="1"/>
  <c r="AE56" i="27" s="1"/>
  <c r="AE55" i="27"/>
  <c r="AE60" i="27"/>
  <c r="AH60" i="27"/>
  <c r="AL60" i="27"/>
  <c r="AI60" i="27"/>
  <c r="M55" i="27"/>
  <c r="AI45" i="27"/>
  <c r="AI53" i="27"/>
  <c r="DG65" i="27"/>
  <c r="S130" i="27"/>
  <c r="M137" i="27"/>
  <c r="M139" i="27" s="1"/>
  <c r="M140" i="27"/>
  <c r="M142" i="27" s="1"/>
  <c r="V55" i="27"/>
  <c r="V137" i="27"/>
  <c r="V139" i="27" s="1"/>
  <c r="V131" i="27"/>
  <c r="V133" i="27" s="1"/>
  <c r="AB45" i="27"/>
  <c r="AB53" i="27"/>
  <c r="P130" i="27"/>
  <c r="Z60" i="27"/>
  <c r="V140" i="27"/>
  <c r="V142" i="27" s="1"/>
  <c r="V134" i="27"/>
  <c r="V136" i="27" s="1"/>
  <c r="V143" i="27"/>
  <c r="V145" i="27" s="1"/>
  <c r="V41" i="27"/>
  <c r="V53" i="27" s="1"/>
  <c r="V129" i="27" s="1"/>
  <c r="V54" i="27"/>
  <c r="AH54" i="27"/>
  <c r="AH55" i="27"/>
  <c r="DD41" i="27"/>
  <c r="DD45" i="27" s="1"/>
  <c r="DD47" i="27" s="1"/>
  <c r="DD58" i="27" s="1"/>
  <c r="DD60" i="27"/>
  <c r="AA56" i="27"/>
  <c r="AA47" i="27"/>
  <c r="X60" i="27"/>
  <c r="T55" i="27"/>
  <c r="T143" i="27"/>
  <c r="T145" i="27" s="1"/>
  <c r="T92" i="27"/>
  <c r="T54" i="27"/>
  <c r="T41" i="27"/>
  <c r="T140" i="27"/>
  <c r="T142" i="27" s="1"/>
  <c r="T137" i="27"/>
  <c r="T139" i="27" s="1"/>
  <c r="T134" i="27"/>
  <c r="T136" i="27" s="1"/>
  <c r="T131" i="27"/>
  <c r="T133" i="27" s="1"/>
  <c r="DF54" i="27"/>
  <c r="DF41" i="27"/>
  <c r="DF55" i="27"/>
  <c r="N45" i="27"/>
  <c r="N53" i="27"/>
  <c r="N129" i="27" s="1"/>
  <c r="AT67" i="27"/>
  <c r="AT37" i="27"/>
  <c r="AT65" i="27" s="1"/>
  <c r="AU19" i="27"/>
  <c r="S53" i="27"/>
  <c r="S129" i="27" s="1"/>
  <c r="R130" i="27"/>
  <c r="K143" i="27"/>
  <c r="K145" i="27" s="1"/>
  <c r="K54" i="27"/>
  <c r="K140" i="27"/>
  <c r="K142" i="27" s="1"/>
  <c r="K134" i="27"/>
  <c r="K136" i="27" s="1"/>
  <c r="K92" i="27"/>
  <c r="K137" i="27"/>
  <c r="K139" i="27" s="1"/>
  <c r="K131" i="27"/>
  <c r="K133" i="27" s="1"/>
  <c r="O60" i="27"/>
  <c r="K55" i="27"/>
  <c r="K60" i="27"/>
  <c r="K41" i="27"/>
  <c r="DH61" i="27"/>
  <c r="DG61" i="27"/>
  <c r="AO60" i="27"/>
  <c r="AO41" i="27"/>
  <c r="AO55" i="27"/>
  <c r="AO54" i="27"/>
  <c r="X53" i="27"/>
  <c r="X129" i="27" s="1"/>
  <c r="X45" i="27"/>
  <c r="AM45" i="27"/>
  <c r="AM53" i="27"/>
  <c r="AL53" i="27"/>
  <c r="AL45" i="27"/>
  <c r="Y56" i="27"/>
  <c r="Y47" i="27"/>
  <c r="P45" i="27"/>
  <c r="P53" i="27"/>
  <c r="P129" i="27" s="1"/>
  <c r="L55" i="27"/>
  <c r="L140" i="27"/>
  <c r="L142" i="27" s="1"/>
  <c r="L143" i="27"/>
  <c r="L145" i="27" s="1"/>
  <c r="L54" i="27"/>
  <c r="L137" i="27"/>
  <c r="L139" i="27" s="1"/>
  <c r="L134" i="27"/>
  <c r="L136" i="27" s="1"/>
  <c r="L41" i="27"/>
  <c r="L60" i="27"/>
  <c r="L92" i="27"/>
  <c r="L131" i="27"/>
  <c r="L133" i="27" s="1"/>
  <c r="AQ54" i="27"/>
  <c r="AQ60" i="27"/>
  <c r="AQ41" i="27"/>
  <c r="AQ55" i="27"/>
  <c r="DM5" i="27"/>
  <c r="DM61" i="27" s="1"/>
  <c r="DN4" i="27"/>
  <c r="AT66" i="27"/>
  <c r="AU38" i="27"/>
  <c r="AU66" i="27" s="1"/>
  <c r="DL38" i="27"/>
  <c r="DM38" i="27" s="1"/>
  <c r="DN38" i="27" s="1"/>
  <c r="DO38" i="27" s="1"/>
  <c r="DP38" i="27" s="1"/>
  <c r="DQ38" i="27" s="1"/>
  <c r="Z130" i="27"/>
  <c r="AD53" i="27"/>
  <c r="AD45" i="27"/>
  <c r="DI39" i="27"/>
  <c r="DI65" i="27"/>
  <c r="H114" i="27"/>
  <c r="H50" i="27"/>
  <c r="AG45" i="27"/>
  <c r="AG53" i="27"/>
  <c r="DF61" i="27"/>
  <c r="DE61" i="27"/>
  <c r="R53" i="27"/>
  <c r="R129" i="27" s="1"/>
  <c r="R45" i="27"/>
  <c r="AN55" i="27"/>
  <c r="AN60" i="27"/>
  <c r="AN41" i="27"/>
  <c r="AN54" i="27"/>
  <c r="AR60" i="27"/>
  <c r="Q55" i="27"/>
  <c r="Q143" i="27"/>
  <c r="Q145" i="27" s="1"/>
  <c r="Q92" i="27"/>
  <c r="Q54" i="27"/>
  <c r="Q41" i="27"/>
  <c r="Q131" i="27"/>
  <c r="Q133" i="27" s="1"/>
  <c r="Q60" i="27"/>
  <c r="Q134" i="27"/>
  <c r="Q136" i="27" s="1"/>
  <c r="Q140" i="27"/>
  <c r="Q142" i="27" s="1"/>
  <c r="U60" i="27"/>
  <c r="Q137" i="27"/>
  <c r="Q139" i="27" s="1"/>
  <c r="AH45" i="27"/>
  <c r="AH56" i="27" s="1"/>
  <c r="DG54" i="27"/>
  <c r="DG55" i="27"/>
  <c r="DG60" i="27"/>
  <c r="Z53" i="27"/>
  <c r="Z129" i="27" s="1"/>
  <c r="Z45" i="27"/>
  <c r="AK47" i="27"/>
  <c r="AK56" i="27"/>
  <c r="AJ55" i="27"/>
  <c r="AJ41" i="27"/>
  <c r="AJ54" i="27"/>
  <c r="AJ60" i="27"/>
  <c r="P60" i="27"/>
  <c r="AV47" i="27"/>
  <c r="AV56" i="27"/>
  <c r="AP47" i="27"/>
  <c r="AP56" i="27"/>
  <c r="X138" i="27"/>
  <c r="AF47" i="27"/>
  <c r="AF56" i="27"/>
  <c r="DF65" i="27"/>
  <c r="DE39" i="27"/>
  <c r="AG60" i="27"/>
  <c r="AC60" i="27"/>
  <c r="AC41" i="27"/>
  <c r="AC55" i="27"/>
  <c r="AC54" i="27"/>
  <c r="AS39" i="27"/>
  <c r="AS65" i="27"/>
  <c r="DL37" i="27"/>
  <c r="DM6" i="27"/>
  <c r="S56" i="27"/>
  <c r="S47" i="27"/>
  <c r="ED38" i="27" l="1"/>
  <c r="EG3" i="27"/>
  <c r="EC35" i="27"/>
  <c r="EB37" i="27"/>
  <c r="EB39" i="27" s="1"/>
  <c r="EB41" i="27" s="1"/>
  <c r="EB45" i="27" s="1"/>
  <c r="EH43" i="27"/>
  <c r="EG44" i="27"/>
  <c r="U56" i="27"/>
  <c r="CE50" i="27"/>
  <c r="CE57" i="27"/>
  <c r="CI58" i="27"/>
  <c r="CI49" i="27"/>
  <c r="CF58" i="27"/>
  <c r="CF49" i="27"/>
  <c r="CG58" i="27"/>
  <c r="CG49" i="27"/>
  <c r="CH50" i="27"/>
  <c r="CH57" i="27"/>
  <c r="DK65" i="27"/>
  <c r="AE47" i="27"/>
  <c r="AE58" i="27" s="1"/>
  <c r="W45" i="27"/>
  <c r="W47" i="27" s="1"/>
  <c r="W130" i="27"/>
  <c r="J114" i="27"/>
  <c r="DJ65" i="27"/>
  <c r="V45" i="27"/>
  <c r="V56" i="27" s="1"/>
  <c r="M45" i="27"/>
  <c r="M47" i="27" s="1"/>
  <c r="DG41" i="27"/>
  <c r="DG40" i="27" s="1"/>
  <c r="AE53" i="27"/>
  <c r="AR53" i="27"/>
  <c r="AR45" i="27"/>
  <c r="DI41" i="27"/>
  <c r="DI45" i="27" s="1"/>
  <c r="DI47" i="27" s="1"/>
  <c r="DI49" i="27" s="1"/>
  <c r="O47" i="27"/>
  <c r="O56" i="27"/>
  <c r="M130" i="27"/>
  <c r="V130" i="27"/>
  <c r="AH47" i="27"/>
  <c r="AH58" i="27" s="1"/>
  <c r="AI56" i="27"/>
  <c r="AI47" i="27"/>
  <c r="T130" i="27"/>
  <c r="AB47" i="27"/>
  <c r="AB56" i="27"/>
  <c r="K130" i="27"/>
  <c r="T45" i="27"/>
  <c r="T53" i="27"/>
  <c r="T129" i="27" s="1"/>
  <c r="N47" i="27"/>
  <c r="N56" i="27"/>
  <c r="DF53" i="27"/>
  <c r="DF45" i="27"/>
  <c r="AT39" i="27"/>
  <c r="K45" i="27"/>
  <c r="K53" i="27"/>
  <c r="K129" i="27" s="1"/>
  <c r="AA49" i="27"/>
  <c r="AA58" i="27"/>
  <c r="AU67" i="27"/>
  <c r="AU37" i="27"/>
  <c r="AU65" i="27" s="1"/>
  <c r="Z47" i="27"/>
  <c r="Z56" i="27"/>
  <c r="Q130" i="27"/>
  <c r="DN5" i="27"/>
  <c r="DN61" i="27" s="1"/>
  <c r="DO4" i="27"/>
  <c r="AM56" i="27"/>
  <c r="AM47" i="27"/>
  <c r="Q45" i="27"/>
  <c r="Q53" i="27"/>
  <c r="Q129" i="27" s="1"/>
  <c r="AD47" i="27"/>
  <c r="AD56" i="27"/>
  <c r="X56" i="27"/>
  <c r="X47" i="27"/>
  <c r="AQ53" i="27"/>
  <c r="AQ45" i="27"/>
  <c r="R47" i="27"/>
  <c r="R56" i="27"/>
  <c r="AG56" i="27"/>
  <c r="AG47" i="27"/>
  <c r="DE41" i="27"/>
  <c r="DE45" i="27" s="1"/>
  <c r="DE47" i="27" s="1"/>
  <c r="DE58" i="27" s="1"/>
  <c r="AJ45" i="27"/>
  <c r="AJ53" i="27"/>
  <c r="DJ41" i="27"/>
  <c r="DJ45" i="27" s="1"/>
  <c r="DJ56" i="27" s="1"/>
  <c r="L130" i="27"/>
  <c r="P56" i="27"/>
  <c r="P47" i="27"/>
  <c r="Y49" i="27"/>
  <c r="Y58" i="27"/>
  <c r="AO53" i="27"/>
  <c r="AO45" i="27"/>
  <c r="AN45" i="27"/>
  <c r="AN53" i="27"/>
  <c r="DK41" i="27"/>
  <c r="DK45" i="27" s="1"/>
  <c r="DI54" i="27"/>
  <c r="DI55" i="27"/>
  <c r="DI60" i="27"/>
  <c r="AK49" i="27"/>
  <c r="AK58" i="27"/>
  <c r="L53" i="27"/>
  <c r="L129" i="27" s="1"/>
  <c r="L45" i="27"/>
  <c r="AL56" i="27"/>
  <c r="AL47" i="27"/>
  <c r="DE57" i="27"/>
  <c r="DE55" i="27"/>
  <c r="DE60" i="27"/>
  <c r="DE54" i="27"/>
  <c r="DF60" i="27"/>
  <c r="Y138" i="27"/>
  <c r="Y139" i="27" s="1"/>
  <c r="Y130" i="27" s="1"/>
  <c r="X139" i="27"/>
  <c r="X130" i="27" s="1"/>
  <c r="AP49" i="27"/>
  <c r="AP58" i="27"/>
  <c r="DJ60" i="27"/>
  <c r="DK60" i="27"/>
  <c r="S49" i="27"/>
  <c r="S58" i="27"/>
  <c r="DR38" i="27"/>
  <c r="DN6" i="27"/>
  <c r="DM37" i="27"/>
  <c r="DL65"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14"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1" i="27" s="1"/>
  <c r="DP4" i="27"/>
  <c r="Y50" i="27"/>
  <c r="Y114" i="27"/>
  <c r="Y57" i="27"/>
  <c r="L56" i="27"/>
  <c r="L47" i="27"/>
  <c r="AO47" i="27"/>
  <c r="AO56" i="27"/>
  <c r="AQ56" i="27"/>
  <c r="AQ47" i="27"/>
  <c r="AG58" i="27"/>
  <c r="AG49" i="27"/>
  <c r="AJ47" i="27"/>
  <c r="AJ56" i="27"/>
  <c r="DJ40" i="27"/>
  <c r="X58" i="27"/>
  <c r="X49" i="27"/>
  <c r="Z58" i="27"/>
  <c r="Z49" i="27"/>
  <c r="DI50" i="27"/>
  <c r="DI57" i="27"/>
  <c r="AF50" i="27"/>
  <c r="AF57" i="27"/>
  <c r="DM65" i="27"/>
  <c r="DM39" i="27"/>
  <c r="DH53" i="27"/>
  <c r="DH45" i="27"/>
  <c r="DH40" i="27"/>
  <c r="AS56" i="27"/>
  <c r="AS47" i="27"/>
  <c r="DO6" i="27"/>
  <c r="DN37" i="27"/>
  <c r="AP50" i="27"/>
  <c r="AP57" i="27"/>
  <c r="S57" i="27"/>
  <c r="S114" i="27"/>
  <c r="S50" i="27"/>
  <c r="U114" i="27"/>
  <c r="U57" i="27"/>
  <c r="U50" i="27"/>
  <c r="AV57" i="27"/>
  <c r="AV50" i="27"/>
  <c r="DL41" i="27"/>
  <c r="DL45" i="27" s="1"/>
  <c r="DL60" i="27"/>
  <c r="AC56" i="27"/>
  <c r="AC47" i="27"/>
  <c r="EI3" i="27" l="1"/>
  <c r="EE35" i="27"/>
  <c r="ED37" i="27"/>
  <c r="ED39" i="27" s="1"/>
  <c r="ED41" i="27" s="1"/>
  <c r="ED45" i="27" s="1"/>
  <c r="AE50" i="27"/>
  <c r="EF38" i="27"/>
  <c r="EJ43" i="27"/>
  <c r="EJ44" i="27" s="1"/>
  <c r="EI44" i="27"/>
  <c r="AH88" i="27"/>
  <c r="DI88" i="27" s="1"/>
  <c r="DJ46" i="27" s="1"/>
  <c r="DJ47" i="27" s="1"/>
  <c r="AH50" i="27"/>
  <c r="DG56" i="27"/>
  <c r="V58" i="27"/>
  <c r="AR58" i="27"/>
  <c r="AR49" i="27"/>
  <c r="O50" i="27"/>
  <c r="S73" i="27" s="1"/>
  <c r="O114" i="27"/>
  <c r="O57" i="27"/>
  <c r="AI50" i="27"/>
  <c r="AI73" i="27" s="1"/>
  <c r="AI57" i="27"/>
  <c r="AT40" i="27"/>
  <c r="AB57" i="27"/>
  <c r="AB50" i="27"/>
  <c r="AF73" i="27" s="1"/>
  <c r="M114" i="27"/>
  <c r="M50" i="27"/>
  <c r="M57" i="27"/>
  <c r="K58" i="27"/>
  <c r="K49" i="27"/>
  <c r="T58" i="27"/>
  <c r="T49" i="27"/>
  <c r="N50" i="27"/>
  <c r="N57" i="27"/>
  <c r="N114" i="27"/>
  <c r="AT56" i="27"/>
  <c r="AT47" i="27"/>
  <c r="DF49" i="27"/>
  <c r="DF58" i="27"/>
  <c r="DK58" i="27"/>
  <c r="DK49" i="27"/>
  <c r="L49" i="27"/>
  <c r="L58" i="27"/>
  <c r="X50" i="27"/>
  <c r="X57" i="27"/>
  <c r="X114" i="27"/>
  <c r="Z57" i="27"/>
  <c r="Z114" i="27"/>
  <c r="Z50" i="27"/>
  <c r="R57" i="27"/>
  <c r="R50" i="27"/>
  <c r="R114" i="27"/>
  <c r="P57" i="27"/>
  <c r="P114" i="27"/>
  <c r="P50" i="27"/>
  <c r="AD50" i="27"/>
  <c r="AD57" i="27"/>
  <c r="AO49" i="27"/>
  <c r="AO58" i="27"/>
  <c r="W114" i="27"/>
  <c r="W50" i="27"/>
  <c r="AA73" i="27" s="1"/>
  <c r="W57" i="27"/>
  <c r="AQ49" i="27"/>
  <c r="AQ58" i="27"/>
  <c r="Q58" i="27"/>
  <c r="Q49" i="27"/>
  <c r="AJ49" i="27"/>
  <c r="AJ58" i="27"/>
  <c r="AG50" i="27"/>
  <c r="AK73" i="27" s="1"/>
  <c r="AG57" i="27"/>
  <c r="AN49" i="27"/>
  <c r="AN58" i="27"/>
  <c r="AL50" i="27"/>
  <c r="AP73" i="27" s="1"/>
  <c r="AL57" i="27"/>
  <c r="DQ4" i="27"/>
  <c r="DP5" i="27"/>
  <c r="DP61" i="27" s="1"/>
  <c r="AM50" i="27"/>
  <c r="AM57" i="27"/>
  <c r="AM114" i="27"/>
  <c r="DG49" i="27"/>
  <c r="DG58" i="27"/>
  <c r="AS48" i="27"/>
  <c r="AS58" i="27" s="1"/>
  <c r="DM60" i="27"/>
  <c r="DM41" i="27"/>
  <c r="DM40" i="27" s="1"/>
  <c r="DM43" i="27"/>
  <c r="DH56" i="27"/>
  <c r="DH47" i="27"/>
  <c r="Y73" i="27"/>
  <c r="DN65" i="27"/>
  <c r="DN39" i="27"/>
  <c r="AC49" i="27"/>
  <c r="AC58" i="27"/>
  <c r="DP6" i="27"/>
  <c r="DO37" i="27"/>
  <c r="DL40" i="27"/>
  <c r="AE73" i="27"/>
  <c r="DL56" i="27"/>
  <c r="DL47" i="27"/>
  <c r="V114" i="27"/>
  <c r="V57" i="27"/>
  <c r="V50" i="27"/>
  <c r="EF35" i="27" l="1"/>
  <c r="EE37" i="27"/>
  <c r="EE39" i="27" s="1"/>
  <c r="EE41" i="27" s="1"/>
  <c r="EE45" i="27" s="1"/>
  <c r="EJ3" i="27"/>
  <c r="AH73" i="27"/>
  <c r="EG38" i="27"/>
  <c r="AM73" i="27"/>
  <c r="AR50" i="27"/>
  <c r="AV73" i="27" s="1"/>
  <c r="AR57" i="27"/>
  <c r="AL73" i="27"/>
  <c r="W73" i="27"/>
  <c r="T57" i="27"/>
  <c r="T50" i="27"/>
  <c r="T73" i="27" s="1"/>
  <c r="T114" i="27"/>
  <c r="AT48" i="27"/>
  <c r="AT58" i="27" s="1"/>
  <c r="K57" i="27"/>
  <c r="K50" i="27"/>
  <c r="O73" i="27" s="1"/>
  <c r="K114" i="27"/>
  <c r="R73" i="27"/>
  <c r="DF57" i="27"/>
  <c r="DF50" i="27"/>
  <c r="DF73" i="27" s="1"/>
  <c r="AO50" i="27"/>
  <c r="AO73" i="27" s="1"/>
  <c r="AO57" i="27"/>
  <c r="DG57" i="27"/>
  <c r="DG50" i="27"/>
  <c r="AJ50" i="27"/>
  <c r="AJ73" i="27" s="1"/>
  <c r="AJ57" i="27"/>
  <c r="AD73" i="27"/>
  <c r="AB73" i="27"/>
  <c r="Q50" i="27"/>
  <c r="Q57" i="27"/>
  <c r="Q114" i="27"/>
  <c r="AN57" i="27"/>
  <c r="AN50" i="27"/>
  <c r="DQ5" i="27"/>
  <c r="L50" i="27"/>
  <c r="P73" i="27" s="1"/>
  <c r="L57" i="27"/>
  <c r="L114" i="27"/>
  <c r="AQ57" i="27"/>
  <c r="AQ50" i="27"/>
  <c r="DK50" i="27"/>
  <c r="DK57" i="27"/>
  <c r="DQ6" i="27"/>
  <c r="DP37" i="27"/>
  <c r="DP39" i="27" s="1"/>
  <c r="DL48" i="27"/>
  <c r="DL49" i="27" s="1"/>
  <c r="DM44" i="27"/>
  <c r="DM45" i="27" s="1"/>
  <c r="DM72" i="27"/>
  <c r="AS49" i="27"/>
  <c r="AC50" i="27"/>
  <c r="AC57" i="27"/>
  <c r="DN60" i="27"/>
  <c r="DN41" i="27"/>
  <c r="DN40" i="27" s="1"/>
  <c r="DN43" i="27"/>
  <c r="DH48" i="27"/>
  <c r="DH49" i="27" s="1"/>
  <c r="V73" i="27"/>
  <c r="Z73" i="27"/>
  <c r="DO65" i="27"/>
  <c r="DO39" i="27"/>
  <c r="DJ48" i="27"/>
  <c r="DJ49" i="27" s="1"/>
  <c r="EH38" i="27" l="1"/>
  <c r="X73" i="27"/>
  <c r="EG35" i="27"/>
  <c r="EF37" i="27"/>
  <c r="EF39" i="27" s="1"/>
  <c r="EF41" i="27" s="1"/>
  <c r="EF45" i="27" s="1"/>
  <c r="AT49" i="27"/>
  <c r="AT50" i="27" s="1"/>
  <c r="AT73" i="27" s="1"/>
  <c r="DG73" i="27"/>
  <c r="Q73" i="27"/>
  <c r="U73" i="27"/>
  <c r="AN73" i="27"/>
  <c r="AR73" i="27"/>
  <c r="AQ73" i="27"/>
  <c r="AU73" i="27"/>
  <c r="DM56" i="27"/>
  <c r="DJ50" i="27"/>
  <c r="DJ57" i="27"/>
  <c r="DJ88" i="27"/>
  <c r="DK88" i="27" s="1"/>
  <c r="DL88" i="27" s="1"/>
  <c r="DN45" i="27"/>
  <c r="DO43" i="27"/>
  <c r="DO60" i="27"/>
  <c r="DO41" i="27"/>
  <c r="AC73" i="27"/>
  <c r="AG73" i="27"/>
  <c r="DH50" i="27"/>
  <c r="DH57" i="27"/>
  <c r="DL57" i="27"/>
  <c r="DL50" i="27"/>
  <c r="DL73" i="27" s="1"/>
  <c r="DP41" i="27"/>
  <c r="DP60" i="27"/>
  <c r="DP43" i="27"/>
  <c r="AS50" i="27"/>
  <c r="AS73" i="27" s="1"/>
  <c r="AS57" i="27"/>
  <c r="DN44" i="27"/>
  <c r="DN72" i="27"/>
  <c r="DQ37" i="27"/>
  <c r="DQ39" i="27" s="1"/>
  <c r="EH35" i="27" l="1"/>
  <c r="EG37" i="27"/>
  <c r="EG39" i="27" s="1"/>
  <c r="EG41" i="27" s="1"/>
  <c r="EG45" i="27" s="1"/>
  <c r="EI38" i="27"/>
  <c r="AT57" i="27"/>
  <c r="DO72" i="27"/>
  <c r="DO44" i="27"/>
  <c r="DO45" i="27" s="1"/>
  <c r="DQ43" i="27"/>
  <c r="DP44" i="27"/>
  <c r="DP45" i="27" s="1"/>
  <c r="DH73" i="27"/>
  <c r="DI73" i="27"/>
  <c r="DM46" i="27"/>
  <c r="DM47" i="27" s="1"/>
  <c r="DJ73" i="27"/>
  <c r="DK73"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S37" i="27"/>
  <c r="DS39" i="27" s="1"/>
  <c r="DO56" i="27"/>
  <c r="DR41" i="27"/>
  <c r="DR60" i="27"/>
  <c r="EJ35" i="27" l="1"/>
  <c r="EJ37" i="27" s="1"/>
  <c r="EJ39" i="27" s="1"/>
  <c r="EJ41" i="27" s="1"/>
  <c r="EJ45" i="27" s="1"/>
  <c r="EI37" i="27"/>
  <c r="EI39" i="27" s="1"/>
  <c r="EI41" i="27" s="1"/>
  <c r="EI45" i="27" s="1"/>
  <c r="DQ56" i="27"/>
  <c r="DM50" i="27"/>
  <c r="DM73" i="27" s="1"/>
  <c r="DM57" i="27"/>
  <c r="DM88" i="27"/>
  <c r="DS60" i="27"/>
  <c r="DR44" i="27"/>
  <c r="DR45" i="27" s="1"/>
  <c r="DT60" i="27"/>
  <c r="DR40" i="27"/>
  <c r="DR56" i="27" l="1"/>
  <c r="DN46" i="27"/>
  <c r="DN47" i="27" s="1"/>
  <c r="DS56" i="27" l="1"/>
  <c r="DT56" i="27"/>
  <c r="DN48" i="27"/>
  <c r="DN49" i="27" s="1"/>
  <c r="DN57" i="27" l="1"/>
  <c r="DN50" i="27"/>
  <c r="DN73" i="27" s="1"/>
  <c r="DN88" i="27"/>
  <c r="DO46" i="27" l="1"/>
  <c r="DO47" i="27" s="1"/>
  <c r="DO48" i="27" l="1"/>
  <c r="DO49" i="27" s="1"/>
  <c r="DO50" i="27" l="1"/>
  <c r="DO73" i="27" s="1"/>
  <c r="DO57" i="27"/>
  <c r="DO88" i="27"/>
  <c r="DP46" i="27" l="1"/>
  <c r="DP47" i="27" s="1"/>
  <c r="DP48" i="27" l="1"/>
  <c r="DP49" i="27" s="1"/>
  <c r="DP50" i="27" l="1"/>
  <c r="DP57" i="27"/>
  <c r="DP88" i="27"/>
  <c r="DQ46" i="27" l="1"/>
  <c r="DQ47" i="27" s="1"/>
  <c r="DQ48" i="27" l="1"/>
  <c r="DQ49" i="27" s="1"/>
  <c r="DQ57" i="27" l="1"/>
  <c r="DQ50" i="27"/>
  <c r="DQ88" i="27"/>
  <c r="DR46" i="27" l="1"/>
  <c r="DR47" i="27" s="1"/>
  <c r="DR48" i="27" l="1"/>
  <c r="DR49" i="27" s="1"/>
  <c r="DR50" i="27" l="1"/>
  <c r="DR57" i="27"/>
  <c r="DR88" i="27"/>
  <c r="DS47" i="27" l="1"/>
  <c r="DS48" i="27" l="1"/>
  <c r="DS49" i="27" s="1"/>
  <c r="DS57" i="27" l="1"/>
  <c r="DS50" i="27"/>
  <c r="DS88" i="27"/>
  <c r="DT47" i="27" l="1"/>
  <c r="DT48" i="27" l="1"/>
  <c r="DT49" i="27" s="1"/>
  <c r="DT50" i="27" l="1"/>
  <c r="DT57" i="27"/>
  <c r="DT88" i="27"/>
  <c r="DV50" i="27" l="1"/>
  <c r="EA47" i="27" l="1"/>
  <c r="EA48" i="27" l="1"/>
  <c r="EA49" i="27" s="1"/>
  <c r="EA50" i="27" l="1"/>
  <c r="EA88" i="27"/>
  <c r="EB46" i="27" l="1"/>
  <c r="EB47" i="27" s="1"/>
  <c r="EB48" i="27" l="1"/>
  <c r="EB49" i="27" s="1"/>
  <c r="EB50" i="27" l="1"/>
  <c r="EB88" i="27"/>
  <c r="EC46" i="27" l="1"/>
  <c r="EC47" i="27" s="1"/>
  <c r="EC48" i="27" l="1"/>
  <c r="EC49" i="27" s="1"/>
  <c r="EC50" i="27" l="1"/>
  <c r="EC88" i="27"/>
  <c r="ED46" i="27" l="1"/>
  <c r="ED47" i="27" s="1"/>
  <c r="ED48" i="27" l="1"/>
  <c r="ED49" i="27" s="1"/>
  <c r="ED50" i="27" l="1"/>
  <c r="ED88" i="27"/>
  <c r="EE46" i="27" l="1"/>
  <c r="EE47" i="27" s="1"/>
  <c r="EE48" i="27" l="1"/>
  <c r="EE49" i="27" s="1"/>
  <c r="EE50" i="27" l="1"/>
  <c r="EE88" i="27"/>
  <c r="EF46" i="27" l="1"/>
  <c r="EF47" i="27" s="1"/>
  <c r="EF48" i="27" l="1"/>
  <c r="EF49" i="27" s="1"/>
  <c r="EF50" i="27" l="1"/>
  <c r="EF88" i="27"/>
  <c r="EG46" i="27" l="1"/>
  <c r="EG47" i="27" s="1"/>
  <c r="EG48" i="27" l="1"/>
  <c r="EG49" i="27" s="1"/>
  <c r="EG50" i="27" l="1"/>
  <c r="EG88" i="27"/>
  <c r="EH46" i="27" l="1"/>
  <c r="EH47" i="27" s="1"/>
  <c r="EH48" i="27" l="1"/>
  <c r="EH49" i="27" s="1"/>
  <c r="EH50" i="27" l="1"/>
  <c r="EH88" i="27"/>
  <c r="EI46" i="27" l="1"/>
  <c r="EI47" i="27" s="1"/>
  <c r="EI48" i="27" l="1"/>
  <c r="EI49" i="27" s="1"/>
  <c r="EI50" i="27" l="1"/>
  <c r="EI88"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88" i="27"/>
  <c r="GS49" i="27" l="1"/>
  <c r="GT49" i="27" s="1"/>
  <c r="GU49" i="27" s="1"/>
  <c r="GV49" i="27" s="1"/>
  <c r="GW49" i="27" s="1"/>
  <c r="GX49" i="27" s="1"/>
  <c r="GY49" i="27" s="1"/>
  <c r="GZ49" i="27" s="1"/>
  <c r="HA49" i="27" s="1"/>
  <c r="HB49" i="27" s="1"/>
  <c r="D15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1" authorId="0" shapeId="0" xr:uid="{00000000-0006-0000-0100-00003A000000}">
      <text>
        <r>
          <rPr>
            <b/>
            <sz val="8"/>
            <color indexed="81"/>
            <rFont val="Tahoma"/>
            <family val="2"/>
          </rPr>
          <t>Martin Shkreli:</t>
        </r>
        <r>
          <rPr>
            <sz val="8"/>
            <color indexed="81"/>
            <rFont val="Tahoma"/>
            <family val="2"/>
          </rPr>
          <t xml:space="preserve">
30-40% growth guidance</t>
        </r>
      </text>
    </comment>
    <comment ref="DF73"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<sst xmlns="http://schemas.openxmlformats.org/spreadsheetml/2006/main" count="1546" uniqueCount="1324">
  <si>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</si>
  <si>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</si>
  <si>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</si>
  <si>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</si>
  <si>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</si>
  <si>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</si>
  <si>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</si>
  <si>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</si>
  <si>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</si>
  <si>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</si>
  <si>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</si>
  <si>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</si>
  <si>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</si>
  <si>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</si>
  <si>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</si>
  <si>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</si>
  <si>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</si>
  <si>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</si>
  <si>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</si>
  <si>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</si>
  <si>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</si>
  <si>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</si>
  <si>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</si>
  <si>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</si>
  <si>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</si>
  <si>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</si>
  <si>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</si>
  <si>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</si>
  <si>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</si>
  <si>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</si>
  <si>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</si>
  <si>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</si>
  <si>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</si>
  <si>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</si>
  <si>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</si>
  <si>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</si>
  <si>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</si>
  <si>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</si>
  <si>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</si>
  <si>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</si>
  <si>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</si>
  <si>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</si>
  <si>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</si>
  <si>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</si>
  <si>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</si>
  <si>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</si>
  <si>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</si>
  <si>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</si>
  <si>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</si>
  <si>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</si>
  <si>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</si>
  <si>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</si>
  <si>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</si>
  <si>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</si>
  <si>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</si>
  <si>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</si>
  <si>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</si>
  <si>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</si>
  <si>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</si>
  <si>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</si>
  <si>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</si>
  <si>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</si>
  <si>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</si>
  <si>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</si>
  <si>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</si>
  <si>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</si>
  <si>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</si>
  <si>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</si>
  <si>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</si>
  <si>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</si>
  <si>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</si>
  <si>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</si>
  <si>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</si>
  <si>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</si>
  <si>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</si>
  <si>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</si>
  <si>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</si>
  <si>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</si>
  <si>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</si>
  <si>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</si>
  <si>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</si>
  <si>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</si>
  <si>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</si>
  <si>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</si>
  <si>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</si>
  <si>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</si>
  <si>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</si>
  <si>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</si>
  <si>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</si>
  <si>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</si>
  <si>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</si>
  <si>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</si>
  <si>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</si>
  <si>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</si>
  <si>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</si>
  <si>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</si>
  <si>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</si>
  <si>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</si>
  <si>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</si>
  <si>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</si>
  <si>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</si>
  <si>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</si>
  <si>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</si>
  <si>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</si>
  <si>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</si>
  <si>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</si>
  <si>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</si>
  <si>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</si>
  <si>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</si>
  <si>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</si>
  <si>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</si>
  <si>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</si>
  <si>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</si>
  <si>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</si>
  <si>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</si>
  <si>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</si>
  <si>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</si>
  <si>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</si>
  <si>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</si>
  <si>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</si>
  <si>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</si>
  <si>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</si>
  <si>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</si>
  <si>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</si>
  <si>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</si>
  <si>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</si>
  <si>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</si>
  <si>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</si>
  <si>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</si>
  <si>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</si>
  <si>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</si>
  <si>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</si>
  <si>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</si>
  <si>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</si>
  <si>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</si>
  <si>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</si>
  <si>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</si>
  <si>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</si>
  <si>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</si>
  <si>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</si>
  <si>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</si>
  <si>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</si>
  <si>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</si>
  <si>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</si>
  <si>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</si>
  <si>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</si>
  <si>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</si>
  <si>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</si>
  <si>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</si>
  <si>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</si>
  <si>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</si>
  <si>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</si>
  <si>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</si>
  <si>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</si>
  <si>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</si>
  <si>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</si>
  <si>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</si>
  <si>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</si>
  <si>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</si>
  <si>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</si>
  <si>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</si>
  <si>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</si>
  <si>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</si>
  <si>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</si>
  <si>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</si>
  <si>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</si>
  <si>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</si>
  <si>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</si>
  <si>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</si>
  <si>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</si>
  <si>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</si>
  <si>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</si>
  <si>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</si>
  <si>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</si>
  <si>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</si>
  <si>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</si>
  <si>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</si>
  <si>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</si>
  <si>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</si>
  <si>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</si>
  <si>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</si>
  <si>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</si>
  <si>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</si>
  <si>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</si>
  <si>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</si>
  <si>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</si>
  <si>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</si>
  <si>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</si>
  <si>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</si>
  <si>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</si>
  <si>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</si>
  <si>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</si>
  <si>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</si>
  <si>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</si>
  <si>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</si>
  <si>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</si>
  <si>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</si>
  <si>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</si>
  <si>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</si>
  <si>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</si>
  <si>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</si>
  <si>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</si>
  <si>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</si>
  <si>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</si>
  <si>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</si>
  <si>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</si>
  <si>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</si>
  <si>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</si>
  <si>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</si>
  <si>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</si>
  <si>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</si>
  <si>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</si>
  <si>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</si>
  <si>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</si>
  <si>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</si>
  <si>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</si>
  <si>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</si>
  <si>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</si>
  <si>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</si>
  <si>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</si>
  <si>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</si>
  <si>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</si>
  <si>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</si>
  <si>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</si>
  <si>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</si>
  <si>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</si>
  <si>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</si>
  <si>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</si>
  <si>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</si>
  <si>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</si>
  <si>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</si>
  <si>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</si>
  <si>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</si>
  <si>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</si>
  <si>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</si>
  <si>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</si>
  <si>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</si>
  <si>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</si>
  <si>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</si>
  <si>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</si>
  <si>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</si>
  <si>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</si>
  <si>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</si>
  <si>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</si>
  <si>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</si>
  <si>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</si>
  <si>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</si>
  <si>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</si>
  <si>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</si>
  <si>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</si>
  <si>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</si>
  <si>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</si>
  <si>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</si>
  <si>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</si>
  <si>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</si>
  <si>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</si>
  <si>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</si>
  <si>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</si>
  <si>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</si>
  <si>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</si>
  <si>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</si>
  <si>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</si>
  <si>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</si>
  <si>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</si>
  <si>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</si>
  <si>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</si>
  <si>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</si>
  <si>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</si>
  <si>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</si>
  <si>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</si>
  <si>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</si>
  <si>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</si>
  <si>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</si>
  <si>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</si>
  <si>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</si>
  <si>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</si>
  <si>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</si>
  <si>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</si>
  <si>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</si>
  <si>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</si>
  <si>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</si>
  <si>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</si>
  <si>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</si>
  <si>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</si>
  <si>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</si>
  <si>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</si>
  <si>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</si>
  <si>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</si>
  <si>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</si>
  <si>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</si>
  <si>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</si>
  <si>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</si>
  <si>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</si>
  <si>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</si>
  <si>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</si>
  <si>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</si>
  <si>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</si>
  <si>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</si>
  <si>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</si>
  <si>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</si>
  <si>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</si>
  <si>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</si>
  <si>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</si>
  <si>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</si>
  <si>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</si>
  <si>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</si>
  <si>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</si>
  <si>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</si>
  <si>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</si>
  <si>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</si>
  <si>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</si>
  <si>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</si>
  <si>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</si>
  <si>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</si>
  <si>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</si>
  <si>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</si>
  <si>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</si>
  <si>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</si>
  <si>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</si>
  <si>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</si>
  <si>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</si>
  <si>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</si>
  <si>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</si>
  <si>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</si>
  <si>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</si>
  <si>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</si>
  <si>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</si>
  <si>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</si>
  <si>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</si>
  <si>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</si>
  <si>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</si>
  <si>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</si>
  <si>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</si>
  <si>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</si>
  <si>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</si>
  <si>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</si>
  <si>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</si>
  <si>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</si>
  <si>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</si>
  <si>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</si>
  <si>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</si>
  <si>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</si>
  <si>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</si>
  <si>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</si>
  <si>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</si>
  <si>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</si>
  <si>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</si>
  <si>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</si>
  <si>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</si>
  <si>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</si>
  <si>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</si>
  <si>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</si>
  <si>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</si>
  <si>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</si>
  <si>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</si>
  <si>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</si>
  <si>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</si>
  <si>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</si>
  <si>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</si>
  <si>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</si>
  <si>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</si>
  <si>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</si>
  <si>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</si>
  <si>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</si>
  <si>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</si>
  <si>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</si>
  <si>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</si>
  <si>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</si>
  <si>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</si>
  <si>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</si>
  <si>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</si>
  <si>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</si>
  <si>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</si>
  <si>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</si>
  <si>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</si>
  <si>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</si>
  <si>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</si>
  <si>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</si>
  <si>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</si>
  <si>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</si>
  <si>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</si>
  <si>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</si>
  <si>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</si>
  <si>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NI</t>
  </si>
  <si>
    <t>Options Expense</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</si>
  <si>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</si>
  <si>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</si>
  <si>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</si>
  <si>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</si>
  <si>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</si>
  <si>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</si>
  <si>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</si>
  <si>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</si>
  <si>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</si>
  <si>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</si>
  <si>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</si>
  <si>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</si>
  <si>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</si>
  <si>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</si>
  <si>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</si>
  <si>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</si>
  <si>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</si>
  <si>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</si>
  <si>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</si>
  <si>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</si>
  <si>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</si>
  <si>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</si>
  <si>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</si>
  <si>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</si>
  <si>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</si>
  <si>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</si>
  <si>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</si>
  <si>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</si>
  <si>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</si>
  <si>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</si>
  <si>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</si>
  <si>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</si>
  <si>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</si>
  <si>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</si>
  <si>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</si>
  <si>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</si>
  <si>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</si>
  <si>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</si>
  <si>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</si>
  <si>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</si>
  <si>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</si>
  <si>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</si>
  <si>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</si>
  <si>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</si>
  <si>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</si>
  <si>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</si>
  <si>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</si>
  <si>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</si>
  <si>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</si>
  <si>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</si>
  <si>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</si>
  <si>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</si>
  <si>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</si>
  <si>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</si>
  <si>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</si>
  <si>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</si>
  <si>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</si>
  <si>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</si>
  <si>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</si>
  <si>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</si>
  <si>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</si>
  <si>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</si>
  <si>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</si>
  <si>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</si>
  <si>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</si>
  <si>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</si>
  <si>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</si>
  <si>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</si>
  <si>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</si>
  <si>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</si>
  <si>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</si>
  <si>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</si>
  <si>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</si>
  <si>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</si>
  <si>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</si>
  <si>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</si>
  <si>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</si>
  <si>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</si>
  <si>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</si>
  <si>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</si>
  <si>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</si>
  <si>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</si>
  <si>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</si>
  <si>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</si>
  <si>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</si>
  <si>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</si>
  <si>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</si>
  <si>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</si>
  <si>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</si>
  <si>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</si>
  <si>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</si>
  <si>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</si>
  <si>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</si>
  <si>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</si>
  <si>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</si>
  <si>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</si>
  <si>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</si>
  <si>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</si>
  <si>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</si>
  <si>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</si>
  <si>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</si>
  <si>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</si>
  <si>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</si>
  <si>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</si>
  <si>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</si>
  <si>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</si>
  <si>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</si>
  <si>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</si>
  <si>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</si>
  <si>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</si>
  <si>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</si>
  <si>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</si>
  <si>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</si>
  <si>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</si>
  <si>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</si>
  <si>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</si>
  <si>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</si>
  <si>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</si>
  <si>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</si>
  <si>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</si>
  <si>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</si>
  <si>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</si>
  <si>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</si>
  <si>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</si>
  <si>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</si>
  <si>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</si>
  <si>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</si>
  <si>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</si>
  <si>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</si>
  <si>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</si>
  <si>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</si>
  <si>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</si>
  <si>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</si>
  <si>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</si>
  <si>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</si>
  <si>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</si>
  <si>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</si>
  <si>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</si>
  <si>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</si>
  <si>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</si>
  <si>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</si>
  <si>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</si>
  <si>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</si>
  <si>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</si>
  <si>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</si>
  <si>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</si>
  <si>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</si>
  <si>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</si>
  <si>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</si>
  <si>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</si>
  <si>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</si>
  <si>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</si>
  <si>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</si>
  <si>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</si>
  <si>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</si>
  <si>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</si>
  <si>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</si>
  <si>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</si>
  <si>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</si>
  <si>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</si>
  <si>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</si>
  <si>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</si>
  <si>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</si>
  <si>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</si>
  <si>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</si>
  <si>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</si>
  <si>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</si>
  <si>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</si>
  <si>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</si>
  <si>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</si>
  <si>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</si>
  <si>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</si>
  <si>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</si>
  <si>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</si>
  <si>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</si>
  <si>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</si>
  <si>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</si>
  <si>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</si>
  <si>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</si>
  <si>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</si>
  <si>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</si>
  <si>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</si>
  <si>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</si>
  <si>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</si>
  <si>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</si>
  <si>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</si>
  <si>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</si>
  <si>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</si>
  <si>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</si>
  <si>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</si>
  <si>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</si>
  <si>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</si>
  <si>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</si>
  <si>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</si>
  <si>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</si>
  <si>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</si>
  <si>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</si>
  <si>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</si>
  <si>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</si>
  <si>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</si>
  <si>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</si>
  <si>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</si>
  <si>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</si>
  <si>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</si>
  <si>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</si>
  <si>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</si>
  <si>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</si>
  <si>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</si>
  <si>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</si>
  <si>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</si>
  <si>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</si>
  <si>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</si>
  <si>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</si>
  <si>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</si>
  <si>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</si>
  <si>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</si>
  <si>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</si>
  <si>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</si>
  <si>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</si>
  <si>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</si>
  <si>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</si>
  <si>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</si>
  <si>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</si>
  <si>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</si>
  <si>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</si>
  <si>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</si>
  <si>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</si>
  <si>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</si>
  <si>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</si>
  <si>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</si>
  <si>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</si>
  <si>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</si>
  <si>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</si>
  <si>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</si>
  <si>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</si>
  <si>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</si>
  <si>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</si>
  <si>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</si>
  <si>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</si>
  <si>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</si>
  <si>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</si>
  <si>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</si>
  <si>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</si>
  <si>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</si>
  <si>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</si>
  <si>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</si>
  <si>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</si>
  <si>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</si>
  <si>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</si>
  <si>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</si>
  <si>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</si>
  <si>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</si>
  <si>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</si>
  <si>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</si>
  <si>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</si>
  <si>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</si>
  <si>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</si>
  <si>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</si>
  <si>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</si>
  <si>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</si>
  <si>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</si>
  <si>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</si>
  <si>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</si>
  <si>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</si>
  <si>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</si>
  <si>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</si>
  <si>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</si>
  <si>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</si>
  <si>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</si>
  <si>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</si>
  <si>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</si>
  <si>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</si>
  <si>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</si>
  <si>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</si>
  <si>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</si>
  <si>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</si>
  <si>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</si>
  <si>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</si>
  <si>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</si>
  <si>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</si>
  <si>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</si>
  <si>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</si>
  <si>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</si>
  <si>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</si>
  <si>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</si>
  <si>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</si>
  <si>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</si>
  <si>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</si>
  <si>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</si>
  <si>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</si>
  <si>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</si>
  <si>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</si>
  <si>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</si>
  <si>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</si>
  <si>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</si>
  <si>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</si>
  <si>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</si>
  <si>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</si>
  <si>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</si>
  <si>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</si>
  <si>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</si>
  <si>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</si>
  <si>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</si>
  <si>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</si>
  <si>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</si>
  <si>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</si>
  <si>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</si>
  <si>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</si>
  <si>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</si>
  <si>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</si>
  <si>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</si>
  <si>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</si>
  <si>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</si>
  <si>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</si>
  <si>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</si>
  <si>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</si>
  <si>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</si>
  <si>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</si>
  <si>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</si>
  <si>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</si>
  <si>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</si>
  <si>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</si>
  <si>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</si>
  <si>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</si>
  <si>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</si>
  <si>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</si>
  <si>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</si>
  <si>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</si>
  <si>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</si>
  <si>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</si>
  <si>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</si>
  <si>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</si>
  <si>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</si>
  <si>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</si>
  <si>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</si>
  <si>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</si>
  <si>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</si>
  <si>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</si>
  <si>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</si>
  <si>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</si>
  <si>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</si>
  <si>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</si>
  <si>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</si>
  <si>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</si>
  <si>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</si>
  <si>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</si>
  <si>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</si>
  <si>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</si>
  <si>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</si>
  <si>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</si>
  <si>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</si>
  <si>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</si>
  <si>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</si>
  <si>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</si>
  <si>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</si>
  <si>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</si>
  <si>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</si>
  <si>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</si>
  <si>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</si>
  <si>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</si>
  <si>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</si>
  <si>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</si>
  <si>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</si>
  <si>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</si>
  <si>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</si>
  <si>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</si>
  <si>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</si>
  <si>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</si>
  <si>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</si>
  <si>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</si>
  <si>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Injectable</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</si>
  <si>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</si>
  <si>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</si>
  <si>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</si>
  <si>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</si>
  <si>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</si>
  <si>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</si>
  <si>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</si>
  <si>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</si>
  <si>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</si>
  <si>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</si>
  <si>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</si>
  <si>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</si>
  <si>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</si>
  <si>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</si>
  <si>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</si>
  <si>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</si>
  <si>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</si>
  <si>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</si>
  <si>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</si>
  <si>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</si>
  <si>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</si>
  <si>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</si>
  <si>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</si>
  <si>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</si>
  <si>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</si>
  <si>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</si>
  <si>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</si>
  <si>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</si>
  <si>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</si>
  <si>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</si>
  <si>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</si>
  <si>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</si>
  <si>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</si>
  <si>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</si>
  <si>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</si>
  <si>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</si>
  <si>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</si>
  <si>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</si>
  <si>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</si>
  <si>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</si>
  <si>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</si>
  <si>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</si>
  <si>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</si>
  <si>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</si>
  <si>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</si>
  <si>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</si>
  <si>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</si>
  <si>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</si>
  <si>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</si>
  <si>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</si>
  <si>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</si>
  <si>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</si>
  <si>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</si>
  <si>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</si>
  <si>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</si>
  <si>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</si>
  <si>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</si>
  <si>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</si>
  <si>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</si>
  <si>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</si>
  <si>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</si>
  <si>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</si>
  <si>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</si>
  <si>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</si>
  <si>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</si>
  <si>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</si>
  <si>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</si>
  <si>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</si>
  <si>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</si>
  <si>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</si>
  <si>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</si>
  <si>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</si>
  <si>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</si>
  <si>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</si>
  <si>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</si>
  <si>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</si>
  <si>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</si>
  <si>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</si>
  <si>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</si>
  <si>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</si>
  <si>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</si>
  <si>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</si>
  <si>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</si>
  <si>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</si>
  <si>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</si>
  <si>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</si>
  <si>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</si>
  <si>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</si>
  <si>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</si>
  <si>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</si>
  <si>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</si>
  <si>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</si>
  <si>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</si>
  <si>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</si>
  <si>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</si>
  <si>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</si>
  <si>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</si>
  <si>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</si>
  <si>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</si>
  <si>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</si>
  <si>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</si>
  <si>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</si>
  <si>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</si>
  <si>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</si>
  <si>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</si>
  <si>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</si>
  <si>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</si>
  <si>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</si>
  <si>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</si>
  <si>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</si>
  <si>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</si>
  <si>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</si>
  <si>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</si>
  <si>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</si>
  <si>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</si>
  <si>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</si>
  <si>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</si>
  <si>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</si>
  <si>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</si>
  <si>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</si>
  <si>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</si>
  <si>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</si>
  <si>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</si>
  <si>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</si>
  <si>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</si>
  <si>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</si>
  <si>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</si>
  <si>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</si>
  <si>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</si>
  <si>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</si>
  <si>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</si>
  <si>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</si>
  <si>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</si>
  <si>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</si>
  <si>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</si>
  <si>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</si>
  <si>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</si>
  <si>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</si>
  <si>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</si>
  <si>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</si>
  <si>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</si>
  <si>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</si>
  <si>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</si>
  <si>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</si>
  <si>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</si>
  <si>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</si>
  <si>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</si>
  <si>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</si>
  <si>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</si>
  <si>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</si>
  <si>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</si>
  <si>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</si>
  <si>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</si>
  <si>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</si>
  <si>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</si>
  <si>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</si>
  <si>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</si>
  <si>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</si>
  <si>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</si>
  <si>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</si>
  <si>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</si>
  <si>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</si>
  <si>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</si>
  <si>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</si>
  <si>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</si>
  <si>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</si>
  <si>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</si>
  <si>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</si>
  <si>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</si>
  <si>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</si>
  <si>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</si>
  <si>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</si>
  <si>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</si>
  <si>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</si>
  <si>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</si>
  <si>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</si>
  <si>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</si>
  <si>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</si>
  <si>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</si>
  <si>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</si>
  <si>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</si>
  <si>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</si>
  <si>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</si>
  <si>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</si>
  <si>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</si>
  <si>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</si>
  <si>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</si>
  <si>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</si>
  <si>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</si>
  <si>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</si>
  <si>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</si>
  <si>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</si>
  <si>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</si>
  <si>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</si>
  <si>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</si>
  <si>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</si>
  <si>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</si>
  <si>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</si>
  <si>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</si>
  <si>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</si>
  <si>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</si>
  <si>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</si>
  <si>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</si>
  <si>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</si>
  <si>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</si>
  <si>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</si>
  <si>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</si>
  <si>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</si>
  <si>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</si>
  <si>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</si>
  <si>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</si>
  <si>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</si>
  <si>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</si>
  <si>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</si>
  <si>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</si>
  <si>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</si>
  <si>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</si>
  <si>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</si>
  <si>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</si>
  <si>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</si>
  <si>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</si>
  <si>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</si>
  <si>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</si>
  <si>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</si>
  <si>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</si>
  <si>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</si>
  <si>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</si>
  <si>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</si>
  <si>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</si>
  <si>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</si>
  <si>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</si>
  <si>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</si>
  <si>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</si>
  <si>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</si>
  <si>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</si>
  <si>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</si>
  <si>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</si>
  <si>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</si>
  <si>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</si>
  <si>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</si>
  <si>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</si>
  <si>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</si>
  <si>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</si>
  <si>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</si>
  <si>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</si>
  <si>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</si>
  <si>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</si>
  <si>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</si>
  <si>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</si>
  <si>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</si>
  <si>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</si>
  <si>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</si>
  <si>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</si>
  <si>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</si>
  <si>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</si>
  <si>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</si>
  <si>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</si>
  <si>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</si>
  <si>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</si>
  <si>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</si>
  <si>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</si>
  <si>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</si>
  <si>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</si>
  <si>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</si>
  <si>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</si>
  <si>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</si>
  <si>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</si>
  <si>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</si>
  <si>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</si>
  <si>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</si>
  <si>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</si>
  <si>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</si>
  <si>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</si>
  <si>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</si>
  <si>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</si>
  <si>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</si>
  <si>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</si>
  <si>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</si>
  <si>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</si>
  <si>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</si>
  <si>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</si>
  <si>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</si>
  <si>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</si>
  <si>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</si>
  <si>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</si>
  <si>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</si>
  <si>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</si>
  <si>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</si>
  <si>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</si>
  <si>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</si>
  <si>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</si>
  <si>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</si>
  <si>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</si>
  <si>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</si>
  <si>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</si>
  <si>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</si>
  <si>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</si>
  <si>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</si>
  <si>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</si>
  <si>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</si>
  <si>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</si>
  <si>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</si>
  <si>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</si>
  <si>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</si>
  <si>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</si>
  <si>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</si>
  <si>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</si>
  <si>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</si>
  <si>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</si>
  <si>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</si>
  <si>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</si>
  <si>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</si>
  <si>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</si>
  <si>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</si>
  <si>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</si>
  <si>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</si>
  <si>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</si>
  <si>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</si>
  <si>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</si>
  <si>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</si>
  <si>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</si>
  <si>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</si>
  <si>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</si>
  <si>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</si>
  <si>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</si>
  <si>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</si>
  <si>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</si>
  <si>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</si>
  <si>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</si>
  <si>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</si>
  <si>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</si>
  <si>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</si>
  <si>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</si>
  <si>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</si>
  <si>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</si>
  <si>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</si>
  <si>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</si>
  <si>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</si>
  <si>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</si>
  <si>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</si>
  <si>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</si>
  <si>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</si>
  <si>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D&amp;A</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</si>
  <si>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</si>
  <si>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</si>
  <si>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</si>
  <si>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</si>
  <si>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</si>
  <si>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</si>
  <si>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</si>
  <si>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</si>
  <si>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</si>
  <si>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</si>
  <si>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</si>
  <si>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</si>
  <si>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</si>
  <si>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</si>
  <si>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</si>
  <si>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</si>
  <si>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</si>
  <si>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</si>
  <si>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</si>
  <si>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</si>
  <si>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</si>
  <si>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</si>
  <si>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</si>
  <si>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</si>
  <si>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</si>
  <si>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</si>
  <si>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</si>
  <si>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</si>
  <si>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</si>
  <si>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</si>
  <si>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</si>
  <si>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</si>
  <si>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</si>
  <si>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</si>
  <si>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</si>
  <si>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</si>
  <si>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</si>
  <si>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</si>
  <si>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</si>
  <si>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</si>
  <si>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PMO</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</si>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</sst>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7">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3" fontId="0" fillId="0" borderId="0" xfId="0" applyNumberFormat="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0" fontId="0" fillId="0" borderId="0" xfId="0" applyAlignment="1">
      <alignment horizontal="right"/>
    </xf>
    <xf numFmtId="0" fontId="9" fillId="0" borderId="0" xfId="0" applyFont="1" applyAlignment="1">
      <alignment horizontal="right"/>
    </xf>
    <xf numFmtId="3" fontId="1" fillId="0" borderId="0" xfId="0" applyNumberFormat="1" applyFont="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44094</xdr:colOff>
      <xdr:row>0</xdr:row>
      <xdr:rowOff>0</xdr:rowOff>
    </xdr:from>
    <xdr:to>
      <xdr:col>96</xdr:col>
      <xdr:colOff>44094</xdr:colOff>
      <xdr:row>119</xdr:row>
      <xdr:rowOff>119061</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53709532" y="0"/>
          <a:ext cx="0" cy="1995487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16328</xdr:colOff>
      <xdr:row>0</xdr:row>
      <xdr:rowOff>0</xdr:rowOff>
    </xdr:from>
    <xdr:to>
      <xdr:col>127</xdr:col>
      <xdr:colOff>16328</xdr:colOff>
      <xdr:row>86</xdr:row>
      <xdr:rowOff>0</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58869942" y="0"/>
          <a:ext cx="0" cy="137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defaultColWidth="8.85546875" defaultRowHeight="12.75"/>
  <cols>
    <col min="1" max="1" width="5" bestFit="1" customWidth="1"/>
    <col min="2" max="2" width="20.85546875" customWidth="1"/>
  </cols>
  <sheetData>
    <row r="1" spans="1:6">
      <c r="A1" s="11" t="s">
        <v>5</v>
      </c>
    </row>
    <row r="2" spans="1:6">
      <c r="B2" t="s">
        <v>1210</v>
      </c>
      <c r="C2" t="s">
        <v>3</v>
      </c>
      <c r="D2" t="s">
        <v>1211</v>
      </c>
      <c r="E2" t="s">
        <v>6</v>
      </c>
      <c r="F2" t="s">
        <v>1212</v>
      </c>
    </row>
    <row r="3" spans="1:6">
      <c r="B3" s="25" t="s">
        <v>213</v>
      </c>
      <c r="C3" s="29" t="s">
        <v>1050</v>
      </c>
      <c r="D3" s="6" t="s">
        <v>812</v>
      </c>
      <c r="E3" s="12">
        <v>1</v>
      </c>
      <c r="F3" t="s">
        <v>1213</v>
      </c>
    </row>
    <row r="4" spans="1:6">
      <c r="B4" s="5" t="s">
        <v>1242</v>
      </c>
    </row>
    <row r="5" spans="1:6">
      <c r="B5" s="5" t="s">
        <v>1245</v>
      </c>
    </row>
    <row r="6" spans="1:6">
      <c r="B6" s="5" t="s">
        <v>1251</v>
      </c>
    </row>
    <row r="7" spans="1:6">
      <c r="B7" s="5" t="s">
        <v>1310</v>
      </c>
    </row>
    <row r="8" spans="1:6">
      <c r="B8" s="5" t="s">
        <v>1311</v>
      </c>
    </row>
    <row r="9" spans="1:6">
      <c r="B9" s="5" t="s">
        <v>1206</v>
      </c>
    </row>
    <row r="10" spans="1:6">
      <c r="B10" s="5" t="s">
        <v>1199</v>
      </c>
    </row>
    <row r="11" spans="1:6">
      <c r="B11" s="5" t="s">
        <v>1312</v>
      </c>
    </row>
    <row r="12" spans="1:6">
      <c r="B12" s="5" t="s">
        <v>1313</v>
      </c>
    </row>
    <row r="13" spans="1:6">
      <c r="B13" s="5" t="s">
        <v>1314</v>
      </c>
    </row>
    <row r="14" spans="1:6">
      <c r="B14" s="110" t="s">
        <v>1315</v>
      </c>
    </row>
    <row r="15" spans="1:6">
      <c r="B15" s="110" t="s">
        <v>1316</v>
      </c>
    </row>
    <row r="16" spans="1:6">
      <c r="B16" s="110" t="s">
        <v>1317</v>
      </c>
    </row>
    <row r="17" spans="2:8">
      <c r="B17" s="110" t="s">
        <v>1318</v>
      </c>
    </row>
    <row r="18" spans="2:8">
      <c r="B18" s="110" t="s">
        <v>1319</v>
      </c>
    </row>
    <row r="19" spans="2:8">
      <c r="B19" s="25" t="s">
        <v>212</v>
      </c>
      <c r="C19" s="6" t="s">
        <v>572</v>
      </c>
      <c r="D19" s="6" t="s">
        <v>812</v>
      </c>
      <c r="E19" s="12">
        <v>1</v>
      </c>
      <c r="F19" s="6">
        <v>1991</v>
      </c>
      <c r="G19" s="44" t="s">
        <v>1112</v>
      </c>
    </row>
    <row r="20" spans="2:8">
      <c r="B20" s="25" t="s">
        <v>1051</v>
      </c>
      <c r="C20" s="6" t="s">
        <v>1137</v>
      </c>
      <c r="D20" s="6" t="s">
        <v>34</v>
      </c>
      <c r="E20" s="12" t="s">
        <v>583</v>
      </c>
      <c r="F20" s="12"/>
      <c r="G20" s="66"/>
    </row>
    <row r="24" spans="2:8">
      <c r="B24" s="68" t="s">
        <v>1144</v>
      </c>
      <c r="C24" s="29" t="s">
        <v>1151</v>
      </c>
      <c r="D24" s="29" t="s">
        <v>1150</v>
      </c>
      <c r="E24" s="52" t="s">
        <v>1145</v>
      </c>
      <c r="F24" s="29"/>
      <c r="G24" s="29"/>
      <c r="H24" s="24"/>
    </row>
    <row r="25" spans="2:8">
      <c r="B25" s="25" t="s">
        <v>1044</v>
      </c>
      <c r="C25" s="6" t="s">
        <v>60</v>
      </c>
      <c r="D25" s="6" t="s">
        <v>813</v>
      </c>
      <c r="E25" s="12" t="s">
        <v>854</v>
      </c>
      <c r="F25" s="6" t="s">
        <v>855</v>
      </c>
      <c r="G25" s="6"/>
      <c r="H25" s="24"/>
    </row>
    <row r="26" spans="2:8">
      <c r="B26" s="68" t="s">
        <v>538</v>
      </c>
      <c r="C26" s="6"/>
      <c r="D26" s="29" t="s">
        <v>214</v>
      </c>
      <c r="E26" s="29"/>
      <c r="F26" s="6"/>
      <c r="G26" s="6"/>
      <c r="H26" s="24"/>
    </row>
    <row r="27" spans="2:8">
      <c r="B27" s="25" t="s">
        <v>126</v>
      </c>
      <c r="C27" s="29" t="s">
        <v>1052</v>
      </c>
      <c r="D27" s="6" t="s">
        <v>33</v>
      </c>
      <c r="E27" s="12">
        <v>1</v>
      </c>
      <c r="F27" s="6" t="s">
        <v>855</v>
      </c>
      <c r="G27" s="6"/>
    </row>
    <row r="28" spans="2:8">
      <c r="B28" s="5" t="s">
        <v>133</v>
      </c>
      <c r="C28" s="6" t="s">
        <v>134</v>
      </c>
      <c r="D28" s="6" t="s">
        <v>107</v>
      </c>
      <c r="E28" s="6"/>
      <c r="F28" s="6" t="s">
        <v>774</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601</v>
      </c>
    </row>
    <row r="3" spans="1:3">
      <c r="B3" s="4" t="s">
        <v>15</v>
      </c>
      <c r="C3" s="4" t="s">
        <v>16</v>
      </c>
    </row>
    <row r="4" spans="1:3">
      <c r="B4" s="4" t="s">
        <v>3</v>
      </c>
      <c r="C4" s="10" t="s">
        <v>398</v>
      </c>
    </row>
    <row r="5" spans="1:3">
      <c r="C5" s="4" t="s">
        <v>397</v>
      </c>
    </row>
    <row r="6" spans="1:3">
      <c r="C6" s="4" t="s">
        <v>966</v>
      </c>
    </row>
    <row r="7" spans="1:3">
      <c r="B7" s="4" t="s">
        <v>6</v>
      </c>
      <c r="C7" s="4" t="s">
        <v>500</v>
      </c>
    </row>
    <row r="8" spans="1:3">
      <c r="B8" s="4" t="s">
        <v>986</v>
      </c>
      <c r="C8" s="4" t="s">
        <v>992</v>
      </c>
    </row>
    <row r="9" spans="1:3">
      <c r="B9" s="4" t="s">
        <v>811</v>
      </c>
      <c r="C9" s="4" t="s">
        <v>597</v>
      </c>
    </row>
    <row r="10" spans="1:3">
      <c r="B10" s="4" t="s">
        <v>496</v>
      </c>
      <c r="C10" s="4" t="s">
        <v>993</v>
      </c>
    </row>
    <row r="11" spans="1:3">
      <c r="B11" s="10" t="s">
        <v>600</v>
      </c>
      <c r="C11" s="10" t="s">
        <v>902</v>
      </c>
    </row>
    <row r="12" spans="1:3">
      <c r="B12" s="4" t="s">
        <v>732</v>
      </c>
      <c r="C12" s="49" t="s">
        <v>903</v>
      </c>
    </row>
    <row r="13" spans="1:3">
      <c r="B13" s="4" t="s">
        <v>444</v>
      </c>
      <c r="C13" s="4" t="s">
        <v>679</v>
      </c>
    </row>
    <row r="14" spans="1:3">
      <c r="B14" s="4" t="s">
        <v>486</v>
      </c>
      <c r="C14" s="4" t="s">
        <v>494</v>
      </c>
    </row>
    <row r="15" spans="1:3">
      <c r="C15" s="10" t="s">
        <v>967</v>
      </c>
    </row>
    <row r="16" spans="1:3">
      <c r="B16" s="4" t="s">
        <v>112</v>
      </c>
      <c r="C16" s="4" t="s">
        <v>416</v>
      </c>
    </row>
    <row r="17" spans="2:4">
      <c r="C17" s="4" t="s">
        <v>809</v>
      </c>
    </row>
    <row r="18" spans="2:4">
      <c r="C18" s="4" t="s">
        <v>808</v>
      </c>
    </row>
    <row r="19" spans="2:4">
      <c r="C19" s="4" t="s">
        <v>912</v>
      </c>
    </row>
    <row r="20" spans="2:4">
      <c r="C20" s="4" t="s">
        <v>154</v>
      </c>
    </row>
    <row r="21" spans="2:4">
      <c r="B21" s="4" t="s">
        <v>1007</v>
      </c>
      <c r="C21" s="4" t="s">
        <v>420</v>
      </c>
      <c r="D21" s="6"/>
    </row>
    <row r="22" spans="2:4">
      <c r="B22" s="4" t="s">
        <v>254</v>
      </c>
      <c r="C22" s="4" t="s">
        <v>495</v>
      </c>
      <c r="D22" s="6"/>
    </row>
    <row r="23" spans="2:4">
      <c r="B23" s="4" t="s">
        <v>1010</v>
      </c>
      <c r="C23" s="4" t="s">
        <v>934</v>
      </c>
      <c r="D23" s="6"/>
    </row>
    <row r="24" spans="2:4">
      <c r="B24" s="4" t="s">
        <v>595</v>
      </c>
      <c r="C24" s="4" t="s">
        <v>596</v>
      </c>
      <c r="D24" s="6"/>
    </row>
    <row r="25" spans="2:4">
      <c r="B25" s="4" t="s">
        <v>802</v>
      </c>
      <c r="C25" s="4" t="s">
        <v>20</v>
      </c>
      <c r="D25" s="6"/>
    </row>
    <row r="26" spans="2:4">
      <c r="B26" s="4" t="s">
        <v>7</v>
      </c>
      <c r="C26" s="4" t="s">
        <v>50</v>
      </c>
      <c r="D26" s="6"/>
    </row>
    <row r="27" spans="2:4">
      <c r="C27" s="4" t="s">
        <v>426</v>
      </c>
      <c r="D27" s="6"/>
    </row>
    <row r="28" spans="2:4">
      <c r="B28" s="4" t="s">
        <v>144</v>
      </c>
      <c r="C28" s="4" t="s">
        <v>145</v>
      </c>
      <c r="D28" s="6"/>
    </row>
    <row r="29" spans="2:4">
      <c r="B29" s="4" t="s">
        <v>323</v>
      </c>
      <c r="D29" s="6"/>
    </row>
    <row r="30" spans="2:4">
      <c r="C30" s="22" t="s">
        <v>142</v>
      </c>
      <c r="D30" s="6"/>
    </row>
    <row r="31" spans="2:4">
      <c r="C31" s="4" t="s">
        <v>399</v>
      </c>
      <c r="D31" s="6"/>
    </row>
    <row r="32" spans="2:4">
      <c r="C32" s="4" t="s">
        <v>400</v>
      </c>
      <c r="D32" s="6"/>
    </row>
    <row r="33" spans="3:4">
      <c r="C33" s="4" t="s">
        <v>401</v>
      </c>
      <c r="D33" s="6"/>
    </row>
    <row r="34" spans="3:4">
      <c r="D34" s="6"/>
    </row>
    <row r="35" spans="3:4">
      <c r="C35" s="22" t="s">
        <v>143</v>
      </c>
    </row>
    <row r="36" spans="3:4">
      <c r="C36" s="16" t="s">
        <v>402</v>
      </c>
    </row>
    <row r="37" spans="3:4">
      <c r="C37" s="16" t="s">
        <v>137</v>
      </c>
    </row>
    <row r="38" spans="3:4">
      <c r="C38" s="16"/>
    </row>
    <row r="39" spans="3:4">
      <c r="C39" s="22" t="s">
        <v>468</v>
      </c>
    </row>
    <row r="40" spans="3:4">
      <c r="C40" s="16" t="s">
        <v>469</v>
      </c>
    </row>
    <row r="41" spans="3:4">
      <c r="C41" s="16" t="s">
        <v>470</v>
      </c>
    </row>
    <row r="42" spans="3:4">
      <c r="C42" s="16"/>
    </row>
    <row r="43" spans="3:4">
      <c r="C43" s="22" t="s">
        <v>138</v>
      </c>
    </row>
    <row r="44" spans="3:4">
      <c r="C44" s="4" t="s">
        <v>139</v>
      </c>
      <c r="D44" s="6"/>
    </row>
    <row r="45" spans="3:4">
      <c r="D45" s="6"/>
    </row>
    <row r="46" spans="3:4">
      <c r="C46" s="22" t="s">
        <v>395</v>
      </c>
      <c r="D46" s="6"/>
    </row>
    <row r="47" spans="3:4">
      <c r="C47" s="4" t="s">
        <v>630</v>
      </c>
      <c r="D47" s="6"/>
    </row>
    <row r="48" spans="3:4">
      <c r="C48" s="4" t="s">
        <v>631</v>
      </c>
      <c r="D48" s="6"/>
    </row>
    <row r="49" spans="3:4">
      <c r="D49" s="6"/>
    </row>
    <row r="50" spans="3:4">
      <c r="C50" s="22" t="s">
        <v>128</v>
      </c>
      <c r="D50" s="6"/>
    </row>
    <row r="51" spans="3:4">
      <c r="C51" s="16" t="s">
        <v>130</v>
      </c>
      <c r="D51" s="6"/>
    </row>
    <row r="52" spans="3:4">
      <c r="C52" s="16" t="s">
        <v>794</v>
      </c>
      <c r="D52" s="6"/>
    </row>
    <row r="53" spans="3:4">
      <c r="C53" s="16" t="s">
        <v>795</v>
      </c>
      <c r="D53" s="6"/>
    </row>
    <row r="54" spans="3:4">
      <c r="C54" s="16" t="s">
        <v>796</v>
      </c>
      <c r="D54" s="6"/>
    </row>
    <row r="55" spans="3:4">
      <c r="C55" s="16" t="s">
        <v>694</v>
      </c>
      <c r="D55" s="6"/>
    </row>
    <row r="56" spans="3:4">
      <c r="C56" s="16" t="s">
        <v>797</v>
      </c>
      <c r="D56" s="6"/>
    </row>
    <row r="57" spans="3:4">
      <c r="C57" s="16" t="s">
        <v>129</v>
      </c>
      <c r="D57" s="6"/>
    </row>
    <row r="58" spans="3:4">
      <c r="C58" s="4" t="s">
        <v>793</v>
      </c>
    </row>
    <row r="59" spans="3:4">
      <c r="C59" s="4" t="s">
        <v>792</v>
      </c>
    </row>
    <row r="61" spans="3:4">
      <c r="C61" s="22" t="s">
        <v>994</v>
      </c>
    </row>
    <row r="62" spans="3:4">
      <c r="C62" s="4" t="s">
        <v>70</v>
      </c>
    </row>
    <row r="63" spans="3:4">
      <c r="C63" s="4" t="s">
        <v>701</v>
      </c>
    </row>
    <row r="64" spans="3:4">
      <c r="C64" s="4" t="s">
        <v>363</v>
      </c>
    </row>
    <row r="65" spans="3:3">
      <c r="C65" s="10" t="s">
        <v>313</v>
      </c>
    </row>
    <row r="67" spans="3:3">
      <c r="C67" s="22" t="s">
        <v>626</v>
      </c>
    </row>
    <row r="68" spans="3:3">
      <c r="C68" s="4" t="s">
        <v>627</v>
      </c>
    </row>
    <row r="70" spans="3:3">
      <c r="C70" s="22" t="s">
        <v>628</v>
      </c>
    </row>
    <row r="71" spans="3:3">
      <c r="C71" s="16" t="s">
        <v>629</v>
      </c>
    </row>
    <row r="73" spans="3:3">
      <c r="C73" s="22" t="s">
        <v>556</v>
      </c>
    </row>
    <row r="74" spans="3:3">
      <c r="C74" s="10" t="s">
        <v>555</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504</v>
      </c>
    </row>
    <row r="83" spans="3:3">
      <c r="C83" s="4" t="s">
        <v>849</v>
      </c>
    </row>
    <row r="84" spans="3:3">
      <c r="C84" s="4" t="s">
        <v>505</v>
      </c>
    </row>
    <row r="86" spans="3:3">
      <c r="C86" s="11" t="s">
        <v>229</v>
      </c>
    </row>
    <row r="87" spans="3:3">
      <c r="C87" s="4" t="s">
        <v>731</v>
      </c>
    </row>
    <row r="88" spans="3:3">
      <c r="C88" s="4" t="s">
        <v>734</v>
      </c>
    </row>
    <row r="89" spans="3:3">
      <c r="C89" s="4" t="s">
        <v>72</v>
      </c>
    </row>
    <row r="90" spans="3:3">
      <c r="C90" s="4" t="s">
        <v>733</v>
      </c>
    </row>
    <row r="91" spans="3:3">
      <c r="C91" s="4" t="s">
        <v>427</v>
      </c>
    </row>
    <row r="92" spans="3:3">
      <c r="C92" s="4" t="s">
        <v>542</v>
      </c>
    </row>
    <row r="93" spans="3:3">
      <c r="C93" s="4" t="s">
        <v>61</v>
      </c>
    </row>
    <row r="94" spans="3:3">
      <c r="C94" s="4" t="s">
        <v>463</v>
      </c>
    </row>
    <row r="95" spans="3:3">
      <c r="C95" s="4" t="s">
        <v>464</v>
      </c>
    </row>
    <row r="96" spans="3:3">
      <c r="C96" s="4" t="s">
        <v>465</v>
      </c>
    </row>
    <row r="97" spans="3:4">
      <c r="C97" s="4" t="s">
        <v>466</v>
      </c>
    </row>
    <row r="98" spans="3:4">
      <c r="C98" s="4" t="s">
        <v>727</v>
      </c>
    </row>
    <row r="99" spans="3:4">
      <c r="C99" s="4" t="s">
        <v>728</v>
      </c>
    </row>
    <row r="100" spans="3:4">
      <c r="C100" s="4" t="s">
        <v>729</v>
      </c>
    </row>
    <row r="101" spans="3:4">
      <c r="C101" s="4" t="s">
        <v>946</v>
      </c>
    </row>
    <row r="102" spans="3:4">
      <c r="C102" s="4" t="s">
        <v>235</v>
      </c>
    </row>
    <row r="104" spans="3:4" ht="13.5" customHeight="1">
      <c r="C104" s="10" t="s">
        <v>73</v>
      </c>
    </row>
    <row r="105" spans="3:4" ht="12.75" customHeight="1">
      <c r="C105" s="4" t="s">
        <v>866</v>
      </c>
    </row>
    <row r="106" spans="3:4" ht="12.75" customHeight="1">
      <c r="C106" s="4" t="s">
        <v>612</v>
      </c>
    </row>
    <row r="107" spans="3:4">
      <c r="C107" s="4" t="s">
        <v>74</v>
      </c>
      <c r="D107" s="4" t="s">
        <v>75</v>
      </c>
    </row>
    <row r="108" spans="3:4">
      <c r="C108" s="4" t="s">
        <v>76</v>
      </c>
      <c r="D108" s="4" t="s">
        <v>643</v>
      </c>
    </row>
    <row r="109" spans="3:4">
      <c r="C109" s="4" t="s">
        <v>610</v>
      </c>
      <c r="D109" s="4" t="s">
        <v>611</v>
      </c>
    </row>
    <row r="110" spans="3:4">
      <c r="C110" s="4" t="s">
        <v>644</v>
      </c>
      <c r="D110" s="4" t="s">
        <v>609</v>
      </c>
    </row>
    <row r="111" spans="3:4">
      <c r="D111" s="4" t="s">
        <v>614</v>
      </c>
    </row>
    <row r="112" spans="3:4">
      <c r="D112" s="4" t="s">
        <v>616</v>
      </c>
    </row>
    <row r="113" spans="3:4">
      <c r="D113" s="4" t="s">
        <v>615</v>
      </c>
    </row>
    <row r="114" spans="3:4">
      <c r="D114" s="4" t="s">
        <v>617</v>
      </c>
    </row>
    <row r="115" spans="3:4">
      <c r="D115" s="4" t="s">
        <v>604</v>
      </c>
    </row>
    <row r="116" spans="3:4">
      <c r="D116" s="4" t="s">
        <v>605</v>
      </c>
    </row>
    <row r="117" spans="3:4">
      <c r="D117" s="4" t="s">
        <v>865</v>
      </c>
    </row>
    <row r="119" spans="3:4">
      <c r="C119" s="22" t="s">
        <v>867</v>
      </c>
    </row>
    <row r="120" spans="3:4">
      <c r="C120" s="4" t="s">
        <v>868</v>
      </c>
    </row>
    <row r="121" spans="3:4">
      <c r="C121" s="4" t="s">
        <v>870</v>
      </c>
    </row>
    <row r="122" spans="3:4">
      <c r="C122" s="4" t="s">
        <v>871</v>
      </c>
    </row>
    <row r="123" spans="3:4">
      <c r="C123" s="4" t="s">
        <v>872</v>
      </c>
    </row>
    <row r="125" spans="3:4">
      <c r="C125" s="22" t="s">
        <v>873</v>
      </c>
    </row>
    <row r="126" spans="3:4">
      <c r="C126" s="16" t="s">
        <v>874</v>
      </c>
    </row>
    <row r="127" spans="3:4">
      <c r="C127" s="4" t="s">
        <v>875</v>
      </c>
    </row>
    <row r="128" spans="3:4">
      <c r="C128" s="4" t="s">
        <v>876</v>
      </c>
    </row>
    <row r="130" spans="3:3">
      <c r="C130" s="22" t="s">
        <v>947</v>
      </c>
    </row>
    <row r="131" spans="3:3">
      <c r="C131" s="4" t="s">
        <v>667</v>
      </c>
    </row>
    <row r="132" spans="3:3">
      <c r="C132" s="4" t="s">
        <v>668</v>
      </c>
    </row>
    <row r="134" spans="3:3">
      <c r="C134" s="22" t="s">
        <v>136</v>
      </c>
    </row>
    <row r="135" spans="3:3">
      <c r="C135" s="4" t="s">
        <v>989</v>
      </c>
    </row>
    <row r="136" spans="3:3">
      <c r="C136" s="4" t="s">
        <v>541</v>
      </c>
    </row>
    <row r="137" spans="3:3">
      <c r="C137" s="4" t="s">
        <v>540</v>
      </c>
    </row>
    <row r="139" spans="3:3">
      <c r="C139" s="4" t="s">
        <v>1048</v>
      </c>
    </row>
    <row r="141" spans="3:3">
      <c r="C141" s="4" t="s">
        <v>532</v>
      </c>
    </row>
    <row r="142" spans="3:3">
      <c r="C142" s="4" t="s">
        <v>226</v>
      </c>
    </row>
    <row r="144" spans="3:3">
      <c r="C144" s="22" t="s">
        <v>690</v>
      </c>
    </row>
    <row r="145" spans="3:3">
      <c r="C145" s="16" t="s">
        <v>118</v>
      </c>
    </row>
    <row r="147" spans="3:3">
      <c r="C147" s="4" t="s">
        <v>291</v>
      </c>
    </row>
    <row r="148" spans="3:3">
      <c r="C148" s="4" t="s">
        <v>825</v>
      </c>
    </row>
    <row r="149" spans="3:3">
      <c r="C149" s="4" t="s">
        <v>971</v>
      </c>
    </row>
    <row r="150" spans="3:3">
      <c r="C150" s="4" t="s">
        <v>227</v>
      </c>
    </row>
    <row r="151" spans="3:3">
      <c r="C151" s="14" t="s">
        <v>228</v>
      </c>
    </row>
    <row r="152" spans="3:3">
      <c r="C152" s="4" t="s">
        <v>527</v>
      </c>
    </row>
    <row r="153" spans="3:3">
      <c r="C153" s="4" t="s">
        <v>528</v>
      </c>
    </row>
    <row r="154" spans="3:3">
      <c r="C154" s="4" t="s">
        <v>988</v>
      </c>
    </row>
    <row r="155" spans="3:3">
      <c r="C155" s="4" t="s">
        <v>135</v>
      </c>
    </row>
    <row r="158" spans="3:3">
      <c r="C158" s="4" t="s">
        <v>1001</v>
      </c>
    </row>
    <row r="160" spans="3:3">
      <c r="C160" s="22" t="s">
        <v>529</v>
      </c>
    </row>
    <row r="161" spans="3:3">
      <c r="C161" s="16" t="s">
        <v>1053</v>
      </c>
    </row>
    <row r="162" spans="3:3">
      <c r="C162" s="16" t="s">
        <v>636</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935</v>
      </c>
    </row>
    <row r="173" spans="3:3">
      <c r="C173" s="4" t="s">
        <v>936</v>
      </c>
    </row>
    <row r="174" spans="3:3">
      <c r="C174" s="4" t="s">
        <v>937</v>
      </c>
    </row>
    <row r="175" spans="3:3">
      <c r="C175" s="4" t="s">
        <v>938</v>
      </c>
    </row>
    <row r="177" spans="3:3">
      <c r="C177" s="22" t="s">
        <v>939</v>
      </c>
    </row>
    <row r="178" spans="3:3">
      <c r="C178" s="4" t="s">
        <v>940</v>
      </c>
    </row>
    <row r="179" spans="3:3">
      <c r="C179" s="4" t="s">
        <v>941</v>
      </c>
    </row>
    <row r="181" spans="3:3">
      <c r="C181" s="22" t="s">
        <v>245</v>
      </c>
    </row>
    <row r="182" spans="3:3">
      <c r="C182" s="4" t="s">
        <v>942</v>
      </c>
    </row>
    <row r="183" spans="3:3">
      <c r="C183" s="4" t="s">
        <v>240</v>
      </c>
    </row>
    <row r="185" spans="3:3">
      <c r="C185" s="22" t="s">
        <v>241</v>
      </c>
    </row>
    <row r="186" spans="3:3">
      <c r="C186" s="4" t="s">
        <v>242</v>
      </c>
    </row>
    <row r="188" spans="3:3">
      <c r="C188" s="22" t="s">
        <v>243</v>
      </c>
    </row>
    <row r="191" spans="3:3">
      <c r="C191" s="22" t="s">
        <v>244</v>
      </c>
    </row>
    <row r="194" spans="3:3">
      <c r="C194" s="22" t="s">
        <v>1009</v>
      </c>
    </row>
    <row r="195" spans="3:3">
      <c r="C195" s="4" t="s">
        <v>660</v>
      </c>
    </row>
    <row r="196" spans="3:3">
      <c r="C196" s="4" t="s">
        <v>748</v>
      </c>
    </row>
    <row r="197" spans="3:3">
      <c r="C197" s="4" t="s">
        <v>749</v>
      </c>
    </row>
    <row r="200" spans="3:3">
      <c r="C200" s="22" t="s">
        <v>1075</v>
      </c>
    </row>
    <row r="201" spans="3:3">
      <c r="C201" s="16" t="s">
        <v>1076</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877</v>
      </c>
    </row>
    <row r="3" spans="2:3">
      <c r="B3" t="s">
        <v>123</v>
      </c>
    </row>
    <row r="5" spans="2:3">
      <c r="B5" t="s">
        <v>554</v>
      </c>
      <c r="C5">
        <v>701</v>
      </c>
    </row>
    <row r="6" spans="2:3">
      <c r="B6" t="s">
        <v>878</v>
      </c>
      <c r="C6" t="s">
        <v>879</v>
      </c>
    </row>
    <row r="7" spans="2:3">
      <c r="B7" t="s">
        <v>119</v>
      </c>
      <c r="C7" t="s">
        <v>429</v>
      </c>
    </row>
    <row r="8" spans="2:3">
      <c r="B8" t="s">
        <v>120</v>
      </c>
      <c r="C8" t="s">
        <v>121</v>
      </c>
    </row>
    <row r="9" spans="2:3">
      <c r="B9" t="s">
        <v>122</v>
      </c>
      <c r="C9" t="s">
        <v>659</v>
      </c>
    </row>
    <row r="10" spans="2:3">
      <c r="C10" t="s">
        <v>657</v>
      </c>
    </row>
    <row r="11" spans="2:3">
      <c r="C11" t="s">
        <v>658</v>
      </c>
    </row>
    <row r="12" spans="2:3">
      <c r="C12" t="s">
        <v>663</v>
      </c>
    </row>
    <row r="13" spans="2:3">
      <c r="C13" t="s">
        <v>406</v>
      </c>
    </row>
    <row r="15" spans="2:3">
      <c r="B15" s="21" t="s">
        <v>1005</v>
      </c>
    </row>
    <row r="18" spans="2:2">
      <c r="B18" s="13" t="s">
        <v>404</v>
      </c>
    </row>
    <row r="19" spans="2:2">
      <c r="B19" t="s">
        <v>405</v>
      </c>
    </row>
    <row r="20" spans="2:2">
      <c r="B20" t="s">
        <v>702</v>
      </c>
    </row>
    <row r="21" spans="2:2">
      <c r="B21" t="s">
        <v>526</v>
      </c>
    </row>
    <row r="22" spans="2:2">
      <c r="B22" t="s">
        <v>975</v>
      </c>
    </row>
    <row r="23" spans="2:2">
      <c r="B23" t="s">
        <v>976</v>
      </c>
    </row>
    <row r="24" spans="2:2">
      <c r="B24" t="s">
        <v>977</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287</v>
      </c>
      <c r="C2" s="4" t="s">
        <v>430</v>
      </c>
    </row>
    <row r="3" spans="1:3">
      <c r="B3" s="4" t="s">
        <v>288</v>
      </c>
      <c r="C3" s="4" t="s">
        <v>433</v>
      </c>
    </row>
    <row r="4" spans="1:3">
      <c r="B4" s="4" t="s">
        <v>811</v>
      </c>
      <c r="C4" s="4" t="s">
        <v>753</v>
      </c>
    </row>
    <row r="5" spans="1:3">
      <c r="B5" s="4" t="s">
        <v>3</v>
      </c>
      <c r="C5" s="4" t="s">
        <v>535</v>
      </c>
    </row>
    <row r="6" spans="1:3">
      <c r="C6" s="4" t="s">
        <v>40</v>
      </c>
    </row>
    <row r="7" spans="1:3">
      <c r="B7" s="4" t="s">
        <v>7</v>
      </c>
      <c r="C7" s="4" t="s">
        <v>752</v>
      </c>
    </row>
    <row r="8" spans="1:3">
      <c r="C8" s="4" t="s">
        <v>742</v>
      </c>
    </row>
    <row r="9" spans="1:3">
      <c r="B9" s="4" t="s">
        <v>11</v>
      </c>
      <c r="C9" s="4" t="s">
        <v>530</v>
      </c>
    </row>
    <row r="10" spans="1:3">
      <c r="B10" s="4" t="s">
        <v>359</v>
      </c>
      <c r="C10" s="4" t="s">
        <v>722</v>
      </c>
    </row>
    <row r="11" spans="1:3">
      <c r="B11" s="4" t="s">
        <v>531</v>
      </c>
      <c r="C11" s="4" t="s">
        <v>439</v>
      </c>
    </row>
    <row r="12" spans="1:3">
      <c r="B12" s="4" t="s">
        <v>1007</v>
      </c>
      <c r="C12" s="4" t="s">
        <v>39</v>
      </c>
    </row>
    <row r="13" spans="1:3">
      <c r="B13" s="4" t="s">
        <v>600</v>
      </c>
      <c r="C13" s="4" t="s">
        <v>974</v>
      </c>
    </row>
    <row r="14" spans="1:3">
      <c r="B14" s="4" t="s">
        <v>431</v>
      </c>
    </row>
    <row r="15" spans="1:3">
      <c r="C15" s="10" t="s">
        <v>434</v>
      </c>
    </row>
    <row r="16" spans="1:3">
      <c r="C16" s="4" t="s">
        <v>432</v>
      </c>
    </row>
    <row r="18" spans="3:4">
      <c r="C18" s="22" t="s">
        <v>637</v>
      </c>
    </row>
    <row r="19" spans="3:4">
      <c r="C19" s="4" t="s">
        <v>222</v>
      </c>
    </row>
    <row r="20" spans="3:4">
      <c r="C20" s="4" t="s">
        <v>756</v>
      </c>
    </row>
    <row r="21" spans="3:4">
      <c r="D21" s="4" t="s">
        <v>757</v>
      </c>
    </row>
    <row r="23" spans="3:4">
      <c r="C23" s="4" t="s">
        <v>638</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895</v>
      </c>
    </row>
    <row r="4" spans="1:4">
      <c r="B4" s="4" t="s">
        <v>3</v>
      </c>
      <c r="C4" s="4" t="s">
        <v>890</v>
      </c>
    </row>
    <row r="5" spans="1:4">
      <c r="B5" s="4" t="s">
        <v>811</v>
      </c>
      <c r="C5" s="4" t="s">
        <v>635</v>
      </c>
    </row>
    <row r="6" spans="1:4">
      <c r="C6" s="4" t="s">
        <v>691</v>
      </c>
    </row>
    <row r="7" spans="1:4">
      <c r="B7" s="4" t="s">
        <v>10</v>
      </c>
      <c r="C7" s="4" t="s">
        <v>289</v>
      </c>
    </row>
    <row r="8" spans="1:4">
      <c r="C8" s="4" t="s">
        <v>453</v>
      </c>
    </row>
    <row r="9" spans="1:4">
      <c r="B9" s="4" t="s">
        <v>896</v>
      </c>
      <c r="C9" s="4" t="s">
        <v>897</v>
      </c>
    </row>
    <row r="10" spans="1:4">
      <c r="B10" s="4" t="s">
        <v>898</v>
      </c>
      <c r="C10" s="4" t="s">
        <v>899</v>
      </c>
      <c r="D10" s="6"/>
    </row>
    <row r="11" spans="1:4">
      <c r="B11" s="4" t="s">
        <v>359</v>
      </c>
      <c r="C11" s="4" t="s">
        <v>575</v>
      </c>
      <c r="D11" s="6"/>
    </row>
    <row r="12" spans="1:4">
      <c r="B12" s="4" t="s">
        <v>904</v>
      </c>
      <c r="C12" s="20" t="s">
        <v>905</v>
      </c>
      <c r="D12" s="6"/>
    </row>
    <row r="13" spans="1:4">
      <c r="B13" s="16" t="s">
        <v>7</v>
      </c>
      <c r="C13" s="16" t="s">
        <v>1077</v>
      </c>
      <c r="D13" s="6"/>
    </row>
    <row r="14" spans="1:4">
      <c r="B14" s="4" t="s">
        <v>323</v>
      </c>
    </row>
    <row r="16" spans="1:4">
      <c r="B16" s="22" t="s">
        <v>1037</v>
      </c>
    </row>
    <row r="17" spans="2:16">
      <c r="B17" s="4" t="s">
        <v>1038</v>
      </c>
    </row>
    <row r="18" spans="2:16">
      <c r="B18" s="4" t="s">
        <v>1039</v>
      </c>
    </row>
    <row r="19" spans="2:16">
      <c r="B19" s="14" t="s">
        <v>1041</v>
      </c>
    </row>
    <row r="20" spans="2:16">
      <c r="B20" s="4" t="s">
        <v>1006</v>
      </c>
    </row>
    <row r="21" spans="2:16">
      <c r="B21" s="4" t="s">
        <v>951</v>
      </c>
    </row>
    <row r="22" spans="2:16">
      <c r="B22" s="14" t="s">
        <v>952</v>
      </c>
    </row>
    <row r="23" spans="2:16">
      <c r="B23" s="16" t="s">
        <v>945</v>
      </c>
    </row>
    <row r="24" spans="2:16">
      <c r="B24" s="51" t="s">
        <v>502</v>
      </c>
    </row>
    <row r="25" spans="2:16">
      <c r="K25" s="4" t="s">
        <v>573</v>
      </c>
      <c r="L25" s="4">
        <v>2006</v>
      </c>
      <c r="M25" s="4">
        <v>2007</v>
      </c>
      <c r="N25" s="4">
        <v>2008</v>
      </c>
      <c r="O25" s="4">
        <v>2009</v>
      </c>
    </row>
    <row r="26" spans="2:16">
      <c r="B26" s="22" t="s">
        <v>1040</v>
      </c>
      <c r="L26" s="4">
        <v>93</v>
      </c>
      <c r="M26" s="4">
        <v>379</v>
      </c>
      <c r="N26" s="4">
        <v>456</v>
      </c>
      <c r="O26" s="4">
        <v>550</v>
      </c>
    </row>
    <row r="27" spans="2:16">
      <c r="B27" s="27" t="s">
        <v>591</v>
      </c>
    </row>
    <row r="28" spans="2:16" ht="13.5" thickBot="1">
      <c r="B28" s="27" t="s">
        <v>592</v>
      </c>
      <c r="D28" s="4" t="s">
        <v>593</v>
      </c>
    </row>
    <row r="29" spans="2:16">
      <c r="B29" s="27" t="s">
        <v>594</v>
      </c>
      <c r="K29" s="45" t="s">
        <v>576</v>
      </c>
      <c r="L29" s="46"/>
      <c r="M29" s="46" t="s">
        <v>577</v>
      </c>
      <c r="N29" s="46"/>
      <c r="O29" s="46"/>
      <c r="P29" s="47"/>
    </row>
    <row r="30" spans="2:16">
      <c r="B30" s="27" t="s">
        <v>944</v>
      </c>
      <c r="K30" s="39"/>
      <c r="P30" s="40"/>
    </row>
    <row r="31" spans="2:16">
      <c r="K31" s="39" t="s">
        <v>578</v>
      </c>
      <c r="L31" s="4" t="s">
        <v>579</v>
      </c>
      <c r="M31" s="4" t="s">
        <v>3</v>
      </c>
      <c r="N31" s="4" t="s">
        <v>580</v>
      </c>
      <c r="P31" s="40"/>
    </row>
    <row r="32" spans="2:16">
      <c r="B32" s="22" t="s">
        <v>1058</v>
      </c>
      <c r="K32" s="39" t="s">
        <v>581</v>
      </c>
      <c r="L32" s="4" t="s">
        <v>455</v>
      </c>
      <c r="M32" s="4" t="s">
        <v>582</v>
      </c>
      <c r="N32" s="4">
        <v>9600</v>
      </c>
      <c r="O32" s="4" t="s">
        <v>81</v>
      </c>
      <c r="P32" s="40"/>
    </row>
    <row r="33" spans="2:16">
      <c r="B33" s="16" t="s">
        <v>909</v>
      </c>
      <c r="K33" s="39" t="s">
        <v>82</v>
      </c>
      <c r="L33" s="4" t="s">
        <v>83</v>
      </c>
      <c r="M33" s="4" t="s">
        <v>84</v>
      </c>
      <c r="N33" s="4">
        <v>8800</v>
      </c>
      <c r="P33" s="40"/>
    </row>
    <row r="34" spans="2:16">
      <c r="B34" s="16" t="s">
        <v>1057</v>
      </c>
      <c r="K34" s="39"/>
      <c r="M34" s="4" t="s">
        <v>85</v>
      </c>
      <c r="N34" s="4">
        <v>7700</v>
      </c>
      <c r="P34" s="40"/>
    </row>
    <row r="35" spans="2:16">
      <c r="K35" s="39"/>
      <c r="M35" s="4" t="s">
        <v>582</v>
      </c>
      <c r="N35" s="4">
        <v>4400</v>
      </c>
      <c r="P35" s="40"/>
    </row>
    <row r="36" spans="2:16">
      <c r="B36" s="22" t="s">
        <v>910</v>
      </c>
      <c r="K36" s="39" t="s">
        <v>86</v>
      </c>
      <c r="L36" s="4" t="s">
        <v>87</v>
      </c>
      <c r="M36" s="4" t="s">
        <v>88</v>
      </c>
      <c r="N36" s="4">
        <v>3816</v>
      </c>
      <c r="P36" s="40"/>
    </row>
    <row r="37" spans="2:16">
      <c r="B37" s="4" t="s">
        <v>911</v>
      </c>
      <c r="K37" s="39" t="s">
        <v>89</v>
      </c>
      <c r="L37" s="4" t="s">
        <v>83</v>
      </c>
      <c r="M37" s="4" t="s">
        <v>85</v>
      </c>
      <c r="N37" s="4">
        <v>3195</v>
      </c>
      <c r="P37" s="40"/>
    </row>
    <row r="38" spans="2:16">
      <c r="K38" s="39" t="s">
        <v>90</v>
      </c>
      <c r="L38" s="4" t="s">
        <v>91</v>
      </c>
      <c r="M38" s="4" t="s">
        <v>84</v>
      </c>
      <c r="N38" s="4">
        <v>2679</v>
      </c>
      <c r="P38" s="40"/>
    </row>
    <row r="39" spans="2:16">
      <c r="B39" s="22" t="s">
        <v>1021</v>
      </c>
      <c r="K39" s="39" t="s">
        <v>92</v>
      </c>
      <c r="L39" s="4" t="s">
        <v>93</v>
      </c>
      <c r="M39" s="4" t="s">
        <v>84</v>
      </c>
      <c r="N39" s="4">
        <v>5571</v>
      </c>
      <c r="P39" s="40"/>
    </row>
    <row r="40" spans="2:16">
      <c r="B40" s="22"/>
      <c r="K40" s="39" t="s">
        <v>587</v>
      </c>
      <c r="L40" s="4" t="s">
        <v>588</v>
      </c>
      <c r="M40" s="4" t="s">
        <v>589</v>
      </c>
      <c r="N40" s="4">
        <v>4421</v>
      </c>
      <c r="P40" s="40"/>
    </row>
    <row r="41" spans="2:16">
      <c r="B41" s="22" t="s">
        <v>1020</v>
      </c>
      <c r="K41" s="39" t="s">
        <v>590</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1059</v>
      </c>
    </row>
    <row r="47" spans="2:16">
      <c r="B47" s="16" t="s">
        <v>1060</v>
      </c>
    </row>
    <row r="48" spans="2:16">
      <c r="B48" s="16"/>
    </row>
    <row r="49" spans="2:12">
      <c r="B49" s="22" t="s">
        <v>1025</v>
      </c>
      <c r="K49" s="58">
        <v>39479</v>
      </c>
      <c r="L49" s="26">
        <v>10414</v>
      </c>
    </row>
    <row r="50" spans="2:12">
      <c r="B50" s="16" t="s">
        <v>232</v>
      </c>
      <c r="K50" s="58">
        <v>39508</v>
      </c>
      <c r="L50" s="26">
        <v>12661</v>
      </c>
    </row>
    <row r="51" spans="2:12">
      <c r="B51" s="16"/>
      <c r="K51" s="58">
        <v>39539</v>
      </c>
      <c r="L51" s="26">
        <v>10387</v>
      </c>
    </row>
    <row r="52" spans="2:12">
      <c r="B52" s="22" t="s">
        <v>1025</v>
      </c>
    </row>
    <row r="53" spans="2:12">
      <c r="B53" s="16" t="s">
        <v>901</v>
      </c>
    </row>
    <row r="55" spans="2:12">
      <c r="B55" s="22" t="s">
        <v>1022</v>
      </c>
    </row>
    <row r="56" spans="2:12">
      <c r="B56" s="4" t="s">
        <v>191</v>
      </c>
    </row>
    <row r="57" spans="2:12">
      <c r="B57" s="4" t="s">
        <v>192</v>
      </c>
    </row>
    <row r="58" spans="2:12">
      <c r="B58" s="14" t="s">
        <v>900</v>
      </c>
    </row>
    <row r="59" spans="2:12">
      <c r="B59" s="14" t="s">
        <v>1023</v>
      </c>
    </row>
    <row r="60" spans="2:12">
      <c r="B60" s="4" t="s">
        <v>428</v>
      </c>
    </row>
    <row r="63" spans="2:12">
      <c r="B63" s="22" t="s">
        <v>1024</v>
      </c>
    </row>
    <row r="65" spans="2:3">
      <c r="B65" s="4" t="s">
        <v>286</v>
      </c>
    </row>
    <row r="66" spans="2:3">
      <c r="C66" s="4" t="s">
        <v>671</v>
      </c>
    </row>
    <row r="67" spans="2:3">
      <c r="C67" s="4" t="s">
        <v>672</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335</v>
      </c>
      <c r="C2" s="16" t="s">
        <v>1087</v>
      </c>
      <c r="E2" s="4" t="s">
        <v>288</v>
      </c>
      <c r="F2" s="4" t="s">
        <v>336</v>
      </c>
    </row>
    <row r="3" spans="1:6">
      <c r="B3" s="16" t="s">
        <v>3</v>
      </c>
      <c r="C3" s="4" t="s">
        <v>337</v>
      </c>
    </row>
    <row r="4" spans="1:6">
      <c r="B4" s="16" t="s">
        <v>811</v>
      </c>
      <c r="C4" s="16" t="s">
        <v>1081</v>
      </c>
    </row>
    <row r="5" spans="1:6">
      <c r="B5" s="16"/>
      <c r="C5" s="4" t="s">
        <v>167</v>
      </c>
    </row>
    <row r="6" spans="1:6">
      <c r="B6" s="16"/>
      <c r="C6" s="4" t="s">
        <v>165</v>
      </c>
    </row>
    <row r="7" spans="1:6">
      <c r="B7" s="16"/>
      <c r="C7" s="4" t="s">
        <v>735</v>
      </c>
    </row>
    <row r="8" spans="1:6">
      <c r="B8" s="16"/>
      <c r="C8" s="4" t="s">
        <v>193</v>
      </c>
    </row>
    <row r="9" spans="1:6">
      <c r="B9" s="16"/>
      <c r="C9" s="4" t="s">
        <v>194</v>
      </c>
    </row>
    <row r="10" spans="1:6">
      <c r="B10" s="16"/>
      <c r="C10" s="16" t="s">
        <v>1084</v>
      </c>
    </row>
    <row r="11" spans="1:6">
      <c r="B11" s="16"/>
      <c r="C11" s="4" t="s">
        <v>238</v>
      </c>
    </row>
    <row r="12" spans="1:6">
      <c r="B12" s="16"/>
      <c r="C12" s="4" t="s">
        <v>239</v>
      </c>
    </row>
    <row r="13" spans="1:6">
      <c r="B13" s="16"/>
      <c r="C13" s="4" t="s">
        <v>764</v>
      </c>
    </row>
    <row r="14" spans="1:6">
      <c r="B14" s="16"/>
      <c r="C14" s="4" t="s">
        <v>547</v>
      </c>
    </row>
    <row r="15" spans="1:6" ht="14.25" customHeight="1">
      <c r="B15" s="16" t="s">
        <v>454</v>
      </c>
      <c r="C15" s="4" t="s">
        <v>184</v>
      </c>
    </row>
    <row r="16" spans="1:6">
      <c r="B16" s="16"/>
      <c r="C16" s="4" t="s">
        <v>77</v>
      </c>
    </row>
    <row r="17" spans="2:3">
      <c r="B17" s="16"/>
      <c r="C17" s="4" t="s">
        <v>256</v>
      </c>
    </row>
    <row r="18" spans="2:3">
      <c r="B18" s="16" t="s">
        <v>329</v>
      </c>
      <c r="C18" s="4" t="s">
        <v>166</v>
      </c>
    </row>
    <row r="19" spans="2:3">
      <c r="B19" s="4" t="s">
        <v>531</v>
      </c>
      <c r="C19" s="4" t="s">
        <v>983</v>
      </c>
    </row>
    <row r="20" spans="2:3">
      <c r="B20" s="4" t="s">
        <v>537</v>
      </c>
      <c r="C20" s="16" t="s">
        <v>1100</v>
      </c>
    </row>
    <row r="21" spans="2:3">
      <c r="B21" s="16" t="s">
        <v>6</v>
      </c>
      <c r="C21" s="16" t="s">
        <v>1099</v>
      </c>
    </row>
    <row r="22" spans="2:3">
      <c r="B22" s="4" t="s">
        <v>7</v>
      </c>
      <c r="C22" s="16" t="s">
        <v>1074</v>
      </c>
    </row>
    <row r="23" spans="2:3">
      <c r="B23" s="4" t="s">
        <v>323</v>
      </c>
    </row>
    <row r="24" spans="2:3">
      <c r="C24" s="22" t="s">
        <v>1083</v>
      </c>
    </row>
    <row r="25" spans="2:3">
      <c r="C25" s="4" t="s">
        <v>164</v>
      </c>
    </row>
    <row r="26" spans="2:3">
      <c r="C26" s="16" t="s">
        <v>1082</v>
      </c>
    </row>
    <row r="27" spans="2:3">
      <c r="C27" s="4" t="s">
        <v>633</v>
      </c>
    </row>
    <row r="28" spans="2:3">
      <c r="C28" s="16" t="s">
        <v>1085</v>
      </c>
    </row>
    <row r="29" spans="2:3">
      <c r="C29" s="4" t="s">
        <v>396</v>
      </c>
    </row>
    <row r="30" spans="2:3">
      <c r="C30" s="22" t="s">
        <v>168</v>
      </c>
    </row>
    <row r="31" spans="2:3">
      <c r="C31" s="16" t="s">
        <v>171</v>
      </c>
    </row>
    <row r="32" spans="2:3">
      <c r="C32" s="4" t="s">
        <v>487</v>
      </c>
    </row>
    <row r="34" spans="3:3">
      <c r="C34" s="22" t="s">
        <v>621</v>
      </c>
    </row>
    <row r="35" spans="3:3">
      <c r="C35" s="16" t="s">
        <v>745</v>
      </c>
    </row>
    <row r="37" spans="3:3">
      <c r="C37" s="22" t="s">
        <v>169</v>
      </c>
    </row>
    <row r="38" spans="3:3">
      <c r="C38" s="14" t="s">
        <v>1034</v>
      </c>
    </row>
    <row r="39" spans="3:3">
      <c r="C39" s="4" t="s">
        <v>170</v>
      </c>
    </row>
    <row r="40" spans="3:3">
      <c r="C40" s="4" t="s">
        <v>1035</v>
      </c>
    </row>
    <row r="41" spans="3:3">
      <c r="C41" s="4" t="s">
        <v>1036</v>
      </c>
    </row>
    <row r="43" spans="3:3">
      <c r="C43" s="22" t="s">
        <v>991</v>
      </c>
    </row>
    <row r="44" spans="3:3">
      <c r="C44" s="16" t="s">
        <v>655</v>
      </c>
    </row>
    <row r="45" spans="3:3">
      <c r="C45" s="16" t="s">
        <v>403</v>
      </c>
    </row>
    <row r="46" spans="3:3">
      <c r="C46" s="16" t="s">
        <v>41</v>
      </c>
    </row>
    <row r="47" spans="3:3">
      <c r="C47" s="16" t="s">
        <v>999</v>
      </c>
    </row>
    <row r="49" spans="3:9">
      <c r="C49" s="22" t="s">
        <v>46</v>
      </c>
    </row>
    <row r="50" spans="3:9">
      <c r="C50" s="4" t="s">
        <v>990</v>
      </c>
    </row>
    <row r="51" spans="3:9">
      <c r="C51" s="4" t="s">
        <v>695</v>
      </c>
    </row>
    <row r="53" spans="3:9">
      <c r="C53" s="22" t="s">
        <v>665</v>
      </c>
      <c r="D53" s="4"/>
      <c r="E53"/>
      <c r="I53" s="6"/>
    </row>
    <row r="54" spans="3:9">
      <c r="C54" s="4" t="s">
        <v>3</v>
      </c>
      <c r="D54" s="4" t="s">
        <v>622</v>
      </c>
      <c r="I54" s="6"/>
    </row>
    <row r="55" spans="3:9">
      <c r="C55" s="4" t="s">
        <v>423</v>
      </c>
      <c r="D55" s="4" t="s">
        <v>424</v>
      </c>
      <c r="I55" s="6"/>
    </row>
    <row r="56" spans="3:9">
      <c r="C56" s="4" t="s">
        <v>554</v>
      </c>
      <c r="D56" s="4" t="s">
        <v>421</v>
      </c>
      <c r="I56" s="6"/>
    </row>
    <row r="57" spans="3:9">
      <c r="C57" s="16" t="s">
        <v>1073</v>
      </c>
      <c r="D57" s="4"/>
      <c r="I57" s="6"/>
    </row>
    <row r="58" spans="3:9">
      <c r="D58" s="4"/>
      <c r="I58" s="6"/>
    </row>
    <row r="59" spans="3:9">
      <c r="C59" s="22" t="s">
        <v>422</v>
      </c>
      <c r="D59" s="4"/>
      <c r="I59" s="6"/>
    </row>
    <row r="60" spans="3:9">
      <c r="C60" s="16" t="s">
        <v>623</v>
      </c>
      <c r="D60" s="4"/>
      <c r="I60" s="6"/>
    </row>
    <row r="61" spans="3:9">
      <c r="C61" s="14" t="s">
        <v>452</v>
      </c>
      <c r="D61" s="4"/>
      <c r="I61" s="6"/>
    </row>
    <row r="63" spans="3:9">
      <c r="C63" s="22" t="s">
        <v>1101</v>
      </c>
    </row>
    <row r="64" spans="3:9">
      <c r="C64" s="4" t="s">
        <v>294</v>
      </c>
    </row>
    <row r="66" spans="3:13">
      <c r="C66" s="22" t="s">
        <v>1102</v>
      </c>
    </row>
    <row r="67" spans="3:13">
      <c r="C67" s="16" t="s">
        <v>1103</v>
      </c>
    </row>
    <row r="68" spans="3:13">
      <c r="C68" s="16" t="s">
        <v>1104</v>
      </c>
    </row>
    <row r="70" spans="3:13">
      <c r="C70" s="22" t="s">
        <v>1079</v>
      </c>
      <c r="M70" s="69"/>
    </row>
    <row r="71" spans="3:13">
      <c r="C71" s="16" t="s">
        <v>1054</v>
      </c>
      <c r="M71" s="69"/>
    </row>
    <row r="72" spans="3:13">
      <c r="C72" s="16" t="s">
        <v>1055</v>
      </c>
      <c r="M72" s="69"/>
    </row>
    <row r="73" spans="3:13">
      <c r="C73" s="14" t="s">
        <v>1089</v>
      </c>
      <c r="M73" s="69"/>
    </row>
    <row r="74" spans="3:13">
      <c r="C74" s="16" t="s">
        <v>1088</v>
      </c>
      <c r="M74" s="69"/>
    </row>
    <row r="75" spans="3:13">
      <c r="M75" s="69"/>
    </row>
    <row r="76" spans="3:13">
      <c r="C76" s="22" t="s">
        <v>625</v>
      </c>
      <c r="M76" s="69"/>
    </row>
    <row r="77" spans="3:13">
      <c r="C77" s="4" t="s">
        <v>624</v>
      </c>
    </row>
    <row r="79" spans="3:13">
      <c r="C79" s="4" t="s">
        <v>273</v>
      </c>
    </row>
    <row r="80" spans="3:13">
      <c r="C80" s="4" t="s">
        <v>533</v>
      </c>
    </row>
    <row r="81" spans="3:3">
      <c r="C81" s="4" t="s">
        <v>534</v>
      </c>
    </row>
    <row r="83" spans="3:3">
      <c r="C83" s="23" t="s">
        <v>195</v>
      </c>
    </row>
    <row r="84" spans="3:3">
      <c r="C84" s="4" t="s">
        <v>312</v>
      </c>
    </row>
    <row r="85" spans="3:3">
      <c r="C85" s="4" t="s">
        <v>766</v>
      </c>
    </row>
    <row r="87" spans="3:3">
      <c r="C87" s="22" t="s">
        <v>44</v>
      </c>
    </row>
    <row r="88" spans="3:3">
      <c r="C88" s="4" t="s">
        <v>45</v>
      </c>
    </row>
    <row r="89" spans="3:3">
      <c r="C89" s="4" t="s">
        <v>42</v>
      </c>
    </row>
    <row r="91" spans="3:3">
      <c r="C91" s="22" t="s">
        <v>78</v>
      </c>
    </row>
    <row r="92" spans="3:3">
      <c r="C92" s="4" t="s">
        <v>79</v>
      </c>
    </row>
    <row r="95" spans="3:3">
      <c r="C95" s="22" t="s">
        <v>1071</v>
      </c>
    </row>
    <row r="96" spans="3:3">
      <c r="C96" s="16" t="s">
        <v>1072</v>
      </c>
    </row>
    <row r="98" spans="3:4">
      <c r="C98" s="22" t="s">
        <v>334</v>
      </c>
      <c r="D98" s="22"/>
    </row>
    <row r="99" spans="3:4">
      <c r="C99" s="4" t="s">
        <v>338</v>
      </c>
      <c r="D99" s="4" t="s">
        <v>765</v>
      </c>
    </row>
    <row r="101" spans="3:4">
      <c r="C101" s="22" t="s">
        <v>1105</v>
      </c>
    </row>
    <row r="102" spans="3:4">
      <c r="C102" s="16" t="s">
        <v>1106</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435</v>
      </c>
    </row>
    <row r="8" spans="1:8" s="4" customFormat="1">
      <c r="B8" s="22" t="s">
        <v>736</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457</v>
      </c>
    </row>
    <row r="15" spans="1:8">
      <c r="C15" t="s">
        <v>850</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411</v>
      </c>
    </row>
    <row r="25" spans="2:3">
      <c r="B25" t="s">
        <v>412</v>
      </c>
    </row>
    <row r="27" spans="2:3">
      <c r="B27" t="s">
        <v>413</v>
      </c>
    </row>
    <row r="28" spans="2:3">
      <c r="B28" t="s">
        <v>414</v>
      </c>
    </row>
    <row r="29" spans="2:3">
      <c r="B29" t="s">
        <v>673</v>
      </c>
    </row>
    <row r="30" spans="2:3">
      <c r="B30" t="s">
        <v>674</v>
      </c>
    </row>
    <row r="31" spans="2:3">
      <c r="B31" t="s">
        <v>675</v>
      </c>
    </row>
    <row r="33" spans="2:2">
      <c r="B33" t="s">
        <v>676</v>
      </c>
    </row>
    <row r="34" spans="2:2">
      <c r="B34" t="s">
        <v>485</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489</v>
      </c>
    </row>
    <row r="4" spans="1:3">
      <c r="B4" s="4" t="s">
        <v>811</v>
      </c>
      <c r="C4" s="4" t="s">
        <v>490</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287</v>
      </c>
      <c r="C2" s="4" t="s">
        <v>598</v>
      </c>
    </row>
    <row r="3" spans="1:3">
      <c r="B3" s="4" t="s">
        <v>288</v>
      </c>
      <c r="C3" s="4" t="s">
        <v>1045</v>
      </c>
    </row>
    <row r="4" spans="1:3">
      <c r="B4" s="4" t="s">
        <v>811</v>
      </c>
      <c r="C4" s="4" t="s">
        <v>703</v>
      </c>
    </row>
    <row r="5" spans="1:3">
      <c r="C5" s="4" t="s">
        <v>274</v>
      </c>
    </row>
    <row r="6" spans="1:3">
      <c r="C6" s="4" t="s">
        <v>981</v>
      </c>
    </row>
    <row r="7" spans="1:3">
      <c r="B7" s="4" t="s">
        <v>454</v>
      </c>
      <c r="C7" s="4" t="s">
        <v>987</v>
      </c>
    </row>
    <row r="8" spans="1:3">
      <c r="B8" s="4" t="s">
        <v>986</v>
      </c>
      <c r="C8" s="4" t="s">
        <v>339</v>
      </c>
    </row>
    <row r="9" spans="1:3">
      <c r="B9" s="4" t="s">
        <v>323</v>
      </c>
    </row>
    <row r="10" spans="1:3">
      <c r="C10" s="22" t="s">
        <v>713</v>
      </c>
    </row>
    <row r="11" spans="1:3">
      <c r="C11" s="16" t="s">
        <v>599</v>
      </c>
    </row>
    <row r="12" spans="1:3">
      <c r="C12" s="16"/>
    </row>
    <row r="13" spans="1:3">
      <c r="C13" s="22" t="s">
        <v>814</v>
      </c>
    </row>
    <row r="14" spans="1:3">
      <c r="C14" s="4" t="s">
        <v>223</v>
      </c>
    </row>
    <row r="15" spans="1:3">
      <c r="C15" s="4" t="s">
        <v>893</v>
      </c>
    </row>
    <row r="16" spans="1:3">
      <c r="C16" s="4" t="s">
        <v>750</v>
      </c>
    </row>
    <row r="17" spans="3:4">
      <c r="C17" s="4" t="s">
        <v>751</v>
      </c>
    </row>
    <row r="18" spans="3:4">
      <c r="C18" s="4" t="s">
        <v>815</v>
      </c>
    </row>
    <row r="20" spans="3:4">
      <c r="C20" s="22" t="s">
        <v>519</v>
      </c>
    </row>
    <row r="21" spans="3:4">
      <c r="C21" s="16" t="s">
        <v>639</v>
      </c>
    </row>
    <row r="22" spans="3:4">
      <c r="C22" s="14"/>
    </row>
    <row r="23" spans="3:4">
      <c r="C23" s="22" t="s">
        <v>714</v>
      </c>
    </row>
    <row r="24" spans="3:4">
      <c r="C24" s="16" t="s">
        <v>715</v>
      </c>
    </row>
    <row r="25" spans="3:4">
      <c r="C25" s="16"/>
    </row>
    <row r="26" spans="3:4">
      <c r="C26" s="28" t="s">
        <v>851</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1010</v>
      </c>
      <c r="D34" s="4" t="s">
        <v>303</v>
      </c>
    </row>
    <row r="35" spans="3:4">
      <c r="D35" s="4" t="s">
        <v>278</v>
      </c>
    </row>
    <row r="36" spans="3:4">
      <c r="D36" s="4" t="s">
        <v>279</v>
      </c>
    </row>
    <row r="38" spans="3:4">
      <c r="C38" s="22" t="s">
        <v>894</v>
      </c>
    </row>
    <row r="39" spans="3:4">
      <c r="C39" s="4" t="s">
        <v>775</v>
      </c>
    </row>
    <row r="41" spans="3:4">
      <c r="C41" s="22" t="s">
        <v>641</v>
      </c>
    </row>
    <row r="42" spans="3:4">
      <c r="C42" s="16" t="s">
        <v>642</v>
      </c>
    </row>
    <row r="43" spans="3:4">
      <c r="C43" s="14"/>
    </row>
    <row r="44" spans="3:4">
      <c r="C44" s="16" t="s">
        <v>680</v>
      </c>
    </row>
    <row r="45" spans="3:4">
      <c r="C45" s="16" t="s">
        <v>681</v>
      </c>
    </row>
    <row r="46" spans="3:4">
      <c r="C46" s="16"/>
    </row>
    <row r="47" spans="3:4">
      <c r="C47" s="4" t="s">
        <v>224</v>
      </c>
    </row>
    <row r="48" spans="3:4">
      <c r="C48" s="14" t="s">
        <v>640</v>
      </c>
    </row>
    <row r="49" spans="3:4">
      <c r="C49" s="14"/>
    </row>
    <row r="50" spans="3:4">
      <c r="C50" s="4" t="s">
        <v>696</v>
      </c>
    </row>
    <row r="51" spans="3:4">
      <c r="D51" s="4" t="s">
        <v>697</v>
      </c>
    </row>
    <row r="52" spans="3:4">
      <c r="C52" s="4" t="s">
        <v>437</v>
      </c>
    </row>
    <row r="54" spans="3:4">
      <c r="C54" s="22" t="s">
        <v>908</v>
      </c>
    </row>
    <row r="55" spans="3:4">
      <c r="C55" s="4" t="s">
        <v>839</v>
      </c>
    </row>
    <row r="56" spans="3:4">
      <c r="C56" s="4" t="s">
        <v>840</v>
      </c>
    </row>
    <row r="57" spans="3:4">
      <c r="C57" s="4" t="s">
        <v>443</v>
      </c>
    </row>
    <row r="58" spans="3:4">
      <c r="C58" s="4" t="s">
        <v>341</v>
      </c>
    </row>
    <row r="59" spans="3:4">
      <c r="C59" s="4" t="s">
        <v>342</v>
      </c>
    </row>
    <row r="60" spans="3:4">
      <c r="C60" s="4" t="s">
        <v>906</v>
      </c>
    </row>
    <row r="61" spans="3:4">
      <c r="C61" s="4" t="s">
        <v>907</v>
      </c>
    </row>
    <row r="63" spans="3:4">
      <c r="C63" s="4" t="s">
        <v>462</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287</v>
      </c>
      <c r="C2" s="4" t="s">
        <v>560</v>
      </c>
    </row>
    <row r="3" spans="1:3">
      <c r="B3" s="4" t="s">
        <v>288</v>
      </c>
    </row>
    <row r="4" spans="1:3">
      <c r="B4" s="4" t="s">
        <v>3</v>
      </c>
      <c r="C4" s="4" t="s">
        <v>741</v>
      </c>
    </row>
    <row r="5" spans="1:3">
      <c r="C5" s="4" t="s">
        <v>837</v>
      </c>
    </row>
    <row r="6" spans="1:3">
      <c r="C6" s="4" t="s">
        <v>984</v>
      </c>
    </row>
    <row r="7" spans="1:3">
      <c r="B7" s="4" t="s">
        <v>670</v>
      </c>
      <c r="C7" s="4" t="s">
        <v>548</v>
      </c>
    </row>
    <row r="8" spans="1:3">
      <c r="B8" s="4" t="s">
        <v>811</v>
      </c>
      <c r="C8" s="4" t="s">
        <v>831</v>
      </c>
    </row>
    <row r="9" spans="1:3">
      <c r="C9" s="16" t="s">
        <v>36</v>
      </c>
    </row>
    <row r="10" spans="1:3">
      <c r="C10" s="16" t="s">
        <v>549</v>
      </c>
    </row>
    <row r="11" spans="1:3">
      <c r="B11" s="4" t="s">
        <v>986</v>
      </c>
      <c r="C11" s="4" t="s">
        <v>832</v>
      </c>
    </row>
    <row r="12" spans="1:3">
      <c r="B12" s="4" t="s">
        <v>7</v>
      </c>
      <c r="C12" s="4" t="s">
        <v>55</v>
      </c>
    </row>
    <row r="13" spans="1:3">
      <c r="C13" s="4" t="s">
        <v>699</v>
      </c>
    </row>
    <row r="14" spans="1:3">
      <c r="B14" s="4" t="s">
        <v>323</v>
      </c>
    </row>
    <row r="15" spans="1:3">
      <c r="C15" s="22" t="s">
        <v>716</v>
      </c>
    </row>
    <row r="16" spans="1:3">
      <c r="C16" s="4" t="s">
        <v>717</v>
      </c>
    </row>
    <row r="18" spans="3:3">
      <c r="C18" s="22" t="s">
        <v>719</v>
      </c>
    </row>
    <row r="19" spans="3:3">
      <c r="C19" s="4" t="s">
        <v>718</v>
      </c>
    </row>
    <row r="21" spans="3:3">
      <c r="C21" s="22" t="s">
        <v>720</v>
      </c>
    </row>
    <row r="22" spans="3:3">
      <c r="C22" s="4" t="s">
        <v>188</v>
      </c>
    </row>
    <row r="24" spans="3:3">
      <c r="C24" s="22" t="s">
        <v>917</v>
      </c>
    </row>
    <row r="25" spans="3:3">
      <c r="C25" s="4" t="s">
        <v>467</v>
      </c>
    </row>
    <row r="27" spans="3:3">
      <c r="C27" s="28" t="s">
        <v>830</v>
      </c>
    </row>
    <row r="28" spans="3:3">
      <c r="C28" s="4" t="s">
        <v>551</v>
      </c>
    </row>
    <row r="29" spans="3:3">
      <c r="C29" s="4" t="s">
        <v>836</v>
      </c>
    </row>
    <row r="30" spans="3:3">
      <c r="C30" s="4" t="s">
        <v>982</v>
      </c>
    </row>
    <row r="31" spans="3:3">
      <c r="C31" s="4" t="s">
        <v>834</v>
      </c>
    </row>
    <row r="32" spans="3:3">
      <c r="C32" s="16" t="s">
        <v>833</v>
      </c>
    </row>
    <row r="33" spans="3:3">
      <c r="C33" s="16" t="s">
        <v>998</v>
      </c>
    </row>
    <row r="34" spans="3:3">
      <c r="C34" s="4" t="s">
        <v>669</v>
      </c>
    </row>
    <row r="35" spans="3:3">
      <c r="C35" s="4" t="s">
        <v>835</v>
      </c>
    </row>
    <row r="36" spans="3:3">
      <c r="C36" s="4" t="s">
        <v>550</v>
      </c>
    </row>
    <row r="37" spans="3:3">
      <c r="C37" s="4" t="s">
        <v>552</v>
      </c>
    </row>
    <row r="39" spans="3:3">
      <c r="C39" s="22" t="s">
        <v>189</v>
      </c>
    </row>
    <row r="40" spans="3:3">
      <c r="C40" s="4" t="s">
        <v>698</v>
      </c>
    </row>
    <row r="41" spans="3:3">
      <c r="C41" s="4" t="s">
        <v>744</v>
      </c>
    </row>
    <row r="42" spans="3:3">
      <c r="C42" s="4" t="s">
        <v>985</v>
      </c>
    </row>
    <row r="44" spans="3:3">
      <c r="C44" s="22" t="s">
        <v>190</v>
      </c>
    </row>
    <row r="45" spans="3:3">
      <c r="C45" s="4" t="s">
        <v>801</v>
      </c>
    </row>
    <row r="46" spans="3:3">
      <c r="C46" s="4" t="s">
        <v>743</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632</v>
      </c>
    </row>
    <row r="4" spans="2:2">
      <c r="B4" t="s">
        <v>972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tabSelected="1" zoomScale="130" zoomScaleNormal="130" workbookViewId="0">
      <selection activeCell="I13" sqref="I13"/>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811</v>
      </c>
      <c r="E2" s="2" t="s">
        <v>6</v>
      </c>
      <c r="F2" s="2" t="s">
        <v>1026</v>
      </c>
      <c r="G2" s="3" t="s">
        <v>600</v>
      </c>
      <c r="I2" s="4" t="s">
        <v>359</v>
      </c>
      <c r="J2" s="54">
        <v>326</v>
      </c>
    </row>
    <row r="3" spans="1:11">
      <c r="B3" s="25" t="s">
        <v>357</v>
      </c>
      <c r="C3" s="6" t="s">
        <v>1135</v>
      </c>
      <c r="D3" s="6" t="s">
        <v>812</v>
      </c>
      <c r="E3" s="12">
        <v>1</v>
      </c>
      <c r="F3" s="6">
        <v>2001</v>
      </c>
      <c r="G3" s="7" t="s">
        <v>305</v>
      </c>
      <c r="I3" s="4" t="s">
        <v>449</v>
      </c>
      <c r="J3" s="26">
        <v>537.20000000000005</v>
      </c>
      <c r="K3" s="107" t="s">
        <v>1298</v>
      </c>
    </row>
    <row r="4" spans="1:11">
      <c r="B4" s="25" t="s">
        <v>210</v>
      </c>
      <c r="C4" s="6" t="s">
        <v>1136</v>
      </c>
      <c r="D4" s="6" t="s">
        <v>664</v>
      </c>
      <c r="E4" s="12" t="s">
        <v>322</v>
      </c>
      <c r="F4" s="12"/>
      <c r="G4" s="7">
        <v>2009</v>
      </c>
      <c r="I4" s="4" t="s">
        <v>1014</v>
      </c>
      <c r="J4" s="26">
        <f>J3*J2</f>
        <v>175127.2</v>
      </c>
    </row>
    <row r="5" spans="1:11">
      <c r="B5" s="25" t="s">
        <v>211</v>
      </c>
      <c r="C5" s="6" t="s">
        <v>572</v>
      </c>
      <c r="D5" s="6" t="s">
        <v>812</v>
      </c>
      <c r="E5" s="12">
        <v>1</v>
      </c>
      <c r="F5" s="12"/>
      <c r="G5" s="7">
        <v>2015</v>
      </c>
      <c r="I5" s="4" t="s">
        <v>1015</v>
      </c>
      <c r="J5" s="97">
        <f>Model!CR89</f>
        <v>9301</v>
      </c>
      <c r="K5" s="107" t="s">
        <v>1298</v>
      </c>
    </row>
    <row r="6" spans="1:11">
      <c r="B6" s="25" t="s">
        <v>13</v>
      </c>
      <c r="C6" s="6" t="s">
        <v>562</v>
      </c>
      <c r="D6" s="6" t="s">
        <v>812</v>
      </c>
      <c r="E6" s="12">
        <v>1</v>
      </c>
      <c r="F6" s="6">
        <v>1989</v>
      </c>
      <c r="G6" s="7" t="s">
        <v>650</v>
      </c>
      <c r="I6" s="4" t="s">
        <v>1016</v>
      </c>
      <c r="J6" s="26">
        <f>Model!CR107</f>
        <v>62645</v>
      </c>
      <c r="K6" s="107" t="s">
        <v>1298</v>
      </c>
    </row>
    <row r="7" spans="1:11">
      <c r="B7" s="25" t="s">
        <v>390</v>
      </c>
      <c r="C7" s="6" t="s">
        <v>1138</v>
      </c>
      <c r="D7" s="6" t="s">
        <v>1216</v>
      </c>
      <c r="E7" s="12">
        <v>1</v>
      </c>
      <c r="F7" s="6">
        <v>2006</v>
      </c>
      <c r="G7" s="7" t="s">
        <v>187</v>
      </c>
      <c r="I7" s="4" t="s">
        <v>1017</v>
      </c>
      <c r="J7" s="26">
        <f>J4-J5+J6</f>
        <v>228471.2</v>
      </c>
    </row>
    <row r="8" spans="1:11">
      <c r="B8" s="25" t="s">
        <v>1214</v>
      </c>
      <c r="C8" s="6" t="s">
        <v>1223</v>
      </c>
      <c r="D8" s="6" t="s">
        <v>1215</v>
      </c>
      <c r="E8" s="27">
        <v>1</v>
      </c>
      <c r="G8" s="24"/>
    </row>
    <row r="9" spans="1:11">
      <c r="B9" s="25" t="s">
        <v>1086</v>
      </c>
      <c r="C9" s="29" t="s">
        <v>1139</v>
      </c>
      <c r="D9" s="103" t="s">
        <v>1217</v>
      </c>
      <c r="E9" s="52" t="s">
        <v>1080</v>
      </c>
      <c r="F9" s="104">
        <v>40384</v>
      </c>
      <c r="G9" s="44" t="s">
        <v>755</v>
      </c>
      <c r="I9" s="113" t="s">
        <v>1296</v>
      </c>
    </row>
    <row r="10" spans="1:11">
      <c r="B10" s="112" t="s">
        <v>1290</v>
      </c>
      <c r="C10" s="29"/>
      <c r="D10" s="29"/>
      <c r="E10" s="52"/>
      <c r="F10" s="104">
        <v>41110</v>
      </c>
      <c r="G10" s="44"/>
      <c r="I10" s="113" t="s">
        <v>1321</v>
      </c>
    </row>
    <row r="11" spans="1:11">
      <c r="B11" s="112" t="s">
        <v>1291</v>
      </c>
      <c r="C11" s="29"/>
      <c r="D11" s="29"/>
      <c r="E11" s="52"/>
      <c r="F11" s="104"/>
      <c r="G11" s="44"/>
      <c r="I11" s="113" t="s">
        <v>1322</v>
      </c>
    </row>
    <row r="12" spans="1:11">
      <c r="B12" s="112" t="s">
        <v>1292</v>
      </c>
      <c r="C12" s="29"/>
      <c r="D12" s="29"/>
      <c r="E12" s="52"/>
      <c r="F12" s="104"/>
      <c r="G12" s="44"/>
      <c r="I12" s="113" t="s">
        <v>1323</v>
      </c>
    </row>
    <row r="13" spans="1:11">
      <c r="B13" s="112" t="s">
        <v>1293</v>
      </c>
      <c r="C13" s="29"/>
      <c r="D13" s="29"/>
      <c r="E13" s="52"/>
      <c r="F13" s="104"/>
      <c r="G13" s="44"/>
    </row>
    <row r="14" spans="1:11">
      <c r="B14" s="112" t="s">
        <v>1294</v>
      </c>
      <c r="C14" s="29"/>
      <c r="D14" s="29"/>
      <c r="E14" s="52"/>
      <c r="F14" s="104"/>
      <c r="G14" s="44"/>
    </row>
    <row r="15" spans="1:11">
      <c r="B15" s="112" t="s">
        <v>1295</v>
      </c>
      <c r="C15" s="29"/>
      <c r="D15" s="29"/>
      <c r="E15" s="52"/>
      <c r="F15" s="104">
        <v>41719</v>
      </c>
      <c r="G15" s="44"/>
    </row>
    <row r="16" spans="1:11">
      <c r="B16" s="112" t="s">
        <v>1306</v>
      </c>
      <c r="C16" s="103" t="s">
        <v>1308</v>
      </c>
      <c r="D16" s="103" t="s">
        <v>1307</v>
      </c>
      <c r="E16" s="52">
        <v>1</v>
      </c>
      <c r="F16" s="104"/>
      <c r="G16" s="44"/>
    </row>
    <row r="17" spans="2:7">
      <c r="B17" s="110" t="s">
        <v>1234</v>
      </c>
      <c r="C17" s="29" t="s">
        <v>1133</v>
      </c>
      <c r="D17" s="29" t="s">
        <v>1134</v>
      </c>
      <c r="E17" s="52">
        <v>1</v>
      </c>
      <c r="F17" s="29"/>
      <c r="G17" s="94"/>
    </row>
    <row r="18" spans="2:7">
      <c r="B18" s="110" t="s">
        <v>1235</v>
      </c>
      <c r="C18" s="29" t="s">
        <v>950</v>
      </c>
      <c r="D18" s="29" t="s">
        <v>1142</v>
      </c>
      <c r="E18" s="52">
        <v>1</v>
      </c>
      <c r="F18" s="29" t="s">
        <v>1143</v>
      </c>
      <c r="G18" s="94"/>
    </row>
    <row r="19" spans="2:7" s="16" customFormat="1">
      <c r="B19" s="105" t="s">
        <v>853</v>
      </c>
      <c r="C19" s="9" t="s">
        <v>1140</v>
      </c>
      <c r="D19" s="9" t="s">
        <v>35</v>
      </c>
      <c r="E19" s="59">
        <v>1</v>
      </c>
      <c r="F19" s="9">
        <v>2008</v>
      </c>
      <c r="G19" s="106" t="s">
        <v>186</v>
      </c>
    </row>
    <row r="20" spans="2:7" s="16" customFormat="1">
      <c r="B20" s="1"/>
      <c r="C20" s="2"/>
      <c r="D20" s="2"/>
      <c r="E20" s="2"/>
      <c r="F20" s="2" t="s">
        <v>4</v>
      </c>
      <c r="G20" s="3" t="s">
        <v>885</v>
      </c>
    </row>
    <row r="21" spans="2:7">
      <c r="B21" s="68" t="s">
        <v>1146</v>
      </c>
      <c r="C21" s="29" t="s">
        <v>1147</v>
      </c>
      <c r="D21" s="29"/>
      <c r="E21" s="52">
        <v>1</v>
      </c>
      <c r="F21" s="29" t="s">
        <v>225</v>
      </c>
      <c r="G21" s="94"/>
    </row>
    <row r="22" spans="2:7" s="16" customFormat="1">
      <c r="B22" s="68" t="s">
        <v>1164</v>
      </c>
      <c r="C22" s="29" t="s">
        <v>532</v>
      </c>
      <c r="D22" s="29"/>
      <c r="E22" s="52" t="s">
        <v>539</v>
      </c>
      <c r="F22" s="29" t="s">
        <v>225</v>
      </c>
      <c r="G22" s="94"/>
    </row>
    <row r="23" spans="2:7" s="16" customFormat="1">
      <c r="B23" s="25" t="s">
        <v>219</v>
      </c>
      <c r="C23" s="6" t="s">
        <v>933</v>
      </c>
      <c r="D23" s="6" t="s">
        <v>880</v>
      </c>
      <c r="E23" s="12">
        <v>1</v>
      </c>
      <c r="F23" s="6" t="s">
        <v>855</v>
      </c>
      <c r="G23" s="24"/>
    </row>
    <row r="24" spans="2:7" s="16" customFormat="1">
      <c r="B24" s="25" t="s">
        <v>216</v>
      </c>
      <c r="C24" s="6" t="s">
        <v>566</v>
      </c>
      <c r="D24" s="6" t="s">
        <v>882</v>
      </c>
      <c r="E24" s="12">
        <v>1</v>
      </c>
      <c r="F24" s="29" t="s">
        <v>855</v>
      </c>
      <c r="G24" s="24"/>
    </row>
    <row r="25" spans="2:7">
      <c r="B25" s="5" t="s">
        <v>66</v>
      </c>
      <c r="C25" s="6" t="s">
        <v>95</v>
      </c>
      <c r="D25" s="6" t="s">
        <v>883</v>
      </c>
      <c r="E25" s="52" t="s">
        <v>83</v>
      </c>
      <c r="F25" s="95" t="s">
        <v>855</v>
      </c>
      <c r="G25" s="24" t="s">
        <v>565</v>
      </c>
    </row>
    <row r="26" spans="2:7">
      <c r="B26" s="68" t="s">
        <v>1148</v>
      </c>
      <c r="C26" s="29" t="s">
        <v>218</v>
      </c>
      <c r="D26" s="29" t="s">
        <v>1149</v>
      </c>
      <c r="E26" s="52">
        <v>1</v>
      </c>
      <c r="F26" s="95" t="s">
        <v>855</v>
      </c>
      <c r="G26" s="24"/>
    </row>
    <row r="27" spans="2:7">
      <c r="B27" s="5" t="s">
        <v>352</v>
      </c>
      <c r="C27" s="6" t="s">
        <v>353</v>
      </c>
      <c r="D27" s="6" t="s">
        <v>110</v>
      </c>
      <c r="E27" s="52" t="s">
        <v>1065</v>
      </c>
      <c r="F27" s="6">
        <v>1</v>
      </c>
      <c r="G27" s="24" t="s">
        <v>94</v>
      </c>
    </row>
    <row r="28" spans="2:7">
      <c r="B28" s="25" t="s">
        <v>31</v>
      </c>
      <c r="C28" s="29" t="s">
        <v>1067</v>
      </c>
      <c r="D28" s="29" t="s">
        <v>1064</v>
      </c>
      <c r="E28" s="52">
        <v>1</v>
      </c>
      <c r="F28" s="6" t="s">
        <v>855</v>
      </c>
      <c r="G28" s="24"/>
    </row>
    <row r="29" spans="2:7">
      <c r="B29" s="64" t="s">
        <v>217</v>
      </c>
      <c r="C29" s="36" t="s">
        <v>218</v>
      </c>
      <c r="D29" s="36" t="s">
        <v>881</v>
      </c>
      <c r="E29" s="34">
        <v>1</v>
      </c>
      <c r="F29" s="36" t="s">
        <v>855</v>
      </c>
      <c r="G29" s="65"/>
    </row>
    <row r="30" spans="2:7">
      <c r="B30" s="5" t="s">
        <v>125</v>
      </c>
      <c r="C30" s="6" t="s">
        <v>32</v>
      </c>
      <c r="D30" s="6" t="s">
        <v>491</v>
      </c>
      <c r="E30" s="6" t="s">
        <v>773</v>
      </c>
      <c r="F30" s="6" t="s">
        <v>774</v>
      </c>
      <c r="G30" s="24"/>
    </row>
    <row r="31" spans="2:7" s="23" customFormat="1">
      <c r="B31" s="5" t="s">
        <v>67</v>
      </c>
      <c r="C31" s="6" t="s">
        <v>567</v>
      </c>
      <c r="D31" s="6" t="s">
        <v>1002</v>
      </c>
      <c r="E31" s="4"/>
      <c r="F31" s="6">
        <v>1</v>
      </c>
      <c r="G31" s="24"/>
    </row>
    <row r="32" spans="2:7">
      <c r="B32" s="5" t="s">
        <v>67</v>
      </c>
      <c r="C32" s="6" t="s">
        <v>30</v>
      </c>
      <c r="E32" s="6" t="s">
        <v>682</v>
      </c>
      <c r="F32" s="6">
        <v>1</v>
      </c>
      <c r="G32" s="24"/>
    </row>
    <row r="33" spans="2:7">
      <c r="B33" s="25" t="s">
        <v>786</v>
      </c>
      <c r="C33" s="6" t="s">
        <v>566</v>
      </c>
      <c r="D33" s="6" t="s">
        <v>787</v>
      </c>
      <c r="E33" s="12">
        <v>1</v>
      </c>
      <c r="F33" s="6" t="s">
        <v>774</v>
      </c>
      <c r="G33" s="24" t="s">
        <v>788</v>
      </c>
    </row>
    <row r="34" spans="2:7">
      <c r="B34" s="5" t="s">
        <v>789</v>
      </c>
      <c r="C34" s="6" t="s">
        <v>790</v>
      </c>
      <c r="D34" s="6" t="s">
        <v>928</v>
      </c>
      <c r="E34" s="12">
        <v>1</v>
      </c>
      <c r="F34" s="6" t="s">
        <v>774</v>
      </c>
      <c r="G34" s="24"/>
    </row>
    <row r="35" spans="2:7">
      <c r="B35" s="5" t="s">
        <v>131</v>
      </c>
      <c r="C35" s="6" t="s">
        <v>215</v>
      </c>
      <c r="D35" s="6" t="s">
        <v>132</v>
      </c>
      <c r="F35" s="6">
        <v>1</v>
      </c>
      <c r="G35" s="24"/>
    </row>
    <row r="36" spans="2:7">
      <c r="B36" s="5" t="s">
        <v>538</v>
      </c>
      <c r="E36" s="6" t="s">
        <v>539</v>
      </c>
      <c r="F36" s="6" t="s">
        <v>855</v>
      </c>
      <c r="G36" s="24"/>
    </row>
    <row r="37" spans="2:7">
      <c r="B37" s="5" t="s">
        <v>65</v>
      </c>
      <c r="C37" s="6" t="s">
        <v>810</v>
      </c>
      <c r="D37" s="6" t="s">
        <v>884</v>
      </c>
      <c r="F37" s="6">
        <v>2</v>
      </c>
      <c r="G37" s="24" t="s">
        <v>563</v>
      </c>
    </row>
    <row r="38" spans="2:7">
      <c r="B38" s="25" t="s">
        <v>108</v>
      </c>
      <c r="C38" s="6" t="s">
        <v>109</v>
      </c>
      <c r="D38" s="6" t="s">
        <v>553</v>
      </c>
      <c r="E38" s="6" t="s">
        <v>43</v>
      </c>
      <c r="F38" s="29" t="s">
        <v>774</v>
      </c>
      <c r="G38" s="24"/>
    </row>
    <row r="39" spans="2:7">
      <c r="B39" s="8" t="s">
        <v>51</v>
      </c>
      <c r="C39" s="9" t="s">
        <v>567</v>
      </c>
      <c r="D39" s="9" t="s">
        <v>52</v>
      </c>
      <c r="E39" s="59">
        <v>1</v>
      </c>
      <c r="F39" s="9" t="s">
        <v>774</v>
      </c>
      <c r="G39" s="17"/>
    </row>
    <row r="41" spans="2:7">
      <c r="B41" s="14"/>
      <c r="E41" s="23" t="s">
        <v>54</v>
      </c>
      <c r="F41" s="23"/>
    </row>
    <row r="42" spans="2:7">
      <c r="B42" s="16"/>
      <c r="E42" s="33" t="s">
        <v>471</v>
      </c>
      <c r="F42" s="23"/>
    </row>
    <row r="43" spans="2:7">
      <c r="B43" s="16"/>
      <c r="E43" s="23" t="s">
        <v>517</v>
      </c>
      <c r="F43" s="33"/>
    </row>
    <row r="44" spans="2:7">
      <c r="E44" s="23" t="s">
        <v>318</v>
      </c>
      <c r="F44" s="23"/>
    </row>
    <row r="45" spans="2:7">
      <c r="B45" s="16"/>
      <c r="E45" s="23" t="s">
        <v>53</v>
      </c>
      <c r="F45" s="23"/>
    </row>
    <row r="46" spans="2:7">
      <c r="E46" s="33" t="s">
        <v>518</v>
      </c>
      <c r="F46" s="23"/>
    </row>
    <row r="47" spans="2:7">
      <c r="B47" s="14"/>
      <c r="E47" s="23" t="s">
        <v>824</v>
      </c>
      <c r="F47" s="33"/>
    </row>
    <row r="48" spans="2:7">
      <c r="B48" s="14"/>
      <c r="E48" s="4" t="s">
        <v>333</v>
      </c>
      <c r="F48" s="23"/>
    </row>
    <row r="49" spans="2:6">
      <c r="E49" s="4" t="s">
        <v>888</v>
      </c>
      <c r="F49" s="23"/>
    </row>
    <row r="50" spans="2:6">
      <c r="E50" s="23" t="s">
        <v>995</v>
      </c>
    </row>
    <row r="51" spans="2:6">
      <c r="E51" s="4" t="s">
        <v>996</v>
      </c>
      <c r="F51" s="23"/>
    </row>
    <row r="52" spans="2:6">
      <c r="E52" s="23" t="s">
        <v>997</v>
      </c>
    </row>
    <row r="53" spans="2:6">
      <c r="E53" s="23" t="s">
        <v>772</v>
      </c>
    </row>
    <row r="54" spans="2:6">
      <c r="E54" s="23" t="s">
        <v>124</v>
      </c>
      <c r="F54" s="23"/>
    </row>
    <row r="55" spans="2:6">
      <c r="E55" s="23" t="s">
        <v>1008</v>
      </c>
    </row>
    <row r="56" spans="2:6">
      <c r="E56" s="23" t="s">
        <v>561</v>
      </c>
      <c r="F56" s="23"/>
    </row>
    <row r="57" spans="2:6">
      <c r="E57" s="33" t="s">
        <v>891</v>
      </c>
      <c r="F57" s="23"/>
    </row>
    <row r="58" spans="2:6">
      <c r="E58" s="23" t="s">
        <v>29</v>
      </c>
      <c r="F58" s="23"/>
    </row>
    <row r="59" spans="2:6">
      <c r="B59" s="4" t="s">
        <v>418</v>
      </c>
      <c r="E59" s="23" t="s">
        <v>645</v>
      </c>
      <c r="F59" s="23"/>
    </row>
    <row r="60" spans="2:6">
      <c r="E60" s="23" t="s">
        <v>892</v>
      </c>
      <c r="F60" s="33"/>
    </row>
    <row r="61" spans="2:6">
      <c r="E61" s="23" t="s">
        <v>484</v>
      </c>
      <c r="F61" s="23"/>
    </row>
    <row r="62" spans="2:6">
      <c r="E62" s="23" t="s">
        <v>483</v>
      </c>
      <c r="F62" s="23"/>
    </row>
    <row r="63" spans="2:6">
      <c r="E63" s="23" t="s">
        <v>730</v>
      </c>
      <c r="F63" s="23"/>
    </row>
    <row r="64" spans="2:6">
      <c r="E64" s="23" t="s">
        <v>620</v>
      </c>
      <c r="F64" s="23"/>
    </row>
    <row r="65" spans="5:5">
      <c r="E65" s="23" t="s">
        <v>978</v>
      </c>
    </row>
    <row r="66" spans="5:5">
      <c r="E66" s="23" t="s">
        <v>767</v>
      </c>
    </row>
    <row r="67" spans="5:5">
      <c r="E67" s="23" t="s">
        <v>38</v>
      </c>
    </row>
    <row r="68" spans="5:5">
      <c r="E68" s="23" t="s">
        <v>1018</v>
      </c>
    </row>
    <row r="69" spans="5:5">
      <c r="E69" s="23" t="s">
        <v>296</v>
      </c>
    </row>
    <row r="70" spans="5:5">
      <c r="E70" s="4" t="s">
        <v>943</v>
      </c>
    </row>
    <row r="71" spans="5:5">
      <c r="E71" s="23" t="s">
        <v>689</v>
      </c>
    </row>
    <row r="72" spans="5:5">
      <c r="E72" s="23" t="s">
        <v>1078</v>
      </c>
    </row>
    <row r="73" spans="5:5">
      <c r="E73" s="23" t="s">
        <v>1070</v>
      </c>
    </row>
    <row r="74" spans="5:5">
      <c r="E74" s="23" t="s">
        <v>1049</v>
      </c>
    </row>
    <row r="75" spans="5:5">
      <c r="E75" s="23" t="s">
        <v>1056</v>
      </c>
    </row>
    <row r="76" spans="5:5">
      <c r="E76" s="23" t="s">
        <v>1066</v>
      </c>
    </row>
    <row r="77" spans="5:5">
      <c r="E77" s="16" t="s">
        <v>1094</v>
      </c>
    </row>
    <row r="78" spans="5:5">
      <c r="E78" s="16" t="s">
        <v>1095</v>
      </c>
    </row>
    <row r="80" spans="5:5">
      <c r="E80" s="4" t="s">
        <v>1218</v>
      </c>
    </row>
    <row r="81" spans="5:5">
      <c r="E81" s="4" t="s">
        <v>1208</v>
      </c>
    </row>
    <row r="82" spans="5:5">
      <c r="E82" s="4" t="s">
        <v>1209</v>
      </c>
    </row>
    <row r="83" spans="5:5">
      <c r="E83" s="113" t="s">
        <v>1320</v>
      </c>
    </row>
  </sheetData>
  <phoneticPr fontId="3" type="noConversion"/>
  <hyperlinks>
    <hyperlink ref="B7" location="Vectibix!A1" display="Vectibix (panitumumab)" xr:uid="{00000000-0004-0000-0000-000000000000}"/>
    <hyperlink ref="B9" location="Denosumab!A1" display="Denosumab (AMG162)" xr:uid="{00000000-0004-0000-0000-000001000000}"/>
    <hyperlink ref="B24"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19" location="'531'!A1" display="AMG531 (fast track)" xr:uid="{00000000-0004-0000-0000-000006000000}"/>
    <hyperlink ref="B23"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38" location="'785'!A1" display="AMG785" xr:uid="{00000000-0004-0000-0000-00000E000000}"/>
    <hyperlink ref="B33" location="'208'!A1" display="AMG208" xr:uid="{00000000-0004-0000-0000-00000F000000}"/>
    <hyperlink ref="B28"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343</v>
      </c>
    </row>
    <row r="4" spans="1:2">
      <c r="B4" t="s">
        <v>721</v>
      </c>
    </row>
    <row r="5" spans="1:2">
      <c r="B5" t="s">
        <v>438</v>
      </c>
    </row>
    <row r="7" spans="1:2">
      <c r="B7" t="s">
        <v>436</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856</v>
      </c>
    </row>
    <row r="3" spans="1:3">
      <c r="B3" t="s">
        <v>288</v>
      </c>
    </row>
    <row r="4" spans="1:3">
      <c r="B4" t="s">
        <v>323</v>
      </c>
    </row>
    <row r="5" spans="1:3">
      <c r="C5" s="48" t="s">
        <v>857</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280</v>
      </c>
    </row>
    <row r="3" spans="1:3">
      <c r="B3" t="s">
        <v>811</v>
      </c>
      <c r="C3" t="s">
        <v>926</v>
      </c>
    </row>
    <row r="4" spans="1:3">
      <c r="B4" t="s">
        <v>323</v>
      </c>
    </row>
    <row r="5" spans="1:3">
      <c r="C5" s="48" t="s">
        <v>1107</v>
      </c>
    </row>
    <row r="6" spans="1:3">
      <c r="C6" s="53" t="s">
        <v>1108</v>
      </c>
    </row>
    <row r="7" spans="1:3">
      <c r="C7" s="53"/>
    </row>
    <row r="8" spans="1:3">
      <c r="C8" s="53"/>
    </row>
    <row r="10" spans="1:3">
      <c r="C10" s="48" t="s">
        <v>927</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811</v>
      </c>
      <c r="C4" t="s">
        <v>726</v>
      </c>
    </row>
    <row r="5" spans="1:4">
      <c r="C5" t="s">
        <v>918</v>
      </c>
    </row>
    <row r="6" spans="1:4">
      <c r="C6" t="s">
        <v>919</v>
      </c>
    </row>
    <row r="7" spans="1:4">
      <c r="C7" t="s">
        <v>281</v>
      </c>
    </row>
    <row r="8" spans="1:4">
      <c r="C8" t="s">
        <v>321</v>
      </c>
    </row>
    <row r="9" spans="1:4">
      <c r="C9" t="s">
        <v>758</v>
      </c>
    </row>
    <row r="10" spans="1:4">
      <c r="C10" t="s">
        <v>760</v>
      </c>
    </row>
    <row r="12" spans="1:4">
      <c r="B12" t="s">
        <v>7</v>
      </c>
      <c r="C12" t="s">
        <v>759</v>
      </c>
    </row>
    <row r="13" spans="1:4">
      <c r="C13" t="s">
        <v>761</v>
      </c>
    </row>
    <row r="14" spans="1:4">
      <c r="D14" t="s">
        <v>762</v>
      </c>
    </row>
    <row r="15" spans="1:4">
      <c r="C15" t="s">
        <v>763</v>
      </c>
    </row>
    <row r="16" spans="1:4">
      <c r="D16" t="s">
        <v>306</v>
      </c>
    </row>
    <row r="17" spans="2:4">
      <c r="C17" t="s">
        <v>441</v>
      </c>
    </row>
    <row r="18" spans="2:4">
      <c r="C18" t="s">
        <v>442</v>
      </c>
    </row>
    <row r="19" spans="2:4">
      <c r="C19" t="s">
        <v>1000</v>
      </c>
    </row>
    <row r="20" spans="2:4">
      <c r="D20" t="s">
        <v>407</v>
      </c>
    </row>
    <row r="21" spans="2:4">
      <c r="C21" t="s">
        <v>408</v>
      </c>
    </row>
    <row r="23" spans="2:4">
      <c r="C23" t="s">
        <v>838</v>
      </c>
    </row>
    <row r="24" spans="2:4">
      <c r="C24" t="s">
        <v>127</v>
      </c>
    </row>
    <row r="25" spans="2:4">
      <c r="C25" t="s">
        <v>80</v>
      </c>
    </row>
    <row r="26" spans="2:4">
      <c r="C26" t="s">
        <v>409</v>
      </c>
    </row>
    <row r="27" spans="2:4">
      <c r="C27" t="s">
        <v>501</v>
      </c>
    </row>
    <row r="28" spans="2:4">
      <c r="C28" t="s">
        <v>410</v>
      </c>
    </row>
    <row r="29" spans="2:4">
      <c r="C29" t="s">
        <v>349</v>
      </c>
    </row>
    <row r="30" spans="2:4">
      <c r="C30" t="s">
        <v>350</v>
      </c>
    </row>
    <row r="31" spans="2:4">
      <c r="B31" t="s">
        <v>323</v>
      </c>
    </row>
    <row r="32" spans="2:4">
      <c r="C32" s="48" t="s">
        <v>932</v>
      </c>
    </row>
    <row r="35" spans="3:3">
      <c r="C35" s="48" t="s">
        <v>1109</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811</v>
      </c>
      <c r="C4" s="4" t="s">
        <v>973</v>
      </c>
    </row>
    <row r="5" spans="1:3">
      <c r="B5" s="4" t="s">
        <v>323</v>
      </c>
      <c r="C5" s="4" t="s">
        <v>351</v>
      </c>
    </row>
    <row r="8" spans="1:3">
      <c r="C8" s="22" t="s">
        <v>666</v>
      </c>
    </row>
    <row r="9" spans="1:3">
      <c r="C9" s="4" t="s">
        <v>536</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s="53" t="s">
        <v>31</v>
      </c>
    </row>
    <row r="3" spans="1:3">
      <c r="B3" s="53" t="s">
        <v>811</v>
      </c>
      <c r="C3" s="53" t="s">
        <v>1061</v>
      </c>
    </row>
    <row r="4" spans="1:3">
      <c r="B4" s="53" t="s">
        <v>1110</v>
      </c>
      <c r="C4" s="53" t="s">
        <v>1111</v>
      </c>
    </row>
    <row r="5" spans="1:3">
      <c r="B5" s="53" t="s">
        <v>323</v>
      </c>
      <c r="C5" s="48"/>
    </row>
    <row r="6" spans="1:3">
      <c r="B6" s="53"/>
      <c r="C6" s="48" t="s">
        <v>1068</v>
      </c>
    </row>
    <row r="7" spans="1:3">
      <c r="B7" s="53"/>
      <c r="C7" s="53" t="s">
        <v>1069</v>
      </c>
    </row>
    <row r="8" spans="1:3">
      <c r="B8" s="53"/>
      <c r="C8" s="48"/>
    </row>
    <row r="9" spans="1:3">
      <c r="B9" s="53"/>
      <c r="C9" s="48"/>
    </row>
    <row r="10" spans="1:3">
      <c r="C10" s="48" t="s">
        <v>1063</v>
      </c>
    </row>
    <row r="11" spans="1:3">
      <c r="C11" s="53" t="s">
        <v>1062</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692</v>
      </c>
    </row>
    <row r="5" spans="1:3">
      <c r="C5" t="s">
        <v>693</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929</v>
      </c>
    </row>
    <row r="3" spans="1:3">
      <c r="B3" t="s">
        <v>811</v>
      </c>
      <c r="C3" t="s">
        <v>930</v>
      </c>
    </row>
    <row r="4" spans="1:3">
      <c r="B4" t="s">
        <v>323</v>
      </c>
    </row>
    <row r="5" spans="1:3">
      <c r="C5" s="48" t="s">
        <v>931</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287</v>
      </c>
      <c r="C2" t="s">
        <v>923</v>
      </c>
    </row>
    <row r="3" spans="1:3">
      <c r="B3" t="s">
        <v>811</v>
      </c>
      <c r="C3" t="s">
        <v>924</v>
      </c>
    </row>
    <row r="4" spans="1:3">
      <c r="B4" t="s">
        <v>323</v>
      </c>
    </row>
    <row r="5" spans="1:3">
      <c r="C5" s="48" t="s">
        <v>925</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656</v>
      </c>
    </row>
    <row r="3" spans="1:3">
      <c r="B3" t="s">
        <v>811</v>
      </c>
      <c r="C3" t="s">
        <v>523</v>
      </c>
    </row>
    <row r="4" spans="1:3">
      <c r="B4" t="s">
        <v>329</v>
      </c>
      <c r="C4" t="s">
        <v>524</v>
      </c>
    </row>
    <row r="5" spans="1:3">
      <c r="B5" t="s">
        <v>323</v>
      </c>
      <c r="C5" t="s">
        <v>970</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158"/>
  <sheetViews>
    <sheetView zoomScale="160" zoomScaleNormal="160" workbookViewId="0">
      <pane xSplit="2" ySplit="2" topLeftCell="CL82" activePane="bottomRight" state="frozen"/>
      <selection pane="topRight" activeCell="C1" sqref="C1"/>
      <selection pane="bottomLeft" activeCell="A4" sqref="A4"/>
      <selection pane="bottomRight" activeCell="CR88" sqref="CR88"/>
    </sheetView>
  </sheetViews>
  <sheetFormatPr defaultColWidth="9.140625" defaultRowHeight="12.75"/>
  <cols>
    <col min="1" max="1" width="5" style="4" bestFit="1" customWidth="1"/>
    <col min="2" max="2" width="19.42578125" style="4" bestFit="1" customWidth="1"/>
    <col min="3" max="4" width="5.42578125" style="71" bestFit="1" customWidth="1"/>
    <col min="5" max="5" width="6.85546875" style="71" bestFit="1" customWidth="1"/>
    <col min="6" max="6" width="5.42578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103" width="7.28515625" style="71" customWidth="1"/>
    <col min="104" max="104" width="9.140625" style="71"/>
    <col min="105" max="122" width="7.28515625" style="71" customWidth="1"/>
    <col min="123" max="135" width="8.42578125" style="71" customWidth="1"/>
    <col min="136" max="16384" width="9.140625" style="4"/>
  </cols>
  <sheetData>
    <row r="1" spans="1:140">
      <c r="A1" s="60" t="s">
        <v>5</v>
      </c>
      <c r="CM1" s="114"/>
    </row>
    <row r="2" spans="1:140">
      <c r="C2" s="71" t="s">
        <v>479</v>
      </c>
      <c r="D2" s="71" t="s">
        <v>480</v>
      </c>
      <c r="E2" s="71" t="s">
        <v>481</v>
      </c>
      <c r="F2" s="71" t="s">
        <v>482</v>
      </c>
      <c r="G2" s="71" t="s">
        <v>826</v>
      </c>
      <c r="H2" s="71" t="s">
        <v>827</v>
      </c>
      <c r="I2" s="71" t="s">
        <v>828</v>
      </c>
      <c r="J2" s="71" t="s">
        <v>571</v>
      </c>
      <c r="K2" s="71" t="s">
        <v>569</v>
      </c>
      <c r="L2" s="71" t="s">
        <v>568</v>
      </c>
      <c r="M2" s="71" t="s">
        <v>506</v>
      </c>
      <c r="N2" s="71" t="s">
        <v>507</v>
      </c>
      <c r="O2" s="71" t="s">
        <v>509</v>
      </c>
      <c r="P2" s="71" t="s">
        <v>510</v>
      </c>
      <c r="Q2" s="71" t="s">
        <v>511</v>
      </c>
      <c r="R2" s="71" t="s">
        <v>96</v>
      </c>
      <c r="S2" s="71" t="s">
        <v>841</v>
      </c>
      <c r="T2" s="71" t="s">
        <v>842</v>
      </c>
      <c r="U2" s="71" t="s">
        <v>843</v>
      </c>
      <c r="V2" s="71" t="s">
        <v>844</v>
      </c>
      <c r="W2" s="71" t="s">
        <v>769</v>
      </c>
      <c r="X2" s="71" t="s">
        <v>314</v>
      </c>
      <c r="Y2" s="71" t="s">
        <v>319</v>
      </c>
      <c r="Z2" s="71" t="s">
        <v>770</v>
      </c>
      <c r="AA2" s="71" t="s">
        <v>845</v>
      </c>
      <c r="AB2" s="71" t="s">
        <v>846</v>
      </c>
      <c r="AC2" s="71" t="s">
        <v>847</v>
      </c>
      <c r="AD2" s="71" t="s">
        <v>848</v>
      </c>
      <c r="AE2" s="71" t="s">
        <v>543</v>
      </c>
      <c r="AF2" s="71" t="s">
        <v>544</v>
      </c>
      <c r="AG2" s="71" t="s">
        <v>545</v>
      </c>
      <c r="AH2" s="71" t="s">
        <v>546</v>
      </c>
      <c r="AI2" s="71" t="s">
        <v>425</v>
      </c>
      <c r="AJ2" s="71" t="s">
        <v>47</v>
      </c>
      <c r="AK2" s="71" t="s">
        <v>48</v>
      </c>
      <c r="AL2" s="71" t="s">
        <v>49</v>
      </c>
      <c r="AM2" s="70" t="s">
        <v>1090</v>
      </c>
      <c r="AN2" s="70" t="s">
        <v>1091</v>
      </c>
      <c r="AO2" s="70" t="s">
        <v>1092</v>
      </c>
      <c r="AP2" s="70" t="s">
        <v>1093</v>
      </c>
      <c r="AQ2" s="70" t="s">
        <v>1119</v>
      </c>
      <c r="AR2" s="70" t="s">
        <v>1120</v>
      </c>
      <c r="AS2" s="70" t="s">
        <v>1121</v>
      </c>
      <c r="AT2" s="70" t="s">
        <v>1122</v>
      </c>
      <c r="AU2" s="70" t="s">
        <v>1128</v>
      </c>
      <c r="AV2" s="70" t="s">
        <v>1129</v>
      </c>
      <c r="AW2" s="70" t="s">
        <v>1130</v>
      </c>
      <c r="AX2" s="70" t="s">
        <v>1131</v>
      </c>
      <c r="AY2" s="70" t="s">
        <v>1153</v>
      </c>
      <c r="AZ2" s="70" t="s">
        <v>1154</v>
      </c>
      <c r="BA2" s="70" t="s">
        <v>1155</v>
      </c>
      <c r="BB2" s="70" t="s">
        <v>1156</v>
      </c>
      <c r="BC2" s="70" t="s">
        <v>1141</v>
      </c>
      <c r="BD2" s="70" t="s">
        <v>1152</v>
      </c>
      <c r="BE2" s="70" t="s">
        <v>1157</v>
      </c>
      <c r="BF2" s="70" t="s">
        <v>1158</v>
      </c>
      <c r="BG2" s="70" t="s">
        <v>1159</v>
      </c>
      <c r="BH2" s="70" t="s">
        <v>1160</v>
      </c>
      <c r="BI2" s="70" t="s">
        <v>1161</v>
      </c>
      <c r="BJ2" s="70" t="s">
        <v>1162</v>
      </c>
      <c r="BK2" s="70" t="s">
        <v>1165</v>
      </c>
      <c r="BL2" s="70" t="s">
        <v>1166</v>
      </c>
      <c r="BM2" s="70" t="s">
        <v>1167</v>
      </c>
      <c r="BN2" s="70" t="s">
        <v>1168</v>
      </c>
      <c r="BO2" s="70" t="s">
        <v>1169</v>
      </c>
      <c r="BP2" s="70" t="s">
        <v>1170</v>
      </c>
      <c r="BQ2" s="70" t="s">
        <v>1171</v>
      </c>
      <c r="BR2" s="70" t="s">
        <v>1172</v>
      </c>
      <c r="BS2" s="70" t="s">
        <v>1173</v>
      </c>
      <c r="BT2" s="70" t="s">
        <v>1174</v>
      </c>
      <c r="BU2" s="70" t="s">
        <v>1175</v>
      </c>
      <c r="BV2" s="70" t="s">
        <v>1176</v>
      </c>
      <c r="BW2" s="70" t="s">
        <v>1177</v>
      </c>
      <c r="BX2" s="70" t="s">
        <v>1178</v>
      </c>
      <c r="BY2" s="70" t="s">
        <v>1179</v>
      </c>
      <c r="BZ2" s="70" t="s">
        <v>1180</v>
      </c>
      <c r="CA2" s="70" t="s">
        <v>1181</v>
      </c>
      <c r="CB2" s="70" t="s">
        <v>1182</v>
      </c>
      <c r="CC2" s="70" t="s">
        <v>1183</v>
      </c>
      <c r="CD2" s="70" t="s">
        <v>1184</v>
      </c>
      <c r="CE2" s="70" t="s">
        <v>1185</v>
      </c>
      <c r="CF2" s="70" t="s">
        <v>1186</v>
      </c>
      <c r="CG2" s="70" t="s">
        <v>1187</v>
      </c>
      <c r="CH2" s="70" t="s">
        <v>1188</v>
      </c>
      <c r="CI2" s="70" t="s">
        <v>1189</v>
      </c>
      <c r="CJ2" s="70" t="s">
        <v>1190</v>
      </c>
      <c r="CK2" s="70" t="s">
        <v>1191</v>
      </c>
      <c r="CL2" s="70" t="s">
        <v>1192</v>
      </c>
      <c r="CM2" s="115" t="s">
        <v>1193</v>
      </c>
      <c r="CN2" s="70" t="s">
        <v>1194</v>
      </c>
      <c r="CO2" s="70" t="s">
        <v>1195</v>
      </c>
      <c r="CP2" s="70" t="s">
        <v>1196</v>
      </c>
      <c r="CQ2" s="107" t="s">
        <v>1297</v>
      </c>
      <c r="CR2" s="107" t="s">
        <v>1298</v>
      </c>
      <c r="CS2" s="107" t="s">
        <v>1299</v>
      </c>
      <c r="CT2" s="107" t="s">
        <v>1300</v>
      </c>
      <c r="CU2" s="107" t="s">
        <v>1301</v>
      </c>
      <c r="CV2" s="107" t="s">
        <v>1302</v>
      </c>
      <c r="CW2" s="107" t="s">
        <v>1303</v>
      </c>
      <c r="CX2" s="107" t="s">
        <v>1304</v>
      </c>
      <c r="CY2" s="70"/>
      <c r="DA2" s="71" t="s">
        <v>174</v>
      </c>
      <c r="DB2" s="71" t="s">
        <v>175</v>
      </c>
      <c r="DC2" s="71" t="s">
        <v>570</v>
      </c>
      <c r="DD2" s="71" t="s">
        <v>508</v>
      </c>
      <c r="DE2" s="71" t="s">
        <v>105</v>
      </c>
      <c r="DF2" s="71" t="s">
        <v>104</v>
      </c>
      <c r="DG2" s="71" t="s">
        <v>746</v>
      </c>
      <c r="DH2" s="71" t="s">
        <v>823</v>
      </c>
      <c r="DI2" s="71" t="s">
        <v>290</v>
      </c>
      <c r="DJ2" s="71" t="s">
        <v>564</v>
      </c>
      <c r="DK2" s="71" t="s">
        <v>965</v>
      </c>
      <c r="DL2" s="71" t="s">
        <v>574</v>
      </c>
      <c r="DM2" s="71" t="s">
        <v>613</v>
      </c>
      <c r="DN2" s="71" t="s">
        <v>661</v>
      </c>
      <c r="DO2" s="71" t="s">
        <v>662</v>
      </c>
      <c r="DP2" s="71" t="s">
        <v>304</v>
      </c>
      <c r="DQ2" s="71" t="s">
        <v>1126</v>
      </c>
      <c r="DR2" s="71" t="s">
        <v>1125</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602</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67">
        <v>120</v>
      </c>
      <c r="CJ3" s="67">
        <v>136</v>
      </c>
      <c r="CK3" s="67">
        <v>136</v>
      </c>
      <c r="CL3" s="67">
        <v>114</v>
      </c>
      <c r="CM3" s="109">
        <v>60</v>
      </c>
      <c r="CN3" s="67">
        <v>61</v>
      </c>
      <c r="CO3" s="67">
        <v>50</v>
      </c>
      <c r="CP3" s="67">
        <v>55</v>
      </c>
      <c r="CQ3" s="67">
        <v>41</v>
      </c>
      <c r="CR3" s="67">
        <v>32</v>
      </c>
      <c r="CS3" s="67">
        <f t="shared" ref="CS3:CX3" si="2">+CR3</f>
        <v>32</v>
      </c>
      <c r="CT3" s="67">
        <f t="shared" si="2"/>
        <v>32</v>
      </c>
      <c r="CU3" s="67">
        <f t="shared" si="2"/>
        <v>32</v>
      </c>
      <c r="CV3" s="67">
        <f t="shared" si="2"/>
        <v>32</v>
      </c>
      <c r="CW3" s="67">
        <f t="shared" si="2"/>
        <v>32</v>
      </c>
      <c r="CX3" s="67">
        <f t="shared" si="2"/>
        <v>32</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c r="B4" s="26" t="s">
        <v>601</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67">
        <v>358</v>
      </c>
      <c r="CJ4" s="67">
        <v>357</v>
      </c>
      <c r="CK4" s="67">
        <v>358</v>
      </c>
      <c r="CL4" s="67">
        <v>348</v>
      </c>
      <c r="CM4" s="109">
        <v>355</v>
      </c>
      <c r="CN4" s="67">
        <v>365</v>
      </c>
      <c r="CO4" s="67">
        <v>323</v>
      </c>
      <c r="CP4" s="67">
        <v>319</v>
      </c>
      <c r="CQ4" s="67">
        <v>349</v>
      </c>
      <c r="CR4" s="67">
        <v>348</v>
      </c>
      <c r="CS4" s="67">
        <f t="shared" ref="CS4:CX4" si="5">+CR4</f>
        <v>348</v>
      </c>
      <c r="CT4" s="67">
        <f t="shared" si="5"/>
        <v>348</v>
      </c>
      <c r="CU4" s="67">
        <f t="shared" si="5"/>
        <v>348</v>
      </c>
      <c r="CV4" s="67">
        <f t="shared" si="5"/>
        <v>348</v>
      </c>
      <c r="CW4" s="67">
        <f t="shared" si="5"/>
        <v>348</v>
      </c>
      <c r="CX4" s="67">
        <f t="shared" si="5"/>
        <v>348</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DL4*(1+DM62)</f>
        <v>2240.2899999999995</v>
      </c>
      <c r="DN4" s="67">
        <f>DM4*(1+DN62)</f>
        <v>2016.2609999999995</v>
      </c>
      <c r="DO4" s="67">
        <f>DN4*(1+DO62)</f>
        <v>1814.6348999999996</v>
      </c>
      <c r="DP4" s="67">
        <f>DO4*(1+DP62)</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c r="B5" s="97" t="s">
        <v>419</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116"/>
      <c r="CN5" s="73"/>
      <c r="CO5" s="73"/>
      <c r="CP5" s="73"/>
      <c r="CQ5" s="73"/>
      <c r="CR5" s="73"/>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73"/>
      <c r="DY5" s="73"/>
      <c r="DZ5" s="73"/>
      <c r="EA5" s="73"/>
      <c r="EB5" s="73"/>
      <c r="EC5" s="73"/>
      <c r="ED5" s="73"/>
      <c r="EE5" s="73"/>
    </row>
    <row r="6" spans="1:140" s="26" customFormat="1">
      <c r="B6" s="26" t="s">
        <v>603</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67">
        <v>38</v>
      </c>
      <c r="CJ6" s="67">
        <v>37</v>
      </c>
      <c r="CK6" s="67">
        <v>35</v>
      </c>
      <c r="CL6" s="67">
        <v>34</v>
      </c>
      <c r="CM6" s="109"/>
      <c r="CN6" s="67"/>
      <c r="CO6" s="67"/>
      <c r="CP6" s="67"/>
      <c r="CQ6" s="67"/>
      <c r="CR6" s="6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f t="shared" ref="DX6:DX8" si="24">SUM(CM6:CP6)</f>
        <v>0</v>
      </c>
      <c r="DY6" s="67">
        <f t="shared" ref="DY6:EJ6" si="25">+DX6*0.9</f>
        <v>0</v>
      </c>
      <c r="DZ6" s="67">
        <f t="shared" si="25"/>
        <v>0</v>
      </c>
      <c r="EA6" s="67">
        <f t="shared" si="25"/>
        <v>0</v>
      </c>
      <c r="EB6" s="67">
        <f t="shared" si="25"/>
        <v>0</v>
      </c>
      <c r="EC6" s="67">
        <f t="shared" si="25"/>
        <v>0</v>
      </c>
      <c r="ED6" s="67">
        <f t="shared" si="25"/>
        <v>0</v>
      </c>
      <c r="EE6" s="67">
        <f t="shared" si="25"/>
        <v>0</v>
      </c>
      <c r="EF6" s="67">
        <f t="shared" si="25"/>
        <v>0</v>
      </c>
      <c r="EG6" s="67">
        <f t="shared" si="25"/>
        <v>0</v>
      </c>
      <c r="EH6" s="67">
        <f t="shared" si="25"/>
        <v>0</v>
      </c>
      <c r="EI6" s="67">
        <f t="shared" si="25"/>
        <v>0</v>
      </c>
      <c r="EJ6" s="67">
        <f t="shared" si="25"/>
        <v>0</v>
      </c>
    </row>
    <row r="7" spans="1:140"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67">
        <v>348</v>
      </c>
      <c r="CJ7" s="67">
        <v>310</v>
      </c>
      <c r="CK7" s="67">
        <v>247</v>
      </c>
      <c r="CL7" s="67">
        <v>221</v>
      </c>
      <c r="CM7" s="109">
        <v>249</v>
      </c>
      <c r="CN7" s="67">
        <v>236</v>
      </c>
      <c r="CO7" s="67">
        <v>124</v>
      </c>
      <c r="CP7" s="67">
        <v>239</v>
      </c>
      <c r="CQ7" s="67">
        <v>118</v>
      </c>
      <c r="CR7" s="67">
        <v>105</v>
      </c>
      <c r="CS7" s="67">
        <f t="shared" ref="CS7:CX7" si="26">+CR7</f>
        <v>105</v>
      </c>
      <c r="CT7" s="67">
        <f t="shared" si="26"/>
        <v>105</v>
      </c>
      <c r="CU7" s="67">
        <f t="shared" si="26"/>
        <v>105</v>
      </c>
      <c r="CV7" s="67">
        <f t="shared" si="26"/>
        <v>105</v>
      </c>
      <c r="CW7" s="67">
        <f t="shared" si="26"/>
        <v>105</v>
      </c>
      <c r="CX7" s="67">
        <f t="shared" si="26"/>
        <v>105</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1"/>
        <v>3221</v>
      </c>
      <c r="DU7" s="67">
        <f t="shared" si="22"/>
        <v>2293</v>
      </c>
      <c r="DV7" s="67">
        <f>SUM(CE7:CH7)</f>
        <v>1734</v>
      </c>
      <c r="DW7" s="67">
        <f t="shared" si="23"/>
        <v>1126</v>
      </c>
      <c r="DX7" s="67">
        <f t="shared" si="24"/>
        <v>848</v>
      </c>
      <c r="DY7" s="67">
        <f t="shared" ref="DY7:EJ7" si="28">+DX7*0.9</f>
        <v>763.2</v>
      </c>
      <c r="DZ7" s="67">
        <f t="shared" si="28"/>
        <v>686.88000000000011</v>
      </c>
      <c r="EA7" s="67">
        <f t="shared" si="28"/>
        <v>618.19200000000012</v>
      </c>
      <c r="EB7" s="67">
        <f t="shared" si="28"/>
        <v>556.3728000000001</v>
      </c>
      <c r="EC7" s="67">
        <f t="shared" si="28"/>
        <v>500.73552000000012</v>
      </c>
      <c r="ED7" s="67">
        <f t="shared" si="28"/>
        <v>450.66196800000012</v>
      </c>
      <c r="EE7" s="67">
        <f t="shared" si="28"/>
        <v>405.59577120000012</v>
      </c>
      <c r="EF7" s="67">
        <f t="shared" si="28"/>
        <v>365.03619408000009</v>
      </c>
      <c r="EG7" s="67">
        <f t="shared" si="28"/>
        <v>328.53257467200007</v>
      </c>
      <c r="EH7" s="67">
        <f t="shared" si="28"/>
        <v>295.67931720480004</v>
      </c>
      <c r="EI7" s="67">
        <f t="shared" si="28"/>
        <v>266.11138548432007</v>
      </c>
      <c r="EJ7" s="67">
        <f t="shared" si="28"/>
        <v>239.50024693588807</v>
      </c>
    </row>
    <row r="8" spans="1:140"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67">
        <v>862</v>
      </c>
      <c r="CJ8" s="67">
        <v>1051</v>
      </c>
      <c r="CK8" s="67">
        <v>1106</v>
      </c>
      <c r="CL8" s="67">
        <v>1098</v>
      </c>
      <c r="CM8" s="109">
        <v>579</v>
      </c>
      <c r="CN8" s="67">
        <v>1068</v>
      </c>
      <c r="CO8" s="67">
        <v>1035</v>
      </c>
      <c r="CP8" s="67">
        <v>1015</v>
      </c>
      <c r="CQ8" s="67">
        <v>567</v>
      </c>
      <c r="CR8" s="67">
        <v>909</v>
      </c>
      <c r="CS8" s="67">
        <f t="shared" ref="CS8:CX8" si="29">+CR8</f>
        <v>909</v>
      </c>
      <c r="CT8" s="67">
        <f t="shared" si="29"/>
        <v>909</v>
      </c>
      <c r="CU8" s="67">
        <f t="shared" si="29"/>
        <v>909</v>
      </c>
      <c r="CV8" s="67">
        <f t="shared" si="29"/>
        <v>909</v>
      </c>
      <c r="CW8" s="67">
        <f t="shared" si="29"/>
        <v>909</v>
      </c>
      <c r="CX8" s="67">
        <f t="shared" si="29"/>
        <v>909</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30">DN8*0.9</f>
        <v>4476.0599999999995</v>
      </c>
      <c r="DP8" s="67">
        <f t="shared" si="30"/>
        <v>4028.4539999999997</v>
      </c>
      <c r="DQ8" s="67">
        <f t="shared" si="30"/>
        <v>3625.6086</v>
      </c>
      <c r="DR8" s="67"/>
      <c r="DS8" s="67"/>
      <c r="DT8" s="67">
        <f t="shared" si="21"/>
        <v>5226</v>
      </c>
      <c r="DU8" s="67">
        <f t="shared" si="22"/>
        <v>4996</v>
      </c>
      <c r="DV8" s="67">
        <f>SUM(CE8:CH8)</f>
        <v>4465</v>
      </c>
      <c r="DW8" s="67">
        <f t="shared" si="23"/>
        <v>4117</v>
      </c>
      <c r="DX8" s="67">
        <f t="shared" si="24"/>
        <v>3697</v>
      </c>
      <c r="DY8" s="67">
        <f t="shared" ref="DY8:EJ8" si="31">+DX8*0.9</f>
        <v>3327.3</v>
      </c>
      <c r="DZ8" s="67">
        <f t="shared" si="31"/>
        <v>2994.57</v>
      </c>
      <c r="EA8" s="67">
        <f t="shared" si="31"/>
        <v>2695.1130000000003</v>
      </c>
      <c r="EB8" s="67">
        <f t="shared" si="31"/>
        <v>2425.6017000000002</v>
      </c>
      <c r="EC8" s="67">
        <f t="shared" si="31"/>
        <v>2183.0415300000004</v>
      </c>
      <c r="ED8" s="67">
        <f t="shared" si="31"/>
        <v>1964.7373770000004</v>
      </c>
      <c r="EE8" s="67">
        <f t="shared" si="31"/>
        <v>1768.2636393000005</v>
      </c>
      <c r="EF8" s="67">
        <f t="shared" si="31"/>
        <v>1591.4372753700004</v>
      </c>
      <c r="EG8" s="67">
        <f t="shared" si="31"/>
        <v>1432.2935478330005</v>
      </c>
      <c r="EH8" s="67">
        <f t="shared" si="31"/>
        <v>1289.0641930497004</v>
      </c>
      <c r="EI8" s="67">
        <f t="shared" si="31"/>
        <v>1160.1577737447303</v>
      </c>
      <c r="EJ8" s="67">
        <f t="shared" si="31"/>
        <v>1044.1419963702574</v>
      </c>
    </row>
    <row r="9" spans="1:140" s="26" customFormat="1">
      <c r="B9" s="97" t="s">
        <v>1236</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1" t="s">
        <v>1288</v>
      </c>
      <c r="BY9" s="67"/>
      <c r="BZ9" s="67"/>
      <c r="CA9" s="67"/>
      <c r="CB9" s="111" t="s">
        <v>1285</v>
      </c>
      <c r="CC9" s="111" t="s">
        <v>1264</v>
      </c>
      <c r="CD9" s="111" t="s">
        <v>1266</v>
      </c>
      <c r="CE9" s="111" t="s">
        <v>1267</v>
      </c>
      <c r="CF9" s="111" t="s">
        <v>1255</v>
      </c>
      <c r="CG9" s="111" t="s">
        <v>1238</v>
      </c>
      <c r="CH9" s="111" t="s">
        <v>1268</v>
      </c>
      <c r="CI9" s="111" t="s">
        <v>1269</v>
      </c>
      <c r="CJ9" s="111" t="s">
        <v>1254</v>
      </c>
      <c r="CK9" s="111" t="s">
        <v>1237</v>
      </c>
      <c r="CL9" s="111">
        <v>0</v>
      </c>
      <c r="CM9" s="109">
        <v>0</v>
      </c>
      <c r="CN9" s="67">
        <v>0</v>
      </c>
      <c r="CO9" s="67"/>
      <c r="CP9" s="67">
        <v>448</v>
      </c>
      <c r="CQ9" s="67">
        <v>424</v>
      </c>
      <c r="CR9" s="67">
        <v>479</v>
      </c>
      <c r="CS9" s="67">
        <f t="shared" ref="CS9:CX9" si="32">+CR9</f>
        <v>479</v>
      </c>
      <c r="CT9" s="67">
        <f t="shared" si="32"/>
        <v>479</v>
      </c>
      <c r="CU9" s="67">
        <f t="shared" si="32"/>
        <v>479</v>
      </c>
      <c r="CV9" s="67">
        <f t="shared" si="32"/>
        <v>479</v>
      </c>
      <c r="CW9" s="67">
        <f t="shared" si="32"/>
        <v>479</v>
      </c>
      <c r="CX9" s="67">
        <f t="shared" si="32"/>
        <v>479</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v>2200</v>
      </c>
      <c r="DY9" s="67">
        <f t="shared" ref="DY9:ED9" si="33">+DX9*1.05</f>
        <v>2310</v>
      </c>
      <c r="DZ9" s="67">
        <f t="shared" si="33"/>
        <v>2425.5</v>
      </c>
      <c r="EA9" s="67">
        <f t="shared" si="33"/>
        <v>2546.7750000000001</v>
      </c>
      <c r="EB9" s="67">
        <f t="shared" si="33"/>
        <v>2674.11375</v>
      </c>
      <c r="EC9" s="67">
        <f t="shared" si="33"/>
        <v>2807.8194375000003</v>
      </c>
      <c r="ED9" s="67">
        <f t="shared" si="33"/>
        <v>2948.2104093750004</v>
      </c>
      <c r="EE9" s="67">
        <f>+ED9*0.99</f>
        <v>2918.7283052812504</v>
      </c>
      <c r="EF9" s="67">
        <f t="shared" ref="EF9:EJ9" si="34">+EE9*0.99</f>
        <v>2889.5410222284377</v>
      </c>
      <c r="EG9" s="67">
        <f t="shared" si="34"/>
        <v>2860.6456120061534</v>
      </c>
      <c r="EH9" s="67">
        <f t="shared" si="34"/>
        <v>2832.039155886092</v>
      </c>
      <c r="EI9" s="67">
        <f t="shared" si="34"/>
        <v>2803.7187643272309</v>
      </c>
      <c r="EJ9" s="67">
        <f t="shared" si="34"/>
        <v>2775.6815766839586</v>
      </c>
    </row>
    <row r="10" spans="1:140" s="26" customFormat="1">
      <c r="B10" s="97" t="s">
        <v>1239</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1" t="s">
        <v>1286</v>
      </c>
      <c r="BY10" s="67"/>
      <c r="BZ10" s="67"/>
      <c r="CA10" s="67"/>
      <c r="CB10" s="111" t="s">
        <v>1277</v>
      </c>
      <c r="CC10" s="111" t="s">
        <v>1265</v>
      </c>
      <c r="CD10" s="111" t="s">
        <v>1270</v>
      </c>
      <c r="CE10" s="111" t="s">
        <v>1271</v>
      </c>
      <c r="CF10" s="111" t="s">
        <v>1256</v>
      </c>
      <c r="CG10" s="111" t="s">
        <v>1241</v>
      </c>
      <c r="CH10" s="111" t="s">
        <v>1272</v>
      </c>
      <c r="CI10" s="111" t="s">
        <v>1273</v>
      </c>
      <c r="CJ10" s="111" t="s">
        <v>1257</v>
      </c>
      <c r="CK10" s="111" t="s">
        <v>1240</v>
      </c>
      <c r="CL10" s="111">
        <v>0</v>
      </c>
      <c r="CM10" s="109">
        <v>0</v>
      </c>
      <c r="CN10" s="67">
        <v>0</v>
      </c>
      <c r="CO10" s="67"/>
      <c r="CP10" s="67">
        <v>272</v>
      </c>
      <c r="CQ10" s="67">
        <v>235</v>
      </c>
      <c r="CR10" s="67">
        <v>294</v>
      </c>
      <c r="CS10" s="67">
        <f t="shared" ref="CS10:CX10" si="35">+CR10</f>
        <v>294</v>
      </c>
      <c r="CT10" s="67">
        <f t="shared" si="35"/>
        <v>294</v>
      </c>
      <c r="CU10" s="67">
        <f t="shared" si="35"/>
        <v>294</v>
      </c>
      <c r="CV10" s="67">
        <f t="shared" si="35"/>
        <v>294</v>
      </c>
      <c r="CW10" s="67">
        <f t="shared" si="35"/>
        <v>294</v>
      </c>
      <c r="CX10" s="67">
        <f t="shared" si="35"/>
        <v>294</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v>900</v>
      </c>
      <c r="DY10" s="67">
        <f>+DX10*1.01</f>
        <v>909</v>
      </c>
      <c r="DZ10" s="67">
        <f t="shared" ref="DZ10:EJ10" si="36">+DY10*1.01</f>
        <v>918.09</v>
      </c>
      <c r="EA10" s="67">
        <f t="shared" si="36"/>
        <v>927.2709000000001</v>
      </c>
      <c r="EB10" s="67">
        <f t="shared" si="36"/>
        <v>936.54360900000006</v>
      </c>
      <c r="EC10" s="67">
        <f t="shared" si="36"/>
        <v>945.90904509000006</v>
      </c>
      <c r="ED10" s="67">
        <f t="shared" si="36"/>
        <v>955.36813554090008</v>
      </c>
      <c r="EE10" s="67">
        <f t="shared" si="36"/>
        <v>964.92181689630911</v>
      </c>
      <c r="EF10" s="67">
        <f t="shared" si="36"/>
        <v>974.57103506527221</v>
      </c>
      <c r="EG10" s="67">
        <f t="shared" si="36"/>
        <v>984.31674541592497</v>
      </c>
      <c r="EH10" s="67">
        <f t="shared" si="36"/>
        <v>994.15991287008421</v>
      </c>
      <c r="EI10" s="67">
        <f t="shared" si="36"/>
        <v>1004.1015119987851</v>
      </c>
      <c r="EJ10" s="67">
        <f t="shared" si="36"/>
        <v>1014.1425271187729</v>
      </c>
    </row>
    <row r="11" spans="1:140" s="26" customFormat="1">
      <c r="B11" s="97" t="s">
        <v>1242</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1" t="s">
        <v>1259</v>
      </c>
      <c r="BY11" s="67"/>
      <c r="BZ11" s="67"/>
      <c r="CA11" s="67"/>
      <c r="CB11" s="111" t="s">
        <v>1287</v>
      </c>
      <c r="CC11" s="111" t="s">
        <v>1274</v>
      </c>
      <c r="CD11" s="111" t="s">
        <v>1275</v>
      </c>
      <c r="CE11" s="111" t="s">
        <v>1276</v>
      </c>
      <c r="CF11" s="111" t="s">
        <v>1258</v>
      </c>
      <c r="CG11" s="111" t="s">
        <v>1244</v>
      </c>
      <c r="CH11" s="111" t="s">
        <v>1277</v>
      </c>
      <c r="CI11" s="111" t="s">
        <v>1278</v>
      </c>
      <c r="CJ11" s="111" t="s">
        <v>1244</v>
      </c>
      <c r="CK11" s="111" t="s">
        <v>1243</v>
      </c>
      <c r="CL11" s="111"/>
      <c r="CM11" s="109"/>
      <c r="CN11" s="67"/>
      <c r="CO11" s="67"/>
      <c r="CP11" s="67"/>
      <c r="CQ11" s="67"/>
      <c r="CR11" s="6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7">+DZ11*0.8</f>
        <v>512</v>
      </c>
      <c r="EB11" s="67">
        <f t="shared" si="37"/>
        <v>409.6</v>
      </c>
      <c r="EC11" s="67">
        <f t="shared" si="37"/>
        <v>327.68000000000006</v>
      </c>
      <c r="ED11" s="67">
        <f t="shared" si="37"/>
        <v>262.14400000000006</v>
      </c>
      <c r="EE11" s="67">
        <f t="shared" si="37"/>
        <v>209.71520000000007</v>
      </c>
      <c r="EF11" s="67">
        <f t="shared" si="37"/>
        <v>167.77216000000007</v>
      </c>
      <c r="EG11" s="67">
        <f t="shared" si="37"/>
        <v>134.21772800000005</v>
      </c>
      <c r="EH11" s="67">
        <f t="shared" si="37"/>
        <v>107.37418240000005</v>
      </c>
      <c r="EI11" s="67">
        <f t="shared" si="37"/>
        <v>85.899345920000044</v>
      </c>
      <c r="EJ11" s="67">
        <f t="shared" si="37"/>
        <v>68.719476736000033</v>
      </c>
    </row>
    <row r="12" spans="1:140" s="26" customFormat="1">
      <c r="B12" s="97" t="s">
        <v>1245</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1" t="s">
        <v>1289</v>
      </c>
      <c r="BY12" s="67"/>
      <c r="BZ12" s="67"/>
      <c r="CA12" s="67"/>
      <c r="CB12" s="111" t="s">
        <v>1289</v>
      </c>
      <c r="CC12" s="111" t="s">
        <v>1279</v>
      </c>
      <c r="CD12" s="111" t="s">
        <v>1280</v>
      </c>
      <c r="CE12" s="111" t="s">
        <v>1279</v>
      </c>
      <c r="CF12" s="111" t="s">
        <v>1259</v>
      </c>
      <c r="CG12" s="111" t="s">
        <v>1247</v>
      </c>
      <c r="CH12" s="111" t="s">
        <v>1280</v>
      </c>
      <c r="CI12" s="111" t="s">
        <v>1259</v>
      </c>
      <c r="CJ12" s="111" t="s">
        <v>1260</v>
      </c>
      <c r="CK12" s="111" t="s">
        <v>1246</v>
      </c>
      <c r="CL12" s="111"/>
      <c r="CM12" s="109"/>
      <c r="CN12" s="67"/>
      <c r="CO12" s="67"/>
      <c r="CP12" s="67"/>
      <c r="CQ12" s="67"/>
      <c r="CR12" s="6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1248</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1" t="s">
        <v>1267</v>
      </c>
      <c r="CF13" s="111" t="s">
        <v>1262</v>
      </c>
      <c r="CG13" s="111" t="s">
        <v>1250</v>
      </c>
      <c r="CH13" s="111" t="s">
        <v>1281</v>
      </c>
      <c r="CI13" s="111" t="s">
        <v>1282</v>
      </c>
      <c r="CJ13" s="111" t="s">
        <v>1261</v>
      </c>
      <c r="CK13" s="111" t="s">
        <v>1249</v>
      </c>
      <c r="CL13" s="111">
        <v>0</v>
      </c>
      <c r="CM13" s="109">
        <v>0</v>
      </c>
      <c r="CN13" s="67">
        <v>0</v>
      </c>
      <c r="CO13" s="67"/>
      <c r="CP13" s="67">
        <v>65</v>
      </c>
      <c r="CQ13" s="67">
        <v>80</v>
      </c>
      <c r="CR13" s="67">
        <v>92</v>
      </c>
      <c r="CS13" s="67">
        <f t="shared" ref="CS13:CX13" si="38">+CR13+5</f>
        <v>97</v>
      </c>
      <c r="CT13" s="67">
        <f t="shared" si="38"/>
        <v>102</v>
      </c>
      <c r="CU13" s="67">
        <f t="shared" si="38"/>
        <v>107</v>
      </c>
      <c r="CV13" s="67">
        <f t="shared" si="38"/>
        <v>112</v>
      </c>
      <c r="CW13" s="67">
        <f t="shared" si="38"/>
        <v>117</v>
      </c>
      <c r="CX13" s="67">
        <f t="shared" si="38"/>
        <v>122</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row>
    <row r="14" spans="1:140" s="26" customFormat="1">
      <c r="B14" s="97" t="s">
        <v>1251</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1" t="s">
        <v>1284</v>
      </c>
      <c r="BY14" s="67"/>
      <c r="BZ14" s="67"/>
      <c r="CA14" s="67"/>
      <c r="CB14" s="111" t="s">
        <v>1263</v>
      </c>
      <c r="CC14" s="111" t="s">
        <v>1263</v>
      </c>
      <c r="CD14" s="111" t="s">
        <v>1283</v>
      </c>
      <c r="CE14" s="111" t="s">
        <v>1284</v>
      </c>
      <c r="CF14" s="111" t="s">
        <v>1263</v>
      </c>
      <c r="CG14" s="111" t="s">
        <v>1253</v>
      </c>
      <c r="CH14" s="111" t="s">
        <v>1282</v>
      </c>
      <c r="CI14" s="111" t="s">
        <v>1282</v>
      </c>
      <c r="CJ14" s="111" t="s">
        <v>1253</v>
      </c>
      <c r="CK14" s="111" t="s">
        <v>1252</v>
      </c>
      <c r="CL14" s="111"/>
      <c r="CM14" s="109"/>
      <c r="CN14" s="67"/>
      <c r="CO14" s="67"/>
      <c r="CP14" s="67"/>
      <c r="CQ14" s="67"/>
      <c r="CR14" s="6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109"/>
      <c r="CN15" s="67"/>
      <c r="CO15" s="67"/>
      <c r="CP15" s="67"/>
      <c r="CQ15" s="67"/>
      <c r="CR15" s="6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9">+AR16</f>
        <v>199</v>
      </c>
      <c r="AT16" s="67">
        <f t="shared" si="39"/>
        <v>199</v>
      </c>
      <c r="AU16" s="67">
        <f t="shared" si="39"/>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67">
        <v>20</v>
      </c>
      <c r="CJ16" s="67">
        <v>20</v>
      </c>
      <c r="CK16" s="67">
        <v>17</v>
      </c>
      <c r="CL16" s="67">
        <v>7</v>
      </c>
      <c r="CM16" s="109"/>
      <c r="CN16" s="67"/>
      <c r="CO16" s="67"/>
      <c r="CP16" s="67"/>
      <c r="CQ16" s="67"/>
      <c r="CR16" s="6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DL16*(1+DM70)</f>
        <v>799.68000000000006</v>
      </c>
      <c r="DN16" s="67">
        <f t="shared" ref="DN16:DQ16" si="40">DM16</f>
        <v>799.68000000000006</v>
      </c>
      <c r="DO16" s="67">
        <f t="shared" si="40"/>
        <v>799.68000000000006</v>
      </c>
      <c r="DP16" s="67">
        <f t="shared" si="40"/>
        <v>799.68000000000006</v>
      </c>
      <c r="DQ16" s="67">
        <f t="shared" si="40"/>
        <v>799.68000000000006</v>
      </c>
      <c r="DR16" s="67"/>
      <c r="DS16" s="67"/>
      <c r="DT16" s="67">
        <f t="shared" ref="DT16:DT35" si="41">SUM(BW16:BZ16)</f>
        <v>551</v>
      </c>
      <c r="DU16" s="67">
        <f t="shared" ref="DU16:DU35" si="42">SUM(CA16:CD16)</f>
        <v>288</v>
      </c>
      <c r="DV16" s="67">
        <f t="shared" ref="DV16:DV35" si="43">SUM(CE16:CH16)</f>
        <v>84</v>
      </c>
      <c r="DW16" s="67">
        <f t="shared" ref="DW16:DW36" si="44">SUM(CI16:CL16)</f>
        <v>64</v>
      </c>
      <c r="DX16" s="67">
        <f t="shared" ref="DX16:DX35" si="45">SUM(CM16:CP16)</f>
        <v>0</v>
      </c>
      <c r="DY16" s="67">
        <f>+DX16*0.9</f>
        <v>0</v>
      </c>
      <c r="DZ16" s="67">
        <f t="shared" ref="DZ16:EJ16" si="46">+DY16*0.9</f>
        <v>0</v>
      </c>
      <c r="EA16" s="67">
        <f t="shared" si="46"/>
        <v>0</v>
      </c>
      <c r="EB16" s="67">
        <f t="shared" si="46"/>
        <v>0</v>
      </c>
      <c r="EC16" s="67">
        <f t="shared" si="46"/>
        <v>0</v>
      </c>
      <c r="ED16" s="67">
        <f t="shared" si="46"/>
        <v>0</v>
      </c>
      <c r="EE16" s="67">
        <f t="shared" si="46"/>
        <v>0</v>
      </c>
      <c r="EF16" s="67">
        <f t="shared" si="46"/>
        <v>0</v>
      </c>
      <c r="EG16" s="67">
        <f t="shared" si="46"/>
        <v>0</v>
      </c>
      <c r="EH16" s="67">
        <f t="shared" si="46"/>
        <v>0</v>
      </c>
      <c r="EI16" s="67">
        <f t="shared" si="46"/>
        <v>0</v>
      </c>
      <c r="EJ16" s="67">
        <f t="shared" si="46"/>
        <v>0</v>
      </c>
    </row>
    <row r="17" spans="2:141" s="26" customFormat="1">
      <c r="B17" s="26" t="s">
        <v>1207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67">
        <v>86</v>
      </c>
      <c r="CJ17" s="67">
        <v>103</v>
      </c>
      <c r="CK17" s="67">
        <v>100</v>
      </c>
      <c r="CL17" s="67">
        <v>93</v>
      </c>
      <c r="CM17" s="109">
        <v>91</v>
      </c>
      <c r="CN17" s="67">
        <v>87</v>
      </c>
      <c r="CO17" s="67">
        <v>95</v>
      </c>
      <c r="CP17" s="67">
        <v>89</v>
      </c>
      <c r="CQ17" s="67">
        <v>105</v>
      </c>
      <c r="CR17" s="67">
        <v>106</v>
      </c>
      <c r="CS17" s="67">
        <f t="shared" ref="CS17:CX17" si="47">+CR17+3</f>
        <v>109</v>
      </c>
      <c r="CT17" s="67">
        <f t="shared" si="47"/>
        <v>112</v>
      </c>
      <c r="CU17" s="67">
        <f t="shared" si="47"/>
        <v>115</v>
      </c>
      <c r="CV17" s="67">
        <f t="shared" si="47"/>
        <v>118</v>
      </c>
      <c r="CW17" s="67">
        <f t="shared" si="47"/>
        <v>121</v>
      </c>
      <c r="CX17" s="67">
        <f t="shared" si="47"/>
        <v>124</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41"/>
        <v>630</v>
      </c>
      <c r="DU17" s="67">
        <f t="shared" si="42"/>
        <v>716</v>
      </c>
      <c r="DV17" s="67">
        <f t="shared" si="43"/>
        <v>280</v>
      </c>
      <c r="DW17" s="67">
        <f t="shared" si="44"/>
        <v>382</v>
      </c>
      <c r="DX17" s="67">
        <f t="shared" si="45"/>
        <v>362</v>
      </c>
      <c r="DY17" s="67">
        <f t="shared" ref="DY17:EJ17" si="48">+DX17*0.9</f>
        <v>325.8</v>
      </c>
      <c r="DZ17" s="67">
        <f t="shared" si="48"/>
        <v>293.22000000000003</v>
      </c>
      <c r="EA17" s="67">
        <f t="shared" si="48"/>
        <v>263.89800000000002</v>
      </c>
      <c r="EB17" s="67">
        <f t="shared" si="48"/>
        <v>237.50820000000002</v>
      </c>
      <c r="EC17" s="67">
        <f t="shared" si="48"/>
        <v>213.75738000000001</v>
      </c>
      <c r="ED17" s="67">
        <f t="shared" si="48"/>
        <v>192.38164200000003</v>
      </c>
      <c r="EE17" s="67">
        <f t="shared" si="48"/>
        <v>173.14347780000003</v>
      </c>
      <c r="EF17" s="67">
        <f t="shared" si="48"/>
        <v>155.82913002000004</v>
      </c>
      <c r="EG17" s="67">
        <f t="shared" si="48"/>
        <v>140.24621701800004</v>
      </c>
      <c r="EH17" s="67">
        <f t="shared" si="48"/>
        <v>126.22159531620004</v>
      </c>
      <c r="EI17" s="67">
        <f t="shared" si="48"/>
        <v>113.59943578458004</v>
      </c>
      <c r="EJ17" s="67">
        <f t="shared" si="48"/>
        <v>102.23949220612204</v>
      </c>
    </row>
    <row r="18" spans="2:141" s="26" customFormat="1">
      <c r="B18" s="26" t="s">
        <v>889</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9"/>
        <v>81</v>
      </c>
      <c r="AT18" s="67">
        <f t="shared" si="39"/>
        <v>81</v>
      </c>
      <c r="AU18" s="67">
        <f t="shared" si="39"/>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67">
        <v>201</v>
      </c>
      <c r="CJ18" s="67">
        <v>207</v>
      </c>
      <c r="CK18" s="67">
        <v>247</v>
      </c>
      <c r="CL18" s="67">
        <v>238</v>
      </c>
      <c r="CM18" s="109">
        <v>233</v>
      </c>
      <c r="CN18" s="67">
        <v>248</v>
      </c>
      <c r="CO18" s="67">
        <v>252</v>
      </c>
      <c r="CP18" s="67">
        <v>251</v>
      </c>
      <c r="CQ18" s="67">
        <v>247</v>
      </c>
      <c r="CR18" s="67">
        <v>270</v>
      </c>
      <c r="CS18" s="67">
        <f t="shared" ref="CS18:CX18" si="49">+CO18+5</f>
        <v>257</v>
      </c>
      <c r="CT18" s="67">
        <f t="shared" si="49"/>
        <v>256</v>
      </c>
      <c r="CU18" s="67">
        <f t="shared" si="49"/>
        <v>252</v>
      </c>
      <c r="CV18" s="67">
        <f t="shared" si="49"/>
        <v>275</v>
      </c>
      <c r="CW18" s="67">
        <f t="shared" si="49"/>
        <v>262</v>
      </c>
      <c r="CX18" s="67">
        <f t="shared" si="49"/>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DL18*(1+DM68)</f>
        <v>333.90000000000003</v>
      </c>
      <c r="DN18" s="67">
        <f>DM18*(1+DN68)</f>
        <v>333.90000000000003</v>
      </c>
      <c r="DO18" s="67">
        <f>DN18*(1+DO68)</f>
        <v>333.90000000000003</v>
      </c>
      <c r="DP18" s="67"/>
      <c r="DQ18" s="67"/>
      <c r="DR18" s="67"/>
      <c r="DS18" s="67"/>
      <c r="DT18" s="67">
        <f t="shared" si="41"/>
        <v>744</v>
      </c>
      <c r="DU18" s="67">
        <f t="shared" si="42"/>
        <v>811</v>
      </c>
      <c r="DV18" s="67">
        <f t="shared" si="43"/>
        <v>873</v>
      </c>
      <c r="DW18" s="67">
        <f t="shared" si="44"/>
        <v>893</v>
      </c>
      <c r="DX18" s="67">
        <f t="shared" si="45"/>
        <v>984</v>
      </c>
      <c r="DY18" s="67">
        <f>+DX18*1.01</f>
        <v>993.84</v>
      </c>
      <c r="DZ18" s="67">
        <f t="shared" ref="DZ18:EJ18" si="50">+DY18*1.01</f>
        <v>1003.7784</v>
      </c>
      <c r="EA18" s="67">
        <f t="shared" si="50"/>
        <v>1013.816184</v>
      </c>
      <c r="EB18" s="67">
        <f t="shared" si="50"/>
        <v>1023.95434584</v>
      </c>
      <c r="EC18" s="67">
        <f t="shared" si="50"/>
        <v>1034.1938892983999</v>
      </c>
      <c r="ED18" s="67">
        <f t="shared" si="50"/>
        <v>1044.5358281913839</v>
      </c>
      <c r="EE18" s="67">
        <f t="shared" si="50"/>
        <v>1054.9811864732976</v>
      </c>
      <c r="EF18" s="67">
        <f t="shared" si="50"/>
        <v>1065.5309983380305</v>
      </c>
      <c r="EG18" s="67">
        <f t="shared" si="50"/>
        <v>1076.1863083214107</v>
      </c>
      <c r="EH18" s="67">
        <f t="shared" si="50"/>
        <v>1086.9481714046249</v>
      </c>
      <c r="EI18" s="67">
        <f t="shared" si="50"/>
        <v>1097.8176531186712</v>
      </c>
      <c r="EJ18" s="67">
        <f t="shared" si="50"/>
        <v>1108.795829649858</v>
      </c>
    </row>
    <row r="19" spans="2:141" s="26" customFormat="1">
      <c r="B19" s="26" t="s">
        <v>1114</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51">+AR19+5</f>
        <v>49</v>
      </c>
      <c r="AT19" s="67">
        <f t="shared" si="51"/>
        <v>54</v>
      </c>
      <c r="AU19" s="67">
        <f t="shared" si="51"/>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67">
        <v>852</v>
      </c>
      <c r="CJ19" s="67">
        <v>922</v>
      </c>
      <c r="CK19" s="67">
        <v>862</v>
      </c>
      <c r="CL19" s="109">
        <v>992</v>
      </c>
      <c r="CM19" s="109">
        <v>927</v>
      </c>
      <c r="CN19" s="67">
        <v>1028</v>
      </c>
      <c r="CO19" s="67">
        <v>986</v>
      </c>
      <c r="CP19" s="67">
        <v>1107</v>
      </c>
      <c r="CQ19" s="67">
        <v>999</v>
      </c>
      <c r="CR19" s="67">
        <v>1165</v>
      </c>
      <c r="CS19" s="67">
        <f t="shared" ref="CS19:CX19" si="52">+CO19+10</f>
        <v>996</v>
      </c>
      <c r="CT19" s="67">
        <f t="shared" si="52"/>
        <v>1117</v>
      </c>
      <c r="CU19" s="67">
        <f t="shared" si="52"/>
        <v>1009</v>
      </c>
      <c r="CV19" s="67">
        <f t="shared" si="52"/>
        <v>1175</v>
      </c>
      <c r="CW19" s="67">
        <f t="shared" si="52"/>
        <v>1006</v>
      </c>
      <c r="CX19" s="67">
        <f t="shared" si="52"/>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1"/>
        <v>2672</v>
      </c>
      <c r="DU19" s="67">
        <f t="shared" si="42"/>
        <v>2763</v>
      </c>
      <c r="DV19" s="67">
        <f t="shared" si="43"/>
        <v>3248</v>
      </c>
      <c r="DW19" s="67">
        <f t="shared" si="44"/>
        <v>3628</v>
      </c>
      <c r="DX19" s="67">
        <f t="shared" si="45"/>
        <v>4048</v>
      </c>
      <c r="DY19" s="67">
        <f t="shared" ref="DY19:ED19" si="53">+DX19*1.1</f>
        <v>4452.8</v>
      </c>
      <c r="DZ19" s="67">
        <f t="shared" si="53"/>
        <v>4898.0800000000008</v>
      </c>
      <c r="EA19" s="67">
        <f t="shared" si="53"/>
        <v>5387.8880000000017</v>
      </c>
      <c r="EB19" s="67">
        <f t="shared" si="53"/>
        <v>5926.676800000002</v>
      </c>
      <c r="EC19" s="67">
        <f t="shared" si="53"/>
        <v>6519.3444800000025</v>
      </c>
      <c r="ED19" s="67">
        <f t="shared" si="53"/>
        <v>7171.2789280000034</v>
      </c>
      <c r="EE19" s="67">
        <f t="shared" ref="EE19:EJ19" si="54">+ED19*0.5</f>
        <v>3585.6394640000017</v>
      </c>
      <c r="EF19" s="67">
        <f t="shared" si="54"/>
        <v>1792.8197320000008</v>
      </c>
      <c r="EG19" s="67">
        <f t="shared" si="54"/>
        <v>896.40986600000042</v>
      </c>
      <c r="EH19" s="67">
        <f t="shared" si="54"/>
        <v>448.20493300000021</v>
      </c>
      <c r="EI19" s="67">
        <f t="shared" si="54"/>
        <v>224.10246650000011</v>
      </c>
      <c r="EJ19" s="67">
        <f t="shared" si="54"/>
        <v>112.05123325000005</v>
      </c>
    </row>
    <row r="20" spans="2:141" s="26" customFormat="1">
      <c r="B20" s="98" t="s">
        <v>1123</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51"/>
        <v>78</v>
      </c>
      <c r="AT20" s="67">
        <f t="shared" si="51"/>
        <v>83</v>
      </c>
      <c r="AU20" s="67">
        <f t="shared" si="51"/>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67">
        <v>502</v>
      </c>
      <c r="CJ20" s="67">
        <v>533</v>
      </c>
      <c r="CK20" s="67">
        <v>495</v>
      </c>
      <c r="CL20" s="109">
        <v>484</v>
      </c>
      <c r="CM20" s="109">
        <v>536</v>
      </c>
      <c r="CN20" s="67">
        <v>530</v>
      </c>
      <c r="CO20" s="67">
        <v>519</v>
      </c>
      <c r="CP20" s="67">
        <v>527</v>
      </c>
      <c r="CQ20" s="67">
        <v>561</v>
      </c>
      <c r="CR20" s="67">
        <v>562</v>
      </c>
      <c r="CS20" s="67">
        <f t="shared" ref="CS20:CX20" si="55">+CO20+5</f>
        <v>524</v>
      </c>
      <c r="CT20" s="67">
        <f t="shared" si="55"/>
        <v>532</v>
      </c>
      <c r="CU20" s="67">
        <f t="shared" si="55"/>
        <v>566</v>
      </c>
      <c r="CV20" s="67">
        <f t="shared" si="55"/>
        <v>567</v>
      </c>
      <c r="CW20" s="67">
        <f t="shared" si="55"/>
        <v>529</v>
      </c>
      <c r="CX20" s="67">
        <f t="shared" si="55"/>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1"/>
        <v>1935</v>
      </c>
      <c r="DU20" s="67">
        <f t="shared" si="42"/>
        <v>1899</v>
      </c>
      <c r="DV20" s="67">
        <f t="shared" si="43"/>
        <v>2018</v>
      </c>
      <c r="DW20" s="67">
        <f t="shared" si="44"/>
        <v>2014</v>
      </c>
      <c r="DX20" s="67">
        <f t="shared" si="45"/>
        <v>2112</v>
      </c>
      <c r="DY20" s="67">
        <f t="shared" ref="DY20:ED20" si="56">+DX20*0.99</f>
        <v>2090.88</v>
      </c>
      <c r="DZ20" s="67">
        <f t="shared" si="56"/>
        <v>2069.9712</v>
      </c>
      <c r="EA20" s="67">
        <f t="shared" si="56"/>
        <v>2049.2714879999999</v>
      </c>
      <c r="EB20" s="67">
        <f t="shared" si="56"/>
        <v>2028.7787731199999</v>
      </c>
      <c r="EC20" s="67">
        <f t="shared" si="56"/>
        <v>2008.4909853887998</v>
      </c>
      <c r="ED20" s="67">
        <f t="shared" si="56"/>
        <v>1988.4060755349117</v>
      </c>
      <c r="EE20" s="67">
        <f>+ED20*0.5</f>
        <v>994.20303776745584</v>
      </c>
      <c r="EF20" s="67">
        <f t="shared" ref="EF20:EJ20" si="57">+EE20*0.5</f>
        <v>497.10151888372792</v>
      </c>
      <c r="EG20" s="67">
        <f t="shared" si="57"/>
        <v>248.55075944186396</v>
      </c>
      <c r="EH20" s="67">
        <f t="shared" si="57"/>
        <v>124.27537972093198</v>
      </c>
      <c r="EI20" s="67">
        <f t="shared" si="57"/>
        <v>62.13768986046599</v>
      </c>
      <c r="EJ20" s="67">
        <f t="shared" si="57"/>
        <v>31.068844930232995</v>
      </c>
    </row>
    <row r="21" spans="2:141" s="26" customFormat="1">
      <c r="B21" s="98" t="s">
        <v>1201</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67">
        <v>451</v>
      </c>
      <c r="CJ21" s="67">
        <v>594</v>
      </c>
      <c r="CK21" s="67">
        <v>627</v>
      </c>
      <c r="CL21" s="109">
        <v>616</v>
      </c>
      <c r="CM21" s="109">
        <v>392</v>
      </c>
      <c r="CN21" s="67">
        <v>600</v>
      </c>
      <c r="CO21" s="67">
        <v>567</v>
      </c>
      <c r="CP21" s="67">
        <v>629</v>
      </c>
      <c r="CQ21" s="67">
        <v>394</v>
      </c>
      <c r="CR21" s="67">
        <v>544</v>
      </c>
      <c r="CS21" s="67">
        <f t="shared" ref="CS21:CX21" si="58">+CO21</f>
        <v>567</v>
      </c>
      <c r="CT21" s="67">
        <f t="shared" si="58"/>
        <v>629</v>
      </c>
      <c r="CU21" s="67">
        <f t="shared" si="58"/>
        <v>394</v>
      </c>
      <c r="CV21" s="67">
        <f t="shared" si="58"/>
        <v>544</v>
      </c>
      <c r="CW21" s="67">
        <f t="shared" si="58"/>
        <v>567</v>
      </c>
      <c r="CX21" s="67">
        <f t="shared" si="58"/>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41"/>
        <v>178</v>
      </c>
      <c r="DU21" s="67">
        <f t="shared" si="42"/>
        <v>2195</v>
      </c>
      <c r="DV21" s="67">
        <f t="shared" si="43"/>
        <v>2249</v>
      </c>
      <c r="DW21" s="67">
        <f t="shared" si="44"/>
        <v>2288</v>
      </c>
      <c r="DX21" s="67">
        <f t="shared" si="45"/>
        <v>2188</v>
      </c>
      <c r="DY21" s="67">
        <f>+DX21*1.05</f>
        <v>2297.4</v>
      </c>
      <c r="DZ21" s="67">
        <f t="shared" ref="DZ21:EB21" si="59">+DY21*1.05</f>
        <v>2412.27</v>
      </c>
      <c r="EA21" s="67">
        <f t="shared" si="59"/>
        <v>2532.8834999999999</v>
      </c>
      <c r="EB21" s="67">
        <f t="shared" si="59"/>
        <v>2659.5276749999998</v>
      </c>
      <c r="EC21" s="67">
        <f>+EB21*0.7</f>
        <v>1861.6693724999998</v>
      </c>
      <c r="ED21" s="67">
        <f t="shared" ref="ED21:EJ21" si="60">+EC21*0.2</f>
        <v>372.33387449999998</v>
      </c>
      <c r="EE21" s="67">
        <f t="shared" si="60"/>
        <v>74.466774900000004</v>
      </c>
      <c r="EF21" s="67">
        <f t="shared" si="60"/>
        <v>14.893354980000002</v>
      </c>
      <c r="EG21" s="67">
        <f t="shared" si="60"/>
        <v>2.9786709960000004</v>
      </c>
      <c r="EH21" s="67">
        <f t="shared" si="60"/>
        <v>0.59573419920000015</v>
      </c>
      <c r="EI21" s="67">
        <f t="shared" si="60"/>
        <v>0.11914683984000003</v>
      </c>
      <c r="EJ21" s="67">
        <f t="shared" si="60"/>
        <v>2.3829367968000007E-2</v>
      </c>
      <c r="EK21" s="67"/>
    </row>
    <row r="22" spans="2:141" s="26" customFormat="1">
      <c r="B22" s="98" t="s">
        <v>1197</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67">
        <v>170</v>
      </c>
      <c r="CJ22" s="67">
        <v>191</v>
      </c>
      <c r="CK22" s="67">
        <v>201</v>
      </c>
      <c r="CL22" s="109">
        <v>225</v>
      </c>
      <c r="CM22" s="109">
        <v>254</v>
      </c>
      <c r="CN22" s="67">
        <v>281</v>
      </c>
      <c r="CO22" s="67">
        <v>307</v>
      </c>
      <c r="CP22" s="67">
        <v>318</v>
      </c>
      <c r="CQ22" s="67">
        <v>342</v>
      </c>
      <c r="CR22" s="67">
        <v>391</v>
      </c>
      <c r="CS22" s="67">
        <f t="shared" ref="CS22:CX22" si="61">+CR22+20</f>
        <v>411</v>
      </c>
      <c r="CT22" s="67">
        <f t="shared" si="61"/>
        <v>431</v>
      </c>
      <c r="CU22" s="67">
        <f t="shared" si="61"/>
        <v>451</v>
      </c>
      <c r="CV22" s="67">
        <f t="shared" si="61"/>
        <v>471</v>
      </c>
      <c r="CW22" s="67">
        <f t="shared" si="61"/>
        <v>491</v>
      </c>
      <c r="CX22" s="67">
        <f t="shared" si="61"/>
        <v>511</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41"/>
        <v>189</v>
      </c>
      <c r="DU22" s="67">
        <f t="shared" si="42"/>
        <v>350</v>
      </c>
      <c r="DV22" s="67">
        <f t="shared" si="43"/>
        <v>530</v>
      </c>
      <c r="DW22" s="67">
        <f t="shared" si="44"/>
        <v>787</v>
      </c>
      <c r="DX22" s="67">
        <f t="shared" si="45"/>
        <v>1160</v>
      </c>
      <c r="DY22" s="67">
        <f>+DX22*1.2</f>
        <v>1392</v>
      </c>
      <c r="DZ22" s="67">
        <f>+DY22*1.1</f>
        <v>1531.2</v>
      </c>
      <c r="EA22" s="67">
        <f>+DZ22*1.1</f>
        <v>1684.3200000000002</v>
      </c>
      <c r="EB22" s="67">
        <f>+EA22*1.1</f>
        <v>1852.7520000000004</v>
      </c>
      <c r="EC22" s="67">
        <f t="shared" ref="EC22:EI22" si="62">+EB22*1.05</f>
        <v>1945.3896000000004</v>
      </c>
      <c r="ED22" s="67">
        <f t="shared" si="62"/>
        <v>2042.6590800000006</v>
      </c>
      <c r="EE22" s="67">
        <f t="shared" si="62"/>
        <v>2144.7920340000005</v>
      </c>
      <c r="EF22" s="67">
        <f t="shared" si="62"/>
        <v>2252.0316357000006</v>
      </c>
      <c r="EG22" s="67">
        <f t="shared" si="62"/>
        <v>2364.6332174850008</v>
      </c>
      <c r="EH22" s="67">
        <f t="shared" si="62"/>
        <v>2482.8648783592512</v>
      </c>
      <c r="EI22" s="67">
        <f t="shared" si="62"/>
        <v>2607.0081222772137</v>
      </c>
      <c r="EJ22" s="67">
        <f>+EI22*0.1</f>
        <v>260.70081222772137</v>
      </c>
    </row>
    <row r="23" spans="2:141" s="26" customFormat="1">
      <c r="B23" s="98" t="s">
        <v>1198</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67">
        <v>329</v>
      </c>
      <c r="CJ23" s="67">
        <v>325</v>
      </c>
      <c r="CK23" s="67">
        <v>309</v>
      </c>
      <c r="CL23" s="109">
        <v>333</v>
      </c>
      <c r="CM23" s="109">
        <v>388</v>
      </c>
      <c r="CN23" s="67">
        <v>424</v>
      </c>
      <c r="CO23" s="67">
        <v>406</v>
      </c>
      <c r="CP23" s="67">
        <v>417</v>
      </c>
      <c r="CQ23" s="67">
        <v>517</v>
      </c>
      <c r="CR23" s="67">
        <v>532</v>
      </c>
      <c r="CS23" s="67">
        <f t="shared" ref="CS23:CX23" si="63">+CR23+25</f>
        <v>557</v>
      </c>
      <c r="CT23" s="67">
        <f t="shared" si="63"/>
        <v>582</v>
      </c>
      <c r="CU23" s="67">
        <f t="shared" si="63"/>
        <v>607</v>
      </c>
      <c r="CV23" s="67">
        <f t="shared" si="63"/>
        <v>632</v>
      </c>
      <c r="CW23" s="67">
        <f t="shared" si="63"/>
        <v>657</v>
      </c>
      <c r="CX23" s="67">
        <f t="shared" si="63"/>
        <v>682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41"/>
        <v>661</v>
      </c>
      <c r="DU23" s="67">
        <f t="shared" si="42"/>
        <v>887</v>
      </c>
      <c r="DV23" s="67">
        <f t="shared" si="43"/>
        <v>1117</v>
      </c>
      <c r="DW23" s="67">
        <f t="shared" si="44"/>
        <v>1296</v>
      </c>
      <c r="DX23" s="67">
        <f t="shared" si="45"/>
        <v>1635</v>
      </c>
      <c r="DY23" s="67">
        <f t="shared" ref="DY23" si="64">+DX23*1.2</f>
        <v>1962</v>
      </c>
      <c r="DZ23" s="67">
        <f t="shared" ref="DZ23:EB23" si="65">+DY23*1.1</f>
        <v>2158.2000000000003</v>
      </c>
      <c r="EA23" s="67">
        <f t="shared" si="65"/>
        <v>2374.0200000000004</v>
      </c>
      <c r="EB23" s="67">
        <f t="shared" si="65"/>
        <v>2611.4220000000005</v>
      </c>
      <c r="EC23" s="67">
        <f t="shared" ref="EC23:EI23" si="66">+EB23*1.05</f>
        <v>2741.9931000000006</v>
      </c>
      <c r="ED23" s="67">
        <f t="shared" si="66"/>
        <v>2879.0927550000006</v>
      </c>
      <c r="EE23" s="67">
        <f t="shared" si="66"/>
        <v>3023.0473927500007</v>
      </c>
      <c r="EF23" s="67">
        <f t="shared" si="66"/>
        <v>3174.1997623875009</v>
      </c>
      <c r="EG23" s="67">
        <f t="shared" si="66"/>
        <v>3332.9097505068762</v>
      </c>
      <c r="EH23" s="67">
        <f t="shared" si="66"/>
        <v>3499.5552380322201</v>
      </c>
      <c r="EI23" s="67">
        <f t="shared" si="66"/>
        <v>3674.5329999338314</v>
      </c>
      <c r="EJ23" s="67">
        <f t="shared" ref="EJ23" si="67">+EI23*0.1</f>
        <v>367.45329999338315</v>
      </c>
    </row>
    <row r="24" spans="2:141" s="26" customFormat="1">
      <c r="B24" s="98" t="s">
        <v>1199</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67">
        <v>101</v>
      </c>
      <c r="CJ24" s="67">
        <v>92</v>
      </c>
      <c r="CK24" s="67">
        <v>107</v>
      </c>
      <c r="CL24" s="109">
        <v>114</v>
      </c>
      <c r="CM24" s="109"/>
      <c r="CN24" s="67"/>
      <c r="CO24" s="67">
        <v>94</v>
      </c>
      <c r="CP24" s="67">
        <v>78</v>
      </c>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41"/>
        <v>306</v>
      </c>
      <c r="DU24" s="67">
        <f t="shared" si="42"/>
        <v>378</v>
      </c>
      <c r="DV24" s="67">
        <f t="shared" si="43"/>
        <v>317</v>
      </c>
      <c r="DW24" s="67">
        <f t="shared" si="44"/>
        <v>414</v>
      </c>
      <c r="DX24" s="67">
        <f t="shared" si="45"/>
        <v>172</v>
      </c>
      <c r="DY24" s="67">
        <f>+DX24*1.01</f>
        <v>173.72</v>
      </c>
      <c r="DZ24" s="67">
        <f t="shared" ref="DZ24:EJ24" si="68">+DY24*1.01</f>
        <v>175.4572</v>
      </c>
      <c r="EA24" s="67">
        <f t="shared" si="68"/>
        <v>177.211772</v>
      </c>
      <c r="EB24" s="67">
        <f t="shared" si="68"/>
        <v>178.98388972000001</v>
      </c>
      <c r="EC24" s="67">
        <f t="shared" si="68"/>
        <v>180.77372861720002</v>
      </c>
      <c r="ED24" s="67">
        <f t="shared" si="68"/>
        <v>182.58146590337202</v>
      </c>
      <c r="EE24" s="67">
        <f t="shared" si="68"/>
        <v>184.40728056240573</v>
      </c>
      <c r="EF24" s="67">
        <f t="shared" si="68"/>
        <v>186.25135336802978</v>
      </c>
      <c r="EG24" s="67">
        <f t="shared" si="68"/>
        <v>188.11386690171008</v>
      </c>
      <c r="EH24" s="67">
        <f t="shared" si="68"/>
        <v>189.99500557072719</v>
      </c>
      <c r="EI24" s="67">
        <f t="shared" si="68"/>
        <v>191.89495562643447</v>
      </c>
      <c r="EJ24" s="67">
        <f t="shared" si="68"/>
        <v>193.81390518269882</v>
      </c>
    </row>
    <row r="25" spans="2:141" s="26" customFormat="1">
      <c r="B25" s="98" t="s">
        <v>1200</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67">
        <v>7</v>
      </c>
      <c r="CJ25" s="67">
        <v>29</v>
      </c>
      <c r="CK25" s="67">
        <v>55</v>
      </c>
      <c r="CL25" s="109">
        <v>79</v>
      </c>
      <c r="CM25" s="109">
        <v>96</v>
      </c>
      <c r="CN25" s="67">
        <v>133</v>
      </c>
      <c r="CO25" s="67">
        <v>161</v>
      </c>
      <c r="CP25" s="67">
        <v>177</v>
      </c>
      <c r="CQ25" s="67">
        <v>173</v>
      </c>
      <c r="CR25" s="67">
        <v>234</v>
      </c>
      <c r="CS25" s="67">
        <f t="shared" ref="CS25:CX25" si="69">+CR25+20</f>
        <v>254</v>
      </c>
      <c r="CT25" s="67">
        <f t="shared" si="69"/>
        <v>274</v>
      </c>
      <c r="CU25" s="67">
        <f t="shared" si="69"/>
        <v>294</v>
      </c>
      <c r="CV25" s="67">
        <f t="shared" si="69"/>
        <v>314</v>
      </c>
      <c r="CW25" s="67">
        <f t="shared" si="69"/>
        <v>334</v>
      </c>
      <c r="CX25" s="67">
        <f t="shared" si="69"/>
        <v>354</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41"/>
        <v>0</v>
      </c>
      <c r="DU25" s="67">
        <f t="shared" si="42"/>
        <v>0</v>
      </c>
      <c r="DV25" s="67">
        <f t="shared" si="43"/>
        <v>0</v>
      </c>
      <c r="DW25" s="67">
        <f t="shared" si="44"/>
        <v>170</v>
      </c>
      <c r="DX25" s="67">
        <f t="shared" si="45"/>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c r="B26" s="98" t="s">
        <v>1202</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67">
        <v>108</v>
      </c>
      <c r="CJ26" s="67">
        <v>116</v>
      </c>
      <c r="CK26" s="67">
        <v>117</v>
      </c>
      <c r="CL26" s="109">
        <v>119</v>
      </c>
      <c r="CM26" s="109">
        <v>164</v>
      </c>
      <c r="CN26" s="67">
        <v>150</v>
      </c>
      <c r="CO26" s="67">
        <v>152</v>
      </c>
      <c r="CP26" s="67">
        <v>160</v>
      </c>
      <c r="CQ26" s="67">
        <v>168</v>
      </c>
      <c r="CR26" s="67">
        <v>133</v>
      </c>
      <c r="CS26" s="67">
        <f t="shared" ref="CS26:CX26" si="70">+CR26</f>
        <v>133</v>
      </c>
      <c r="CT26" s="67">
        <f t="shared" si="70"/>
        <v>133</v>
      </c>
      <c r="CU26" s="67">
        <f t="shared" si="70"/>
        <v>133</v>
      </c>
      <c r="CV26" s="67">
        <f t="shared" si="70"/>
        <v>133</v>
      </c>
      <c r="CW26" s="67">
        <f t="shared" si="70"/>
        <v>133</v>
      </c>
      <c r="CX26" s="67">
        <f t="shared" si="70"/>
        <v>133</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41"/>
        <v>215</v>
      </c>
      <c r="DU26" s="67">
        <f t="shared" si="42"/>
        <v>331</v>
      </c>
      <c r="DV26" s="67">
        <f t="shared" si="43"/>
        <v>439</v>
      </c>
      <c r="DW26" s="67">
        <f t="shared" si="44"/>
        <v>460</v>
      </c>
      <c r="DX26" s="67">
        <f t="shared" si="45"/>
        <v>626</v>
      </c>
      <c r="DY26" s="67">
        <f t="shared" ref="DY26:EJ26" si="71">+DX26*0.9</f>
        <v>563.4</v>
      </c>
      <c r="DZ26" s="67">
        <f t="shared" si="71"/>
        <v>507.06</v>
      </c>
      <c r="EA26" s="67">
        <f t="shared" si="71"/>
        <v>456.35399999999998</v>
      </c>
      <c r="EB26" s="67">
        <f t="shared" si="71"/>
        <v>410.71859999999998</v>
      </c>
      <c r="EC26" s="67">
        <f t="shared" si="71"/>
        <v>369.64673999999997</v>
      </c>
      <c r="ED26" s="67">
        <f t="shared" si="71"/>
        <v>332.68206599999996</v>
      </c>
      <c r="EE26" s="67">
        <f t="shared" si="71"/>
        <v>299.41385939999998</v>
      </c>
      <c r="EF26" s="67">
        <f t="shared" si="71"/>
        <v>269.47247346</v>
      </c>
      <c r="EG26" s="67">
        <f t="shared" si="71"/>
        <v>242.52522611400002</v>
      </c>
      <c r="EH26" s="67">
        <f t="shared" si="71"/>
        <v>218.27270350260002</v>
      </c>
      <c r="EI26" s="67">
        <f t="shared" si="71"/>
        <v>196.44543315234003</v>
      </c>
      <c r="EJ26" s="67">
        <f t="shared" si="71"/>
        <v>176.80088983710604</v>
      </c>
    </row>
    <row r="27" spans="2:141" s="26" customFormat="1">
      <c r="B27" s="98" t="s">
        <v>1203</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67">
        <v>62</v>
      </c>
      <c r="CJ27" s="67">
        <v>77</v>
      </c>
      <c r="CK27" s="67">
        <v>75</v>
      </c>
      <c r="CL27" s="67">
        <v>71</v>
      </c>
      <c r="CM27" s="109">
        <v>74</v>
      </c>
      <c r="CN27" s="67">
        <v>77</v>
      </c>
      <c r="CO27" s="67">
        <v>52</v>
      </c>
      <c r="CP27" s="67">
        <v>77</v>
      </c>
      <c r="CQ27" s="67">
        <v>82</v>
      </c>
      <c r="CR27" s="67">
        <v>85</v>
      </c>
      <c r="CS27" s="67">
        <f>+CO27+10</f>
        <v>62</v>
      </c>
      <c r="CT27" s="67">
        <f t="shared" ref="CT27:CX27" si="72">+CP27+10</f>
        <v>87</v>
      </c>
      <c r="CU27" s="67">
        <f t="shared" si="72"/>
        <v>92</v>
      </c>
      <c r="CV27" s="67">
        <f t="shared" si="72"/>
        <v>95</v>
      </c>
      <c r="CW27" s="67">
        <f t="shared" si="72"/>
        <v>72</v>
      </c>
      <c r="CX27" s="67">
        <f t="shared" si="72"/>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41"/>
        <v>0</v>
      </c>
      <c r="DU27" s="67">
        <f t="shared" si="42"/>
        <v>0</v>
      </c>
      <c r="DV27" s="67">
        <f t="shared" si="43"/>
        <v>90</v>
      </c>
      <c r="DW27" s="67">
        <f t="shared" si="44"/>
        <v>285</v>
      </c>
      <c r="DX27" s="67">
        <f t="shared" si="45"/>
        <v>280</v>
      </c>
      <c r="DY27" s="67">
        <f>+DX27*1.05</f>
        <v>294</v>
      </c>
      <c r="DZ27" s="67">
        <f>+DY27*1.05</f>
        <v>308.7</v>
      </c>
      <c r="EA27" s="67">
        <f t="shared" ref="EA27:EJ27" si="73">+DZ27*1.01</f>
        <v>311.78699999999998</v>
      </c>
      <c r="EB27" s="67">
        <f t="shared" si="73"/>
        <v>314.90486999999996</v>
      </c>
      <c r="EC27" s="67">
        <f t="shared" si="73"/>
        <v>318.05391869999994</v>
      </c>
      <c r="ED27" s="67">
        <f t="shared" si="73"/>
        <v>321.23445788699996</v>
      </c>
      <c r="EE27" s="67">
        <f t="shared" si="73"/>
        <v>324.44680246586995</v>
      </c>
      <c r="EF27" s="67">
        <f t="shared" si="73"/>
        <v>327.69127049052867</v>
      </c>
      <c r="EG27" s="67">
        <f t="shared" si="73"/>
        <v>330.96818319543394</v>
      </c>
      <c r="EH27" s="67">
        <f t="shared" si="73"/>
        <v>334.27786502738826</v>
      </c>
      <c r="EI27" s="67">
        <f t="shared" si="73"/>
        <v>337.62064367766214</v>
      </c>
      <c r="EJ27" s="67">
        <f t="shared" si="73"/>
        <v>340.99685011443876</v>
      </c>
    </row>
    <row r="28" spans="2:141" s="26" customFormat="1">
      <c r="B28" s="98" t="s">
        <v>1163</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67">
        <v>287</v>
      </c>
      <c r="CJ28" s="67">
        <v>317</v>
      </c>
      <c r="CK28" s="67">
        <v>318</v>
      </c>
      <c r="CL28" s="67">
        <v>325</v>
      </c>
      <c r="CM28" s="109">
        <v>358</v>
      </c>
      <c r="CN28" s="67">
        <v>346</v>
      </c>
      <c r="CO28" s="67">
        <v>349</v>
      </c>
      <c r="CP28" s="67">
        <v>350</v>
      </c>
      <c r="CQ28" s="67">
        <v>376</v>
      </c>
      <c r="CR28" s="67">
        <v>377</v>
      </c>
      <c r="CS28" s="67">
        <f t="shared" ref="CS28:CX29" si="74">+CO28</f>
        <v>349</v>
      </c>
      <c r="CT28" s="67">
        <f t="shared" si="74"/>
        <v>350</v>
      </c>
      <c r="CU28" s="67">
        <f t="shared" si="74"/>
        <v>376</v>
      </c>
      <c r="CV28" s="67">
        <f t="shared" si="74"/>
        <v>377</v>
      </c>
      <c r="CW28" s="67">
        <f t="shared" si="74"/>
        <v>349</v>
      </c>
      <c r="CX28" s="67">
        <f t="shared" si="74"/>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41"/>
        <v>1044</v>
      </c>
      <c r="DU28" s="67">
        <f t="shared" si="42"/>
        <v>1065</v>
      </c>
      <c r="DV28" s="67">
        <f t="shared" si="43"/>
        <v>1108</v>
      </c>
      <c r="DW28" s="67">
        <f t="shared" si="44"/>
        <v>1247</v>
      </c>
      <c r="DX28" s="67">
        <f t="shared" si="45"/>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5">+ED28*0.5</f>
        <v>53.050937500000011</v>
      </c>
      <c r="EF28" s="67">
        <f t="shared" si="75"/>
        <v>26.525468750000005</v>
      </c>
      <c r="EG28" s="67">
        <f t="shared" si="75"/>
        <v>13.262734375000003</v>
      </c>
      <c r="EH28" s="67">
        <f t="shared" si="75"/>
        <v>6.6313671875000013</v>
      </c>
      <c r="EI28" s="67">
        <f t="shared" si="75"/>
        <v>3.3156835937500007</v>
      </c>
      <c r="EJ28" s="67">
        <f t="shared" si="75"/>
        <v>1.6578417968750003</v>
      </c>
    </row>
    <row r="29" spans="2:141" s="26" customFormat="1">
      <c r="B29" s="26" t="s">
        <v>791</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09">
        <v>362</v>
      </c>
      <c r="CN29" s="67">
        <v>310</v>
      </c>
      <c r="CO29" s="67">
        <v>419</v>
      </c>
      <c r="CP29" s="67">
        <v>386</v>
      </c>
      <c r="CQ29" s="67">
        <v>317</v>
      </c>
      <c r="CR29" s="67">
        <v>346</v>
      </c>
      <c r="CS29" s="67">
        <f t="shared" si="74"/>
        <v>419</v>
      </c>
      <c r="CT29" s="67">
        <f t="shared" si="74"/>
        <v>386</v>
      </c>
      <c r="CU29" s="67">
        <f t="shared" si="74"/>
        <v>317</v>
      </c>
      <c r="CV29" s="67">
        <f t="shared" si="74"/>
        <v>346</v>
      </c>
      <c r="CW29" s="67">
        <f t="shared" si="74"/>
        <v>419</v>
      </c>
      <c r="CX29" s="67">
        <f t="shared" si="74"/>
        <v>386</v>
      </c>
      <c r="CY29" s="67"/>
      <c r="CZ29" s="67"/>
      <c r="DA29" s="67"/>
      <c r="DB29" s="67"/>
      <c r="DC29" s="67"/>
      <c r="DD29" s="67"/>
      <c r="DE29" s="67"/>
      <c r="DF29" s="67"/>
      <c r="DG29" s="67"/>
      <c r="DH29" s="67"/>
      <c r="DI29" s="67"/>
      <c r="DJ29" s="67"/>
      <c r="DK29" s="67">
        <f>SUM(AM29:AP29)</f>
        <v>229</v>
      </c>
      <c r="DL29" s="67">
        <f>SUM(AQ29:AT29)</f>
        <v>290</v>
      </c>
      <c r="DM29" s="67">
        <f t="shared" ref="DM29:DR29" si="76">+DL29*1.05</f>
        <v>304.5</v>
      </c>
      <c r="DN29" s="67">
        <f t="shared" si="76"/>
        <v>319.72500000000002</v>
      </c>
      <c r="DO29" s="67">
        <f t="shared" si="76"/>
        <v>335.71125000000006</v>
      </c>
      <c r="DP29" s="67">
        <f t="shared" si="76"/>
        <v>352.49681250000009</v>
      </c>
      <c r="DQ29" s="67">
        <f t="shared" si="76"/>
        <v>370.12165312500014</v>
      </c>
      <c r="DR29" s="67">
        <f t="shared" si="76"/>
        <v>388.62773578125018</v>
      </c>
      <c r="DS29" s="67"/>
      <c r="DT29" s="67">
        <f t="shared" si="41"/>
        <v>795</v>
      </c>
      <c r="DU29" s="67">
        <f t="shared" si="42"/>
        <v>850</v>
      </c>
      <c r="DV29" s="67">
        <f t="shared" si="43"/>
        <v>1027</v>
      </c>
      <c r="DW29" s="67">
        <f t="shared" si="44"/>
        <v>1307</v>
      </c>
      <c r="DX29" s="67">
        <f t="shared" si="45"/>
        <v>1477</v>
      </c>
      <c r="DY29" s="67">
        <f t="shared" ref="DY29:EB30" si="77">+DX29*1.05</f>
        <v>1550.8500000000001</v>
      </c>
      <c r="DZ29" s="67">
        <f t="shared" si="77"/>
        <v>1628.3925000000002</v>
      </c>
      <c r="EA29" s="67">
        <f t="shared" si="77"/>
        <v>1709.8121250000002</v>
      </c>
      <c r="EB29" s="67">
        <f t="shared" si="77"/>
        <v>1795.3027312500003</v>
      </c>
      <c r="EC29" s="67">
        <f t="shared" ref="EC29:EJ29" si="78">+EB29*0.99</f>
        <v>1777.3497039375002</v>
      </c>
      <c r="ED29" s="67">
        <f t="shared" si="78"/>
        <v>1759.5762068981251</v>
      </c>
      <c r="EE29" s="67">
        <f t="shared" si="78"/>
        <v>1741.9804448291438</v>
      </c>
      <c r="EF29" s="67">
        <f t="shared" si="78"/>
        <v>1724.5606403808524</v>
      </c>
      <c r="EG29" s="67">
        <f t="shared" si="78"/>
        <v>1707.3150339770439</v>
      </c>
      <c r="EH29" s="67">
        <f t="shared" si="78"/>
        <v>1690.2418836372733</v>
      </c>
      <c r="EI29" s="67">
        <f t="shared" si="78"/>
        <v>1673.3394648009005</v>
      </c>
      <c r="EJ29" s="67">
        <f t="shared" si="78"/>
        <v>1656.6060701528916</v>
      </c>
    </row>
    <row r="30" spans="2:141" s="26" customFormat="1">
      <c r="B30" s="98" t="s">
        <v>1204</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67">
        <v>138</v>
      </c>
      <c r="CJ30" s="67">
        <v>139</v>
      </c>
      <c r="CK30" s="67">
        <v>142</v>
      </c>
      <c r="CL30" s="67">
        <v>164</v>
      </c>
      <c r="CM30" s="109">
        <v>194</v>
      </c>
      <c r="CN30" s="67">
        <v>206</v>
      </c>
      <c r="CO30" s="67">
        <v>220</v>
      </c>
      <c r="CP30" s="67">
        <v>241</v>
      </c>
      <c r="CQ30" s="67">
        <v>244</v>
      </c>
      <c r="CR30" s="67">
        <v>264</v>
      </c>
      <c r="CS30" s="67">
        <f t="shared" ref="CS30:CX30" si="79">+CR30+5</f>
        <v>269</v>
      </c>
      <c r="CT30" s="67">
        <f t="shared" si="79"/>
        <v>274</v>
      </c>
      <c r="CU30" s="67">
        <f t="shared" si="79"/>
        <v>279</v>
      </c>
      <c r="CV30" s="67">
        <f t="shared" si="79"/>
        <v>284</v>
      </c>
      <c r="CW30" s="67">
        <f t="shared" si="79"/>
        <v>289</v>
      </c>
      <c r="CX30" s="67">
        <f t="shared" si="79"/>
        <v>294</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41"/>
        <v>312</v>
      </c>
      <c r="DU30" s="67">
        <f t="shared" si="42"/>
        <v>379</v>
      </c>
      <c r="DV30" s="67">
        <f t="shared" si="43"/>
        <v>472</v>
      </c>
      <c r="DW30" s="67">
        <f t="shared" si="44"/>
        <v>583</v>
      </c>
      <c r="DX30" s="67">
        <f t="shared" si="45"/>
        <v>861</v>
      </c>
      <c r="DY30" s="67">
        <f t="shared" si="77"/>
        <v>904.05000000000007</v>
      </c>
      <c r="DZ30" s="67">
        <f t="shared" si="77"/>
        <v>949.25250000000017</v>
      </c>
      <c r="EA30" s="67">
        <f t="shared" si="77"/>
        <v>996.71512500000017</v>
      </c>
      <c r="EB30" s="67">
        <f t="shared" si="77"/>
        <v>1046.5508812500002</v>
      </c>
      <c r="EC30" s="67">
        <f t="shared" ref="EC30:EJ30" si="80">+EB30*1.05</f>
        <v>1098.8784253125002</v>
      </c>
      <c r="ED30" s="67">
        <f t="shared" si="80"/>
        <v>1153.8223465781252</v>
      </c>
      <c r="EE30" s="67">
        <f t="shared" si="80"/>
        <v>1211.5134639070316</v>
      </c>
      <c r="EF30" s="67">
        <f t="shared" si="80"/>
        <v>1272.0891371023831</v>
      </c>
      <c r="EG30" s="67">
        <f t="shared" si="80"/>
        <v>1335.6935939575023</v>
      </c>
      <c r="EH30" s="67">
        <f t="shared" si="80"/>
        <v>1402.4782736553775</v>
      </c>
      <c r="EI30" s="67">
        <f t="shared" si="80"/>
        <v>1472.6021873381465</v>
      </c>
      <c r="EJ30" s="67">
        <f t="shared" si="80"/>
        <v>1546.2322967050538</v>
      </c>
    </row>
    <row r="31" spans="2:141" s="26" customFormat="1">
      <c r="B31" s="98" t="s">
        <v>1205</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67">
        <v>244</v>
      </c>
      <c r="CJ31" s="67">
        <v>243</v>
      </c>
      <c r="CK31" s="67">
        <v>209</v>
      </c>
      <c r="CL31" s="67">
        <v>205</v>
      </c>
      <c r="CM31" s="109">
        <v>202</v>
      </c>
      <c r="CN31" s="67">
        <v>197</v>
      </c>
      <c r="CO31" s="67">
        <v>213</v>
      </c>
      <c r="CP31" s="67">
        <v>188</v>
      </c>
      <c r="CQ31" s="67">
        <v>202</v>
      </c>
      <c r="CR31" s="67">
        <v>157</v>
      </c>
      <c r="CS31" s="67">
        <f t="shared" ref="CS31:CX31" si="81">+CR31</f>
        <v>157</v>
      </c>
      <c r="CT31" s="67">
        <f t="shared" si="81"/>
        <v>157</v>
      </c>
      <c r="CU31" s="67">
        <f t="shared" si="81"/>
        <v>157</v>
      </c>
      <c r="CV31" s="67">
        <f t="shared" si="81"/>
        <v>157</v>
      </c>
      <c r="CW31" s="67">
        <f t="shared" si="81"/>
        <v>157</v>
      </c>
      <c r="CX31" s="67">
        <f t="shared" si="81"/>
        <v>157</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41"/>
        <v>127</v>
      </c>
      <c r="DU31" s="67">
        <f t="shared" si="42"/>
        <v>798</v>
      </c>
      <c r="DV31" s="67">
        <f t="shared" si="43"/>
        <v>1166</v>
      </c>
      <c r="DW31" s="67">
        <f t="shared" si="44"/>
        <v>901</v>
      </c>
      <c r="DX31" s="67">
        <f t="shared" si="45"/>
        <v>800</v>
      </c>
      <c r="DY31" s="67">
        <f>+DX31*0.9</f>
        <v>720</v>
      </c>
      <c r="DZ31" s="67">
        <f t="shared" ref="DZ31:EJ31" si="82">+DY31*0.9</f>
        <v>648</v>
      </c>
      <c r="EA31" s="67">
        <f t="shared" si="82"/>
        <v>583.20000000000005</v>
      </c>
      <c r="EB31" s="67">
        <f t="shared" si="82"/>
        <v>524.88000000000011</v>
      </c>
      <c r="EC31" s="67">
        <f t="shared" si="82"/>
        <v>472.39200000000011</v>
      </c>
      <c r="ED31" s="67">
        <f t="shared" si="82"/>
        <v>425.15280000000013</v>
      </c>
      <c r="EE31" s="67">
        <f t="shared" si="82"/>
        <v>382.63752000000011</v>
      </c>
      <c r="EF31" s="67">
        <f t="shared" si="82"/>
        <v>344.3737680000001</v>
      </c>
      <c r="EG31" s="67">
        <f t="shared" si="82"/>
        <v>309.93639120000012</v>
      </c>
      <c r="EH31" s="67">
        <f t="shared" si="82"/>
        <v>278.9427520800001</v>
      </c>
      <c r="EI31" s="67">
        <f t="shared" si="82"/>
        <v>251.04847687200009</v>
      </c>
      <c r="EJ31" s="67">
        <f t="shared" si="82"/>
        <v>225.9436291848001</v>
      </c>
    </row>
    <row r="32" spans="2:141" s="26" customFormat="1">
      <c r="B32" s="97" t="s">
        <v>1305</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109"/>
      <c r="CN32" s="67">
        <v>0</v>
      </c>
      <c r="CO32" s="67"/>
      <c r="CP32" s="67"/>
      <c r="CQ32" s="67"/>
      <c r="CR32" s="67">
        <v>12</v>
      </c>
      <c r="CS32" s="67">
        <f t="shared" ref="CS32:CX32" si="83">+CR32+5</f>
        <v>17</v>
      </c>
      <c r="CT32" s="67">
        <f t="shared" si="83"/>
        <v>22</v>
      </c>
      <c r="CU32" s="67">
        <f t="shared" si="83"/>
        <v>27</v>
      </c>
      <c r="CV32" s="67">
        <f t="shared" si="83"/>
        <v>32</v>
      </c>
      <c r="CW32" s="67">
        <f t="shared" si="83"/>
        <v>37</v>
      </c>
      <c r="CX32" s="67">
        <f t="shared" si="83"/>
        <v>42</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8" t="s">
        <v>1206</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67">
        <v>96</v>
      </c>
      <c r="CJ33" s="67">
        <v>85</v>
      </c>
      <c r="CK33" s="67">
        <v>72</v>
      </c>
      <c r="CL33" s="67">
        <v>63</v>
      </c>
      <c r="CM33" s="109"/>
      <c r="CN33" s="67"/>
      <c r="CO33" s="67">
        <v>20</v>
      </c>
      <c r="CP33" s="67">
        <v>42</v>
      </c>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41"/>
        <v>226</v>
      </c>
      <c r="DU33" s="67">
        <f t="shared" si="42"/>
        <v>567</v>
      </c>
      <c r="DV33" s="67">
        <f t="shared" si="43"/>
        <v>572</v>
      </c>
      <c r="DW33" s="67">
        <f t="shared" si="44"/>
        <v>316</v>
      </c>
      <c r="DX33" s="67">
        <f t="shared" si="45"/>
        <v>62</v>
      </c>
      <c r="DY33" s="67">
        <f t="shared" ref="DY33:EJ33" si="84">+DX33*0.9</f>
        <v>55.800000000000004</v>
      </c>
      <c r="DZ33" s="67">
        <f t="shared" si="84"/>
        <v>50.220000000000006</v>
      </c>
      <c r="EA33" s="67">
        <f t="shared" si="84"/>
        <v>45.198000000000008</v>
      </c>
      <c r="EB33" s="67">
        <f t="shared" si="84"/>
        <v>40.678200000000011</v>
      </c>
      <c r="EC33" s="67">
        <f t="shared" si="84"/>
        <v>36.610380000000013</v>
      </c>
      <c r="ED33" s="67">
        <f t="shared" si="84"/>
        <v>32.949342000000016</v>
      </c>
      <c r="EE33" s="67">
        <f t="shared" si="84"/>
        <v>29.654407800000016</v>
      </c>
      <c r="EF33" s="67">
        <f t="shared" si="84"/>
        <v>26.688967020000014</v>
      </c>
      <c r="EG33" s="67">
        <f t="shared" si="84"/>
        <v>24.020070318000013</v>
      </c>
      <c r="EH33" s="67">
        <f t="shared" si="84"/>
        <v>21.618063286200012</v>
      </c>
      <c r="EI33" s="67">
        <f t="shared" si="84"/>
        <v>19.456256957580013</v>
      </c>
      <c r="EJ33" s="67">
        <f t="shared" si="84"/>
        <v>17.510631261822013</v>
      </c>
    </row>
    <row r="34" spans="2:140" s="26" customFormat="1">
      <c r="B34" s="97" t="s">
        <v>1309</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v>0</v>
      </c>
      <c r="CM34" s="109">
        <v>0</v>
      </c>
      <c r="CN34" s="67">
        <v>0</v>
      </c>
      <c r="CO34" s="67"/>
      <c r="CP34" s="67">
        <v>164</v>
      </c>
      <c r="CQ34" s="67">
        <v>169</v>
      </c>
      <c r="CR34" s="67">
        <v>187</v>
      </c>
      <c r="CS34" s="67">
        <f t="shared" ref="CS34:CX35" si="85">+CR34</f>
        <v>187</v>
      </c>
      <c r="CT34" s="67">
        <f t="shared" si="85"/>
        <v>187</v>
      </c>
      <c r="CU34" s="67">
        <f t="shared" si="85"/>
        <v>187</v>
      </c>
      <c r="CV34" s="67">
        <f t="shared" si="85"/>
        <v>187</v>
      </c>
      <c r="CW34" s="67">
        <f t="shared" si="85"/>
        <v>187</v>
      </c>
      <c r="CX34" s="67">
        <f t="shared" si="85"/>
        <v>187</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row>
    <row r="35" spans="2:140" s="26" customFormat="1">
      <c r="B35" s="26" t="s">
        <v>451</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67">
        <v>85</v>
      </c>
      <c r="CJ35" s="67">
        <v>113</v>
      </c>
      <c r="CK35" s="67">
        <v>114</v>
      </c>
      <c r="CL35" s="67">
        <v>119</v>
      </c>
      <c r="CM35" s="109">
        <v>309</v>
      </c>
      <c r="CN35" s="67">
        <v>306</v>
      </c>
      <c r="CO35" s="67">
        <v>167</v>
      </c>
      <c r="CP35" s="67">
        <v>175</v>
      </c>
      <c r="CQ35" s="67">
        <v>357</v>
      </c>
      <c r="CR35" s="67">
        <v>346</v>
      </c>
      <c r="CS35" s="67">
        <f t="shared" si="85"/>
        <v>346</v>
      </c>
      <c r="CT35" s="67">
        <f t="shared" si="85"/>
        <v>346</v>
      </c>
      <c r="CU35" s="67">
        <f t="shared" si="85"/>
        <v>346</v>
      </c>
      <c r="CV35" s="67">
        <f t="shared" si="85"/>
        <v>346</v>
      </c>
      <c r="CW35" s="67">
        <f t="shared" si="85"/>
        <v>346</v>
      </c>
      <c r="CX35" s="67">
        <f t="shared" si="85"/>
        <v>346</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41"/>
        <v>312</v>
      </c>
      <c r="DU35" s="67">
        <f t="shared" si="42"/>
        <v>283</v>
      </c>
      <c r="DV35" s="67">
        <f t="shared" si="43"/>
        <v>339</v>
      </c>
      <c r="DW35" s="67">
        <f t="shared" si="44"/>
        <v>431</v>
      </c>
      <c r="DX35" s="67">
        <f t="shared" si="45"/>
        <v>957</v>
      </c>
      <c r="DY35" s="67">
        <f t="shared" ref="DY35:EJ35" si="86">+DX35*0.9</f>
        <v>861.30000000000007</v>
      </c>
      <c r="DZ35" s="67">
        <f t="shared" si="86"/>
        <v>775.17000000000007</v>
      </c>
      <c r="EA35" s="67">
        <f t="shared" si="86"/>
        <v>697.65300000000013</v>
      </c>
      <c r="EB35" s="67">
        <f t="shared" si="86"/>
        <v>627.88770000000011</v>
      </c>
      <c r="EC35" s="67">
        <f t="shared" si="86"/>
        <v>565.09893000000011</v>
      </c>
      <c r="ED35" s="67">
        <f t="shared" si="86"/>
        <v>508.58903700000013</v>
      </c>
      <c r="EE35" s="67">
        <f t="shared" si="86"/>
        <v>457.73013330000015</v>
      </c>
      <c r="EF35" s="67">
        <f t="shared" si="86"/>
        <v>411.95711997000012</v>
      </c>
      <c r="EG35" s="67">
        <f t="shared" si="86"/>
        <v>370.76140797300013</v>
      </c>
      <c r="EH35" s="67">
        <f t="shared" si="86"/>
        <v>333.68526717570012</v>
      </c>
      <c r="EI35" s="67">
        <f t="shared" si="86"/>
        <v>300.31674045813014</v>
      </c>
      <c r="EJ35" s="67">
        <f t="shared" si="86"/>
        <v>270.28506641231712</v>
      </c>
    </row>
    <row r="36" spans="2:140" s="26" customFormat="1">
      <c r="B36" s="97" t="s">
        <v>1233</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v>0</v>
      </c>
      <c r="CL36" s="67">
        <v>21</v>
      </c>
      <c r="CM36" s="109">
        <v>23</v>
      </c>
      <c r="CN36" s="67">
        <v>30</v>
      </c>
      <c r="CO36" s="67">
        <v>37</v>
      </c>
      <c r="CP36" s="67">
        <v>44</v>
      </c>
      <c r="CQ36" s="67">
        <v>51</v>
      </c>
      <c r="CR36" s="67">
        <v>71</v>
      </c>
      <c r="CS36" s="67">
        <f t="shared" ref="CS36:CX36" si="87">+CR36+7</f>
        <v>78</v>
      </c>
      <c r="CT36" s="67">
        <f t="shared" si="87"/>
        <v>85</v>
      </c>
      <c r="CU36" s="67">
        <f t="shared" si="87"/>
        <v>92</v>
      </c>
      <c r="CV36" s="67">
        <f t="shared" si="87"/>
        <v>99</v>
      </c>
      <c r="CW36" s="67">
        <f t="shared" si="87"/>
        <v>106</v>
      </c>
      <c r="CX36" s="67">
        <f t="shared" si="87"/>
        <v>113</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4"/>
        <v>21</v>
      </c>
      <c r="DX36" s="67">
        <v>200</v>
      </c>
      <c r="DY36" s="67">
        <f>+DX36*1.5</f>
        <v>300</v>
      </c>
      <c r="DZ36" s="67">
        <f>+DY36*1.5</f>
        <v>450</v>
      </c>
      <c r="EA36" s="67">
        <f>+DZ36*1.5</f>
        <v>675</v>
      </c>
      <c r="EB36" s="67">
        <f>+EA36*1.01</f>
        <v>681.75</v>
      </c>
      <c r="EC36" s="67">
        <f t="shared" ref="EC36:EI36" si="88">+EB36*1.01</f>
        <v>688.5675</v>
      </c>
      <c r="ED36" s="67">
        <f t="shared" si="88"/>
        <v>695.45317499999999</v>
      </c>
      <c r="EE36" s="67">
        <f t="shared" si="88"/>
        <v>702.40770674999999</v>
      </c>
      <c r="EF36" s="67">
        <f t="shared" si="88"/>
        <v>709.43178381749999</v>
      </c>
      <c r="EG36" s="67">
        <f t="shared" si="88"/>
        <v>716.52610165567501</v>
      </c>
      <c r="EH36" s="67">
        <f t="shared" si="88"/>
        <v>723.69136267223178</v>
      </c>
      <c r="EI36" s="67">
        <f t="shared" si="88"/>
        <v>730.92827629895407</v>
      </c>
      <c r="EJ36" s="26">
        <f>+EI36*0.1</f>
        <v>73.09282762989541</v>
      </c>
    </row>
    <row r="37" spans="2:140" s="26" customFormat="1">
      <c r="B37" s="26" t="s">
        <v>98</v>
      </c>
      <c r="C37" s="67">
        <f t="shared" ref="C37:J37" si="89">C3+C4+C6+C7+C8+C15+C16</f>
        <v>797</v>
      </c>
      <c r="D37" s="67">
        <f t="shared" si="89"/>
        <v>858</v>
      </c>
      <c r="E37" s="67">
        <f t="shared" si="89"/>
        <v>903</v>
      </c>
      <c r="F37" s="67">
        <f t="shared" si="89"/>
        <v>962</v>
      </c>
      <c r="G37" s="67">
        <f t="shared" si="89"/>
        <v>908.60000000000014</v>
      </c>
      <c r="H37" s="67">
        <f t="shared" si="89"/>
        <v>1115</v>
      </c>
      <c r="I37" s="67">
        <f t="shared" si="89"/>
        <v>1345.8</v>
      </c>
      <c r="J37" s="67">
        <f t="shared" si="89"/>
        <v>1621.6000000000001</v>
      </c>
      <c r="K37" s="67">
        <f t="shared" ref="K37:S37" si="90">K3+K4+K6+K7+K8+K15+K16</f>
        <v>1636</v>
      </c>
      <c r="L37" s="67">
        <f t="shared" si="90"/>
        <v>1916.5</v>
      </c>
      <c r="M37" s="67">
        <f t="shared" si="90"/>
        <v>2078.1999999999998</v>
      </c>
      <c r="N37" s="67">
        <f t="shared" si="90"/>
        <v>2238</v>
      </c>
      <c r="O37" s="67">
        <f t="shared" si="90"/>
        <v>2207.6999999999998</v>
      </c>
      <c r="P37" s="67">
        <f t="shared" si="90"/>
        <v>2430.6999999999998</v>
      </c>
      <c r="Q37" s="67">
        <f t="shared" si="90"/>
        <v>2560</v>
      </c>
      <c r="R37" s="67">
        <f t="shared" si="90"/>
        <v>2778</v>
      </c>
      <c r="S37" s="67">
        <f t="shared" si="90"/>
        <v>2735</v>
      </c>
      <c r="T37" s="67">
        <f t="shared" ref="T37:Z37" si="91">T3+T4+T6+T7+T8+T15+T16+T18</f>
        <v>3072</v>
      </c>
      <c r="U37" s="67">
        <f t="shared" si="91"/>
        <v>3047</v>
      </c>
      <c r="V37" s="67">
        <f t="shared" si="91"/>
        <v>3168</v>
      </c>
      <c r="W37" s="67">
        <f t="shared" si="91"/>
        <v>3127</v>
      </c>
      <c r="X37" s="67">
        <f t="shared" si="91"/>
        <v>3491</v>
      </c>
      <c r="Y37" s="67">
        <f t="shared" si="91"/>
        <v>3503</v>
      </c>
      <c r="Z37" s="67">
        <f t="shared" si="91"/>
        <v>3737</v>
      </c>
      <c r="AA37" s="67">
        <f t="shared" ref="AA37:AI37" si="92">AA3+AA4+AA6+AA7+AA8+AA15+AA16+AA18</f>
        <v>3565</v>
      </c>
      <c r="AB37" s="67">
        <f t="shared" si="92"/>
        <v>3604</v>
      </c>
      <c r="AC37" s="67">
        <f t="shared" si="92"/>
        <v>3524</v>
      </c>
      <c r="AD37" s="67">
        <f t="shared" si="92"/>
        <v>3618</v>
      </c>
      <c r="AE37" s="67">
        <f t="shared" si="92"/>
        <v>3537</v>
      </c>
      <c r="AF37" s="67">
        <f t="shared" si="92"/>
        <v>3692</v>
      </c>
      <c r="AG37" s="67">
        <f>AG3+AG4+AG6+AG7+AG8+AG15+AG16+AG18</f>
        <v>3784</v>
      </c>
      <c r="AH37" s="67">
        <f t="shared" si="92"/>
        <v>3674</v>
      </c>
      <c r="AI37" s="67">
        <f t="shared" si="92"/>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3">SUM(AY5:AY35)</f>
        <v>0</v>
      </c>
      <c r="AZ37" s="67">
        <f t="shared" si="93"/>
        <v>4595</v>
      </c>
      <c r="BA37" s="67">
        <f t="shared" si="93"/>
        <v>0</v>
      </c>
      <c r="BB37" s="67">
        <f t="shared" si="93"/>
        <v>0</v>
      </c>
      <c r="BC37" s="67">
        <f t="shared" si="93"/>
        <v>0</v>
      </c>
      <c r="BD37" s="67">
        <f t="shared" si="93"/>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109"/>
      <c r="CN37" s="67"/>
      <c r="CO37" s="67"/>
      <c r="CP37" s="67"/>
      <c r="CQ37" s="67"/>
      <c r="CR37" s="67"/>
      <c r="CS37" s="67"/>
      <c r="CT37" s="67"/>
      <c r="CU37" s="67"/>
      <c r="CV37" s="67"/>
      <c r="CW37" s="67"/>
      <c r="CX37" s="67"/>
      <c r="CY37" s="67"/>
      <c r="CZ37" s="67"/>
      <c r="DA37" s="67">
        <f t="shared" ref="DA37:DG37" si="94">DA3+DA4+DA6+DA7+DA8+DA15+DA16+DA18</f>
        <v>3186.4</v>
      </c>
      <c r="DB37" s="67">
        <f t="shared" si="94"/>
        <v>3497.1</v>
      </c>
      <c r="DC37" s="67">
        <f t="shared" si="94"/>
        <v>4880.6000000000004</v>
      </c>
      <c r="DD37" s="74">
        <f t="shared" si="94"/>
        <v>7867.5</v>
      </c>
      <c r="DE37" s="74">
        <f t="shared" si="94"/>
        <v>9977.253999999999</v>
      </c>
      <c r="DF37" s="74">
        <f t="shared" si="94"/>
        <v>12022</v>
      </c>
      <c r="DG37" s="67">
        <f t="shared" si="94"/>
        <v>13858</v>
      </c>
      <c r="DH37" s="67">
        <f>DH3+DH4+DH6+DH7+DH8+DH15+DH16+DH18</f>
        <v>14311</v>
      </c>
      <c r="DI37" s="67">
        <f>DI3+DI4+DI6+DI7+DI8+DI15+DI16+DI18+DI19+DI29</f>
        <v>14687</v>
      </c>
      <c r="DJ37" s="67">
        <f>SUM(DJ5:DJ29)</f>
        <v>14351</v>
      </c>
      <c r="DK37" s="67">
        <f t="shared" ref="DK37:DP37" si="95">SUM(DK5:DK29)</f>
        <v>14660</v>
      </c>
      <c r="DL37" s="67">
        <f>SUM(DL5:DL29)</f>
        <v>15193</v>
      </c>
      <c r="DM37" s="67">
        <f t="shared" si="95"/>
        <v>13822.759999999998</v>
      </c>
      <c r="DN37" s="67">
        <f t="shared" si="95"/>
        <v>14735.160499999998</v>
      </c>
      <c r="DO37" s="67">
        <f t="shared" si="95"/>
        <v>13885.463324999999</v>
      </c>
      <c r="DP37" s="67">
        <f t="shared" si="95"/>
        <v>12983.17309875</v>
      </c>
      <c r="DQ37" s="67">
        <f>SUM(DQ5:DQ29)</f>
        <v>12758.420178562499</v>
      </c>
      <c r="DR37" s="67">
        <f>SUM(DR5:DR29)</f>
        <v>388.62773578125018</v>
      </c>
      <c r="DS37" s="67">
        <f>SUM(DS5:DS29)</f>
        <v>0</v>
      </c>
      <c r="DT37" s="67">
        <f>SUM(DT3:DT35)</f>
        <v>22204</v>
      </c>
      <c r="DU37" s="67">
        <f t="shared" ref="DU37:DV37" si="96">SUM(DU3:DU35)</f>
        <v>24240</v>
      </c>
      <c r="DV37" s="67">
        <f t="shared" si="96"/>
        <v>24297</v>
      </c>
      <c r="DW37" s="67">
        <f>SUM(DW3:DW35)</f>
        <v>24780</v>
      </c>
      <c r="DX37" s="67">
        <f>SUM(DX3:DX36)</f>
        <v>29127</v>
      </c>
      <c r="DY37" s="67">
        <f t="shared" ref="DY37:EJ37" si="97">SUM(DY3:DY36)</f>
        <v>31040.44</v>
      </c>
      <c r="DZ37" s="67">
        <f t="shared" si="97"/>
        <v>32345.001800000005</v>
      </c>
      <c r="EA37" s="67">
        <f t="shared" si="97"/>
        <v>32469.342093999992</v>
      </c>
      <c r="EB37" s="67">
        <f t="shared" si="97"/>
        <v>32855.748425180005</v>
      </c>
      <c r="EC37" s="67">
        <f t="shared" si="97"/>
        <v>32414.737696344404</v>
      </c>
      <c r="ED37" s="67">
        <f t="shared" si="97"/>
        <v>31434.693321408828</v>
      </c>
      <c r="EE37" s="67">
        <f t="shared" si="97"/>
        <v>26405.12891048277</v>
      </c>
      <c r="EF37" s="67">
        <f t="shared" si="97"/>
        <v>24011.28314611227</v>
      </c>
      <c r="EG37" s="67">
        <f t="shared" si="97"/>
        <v>22775.041713267801</v>
      </c>
      <c r="EH37" s="67">
        <f t="shared" si="97"/>
        <v>22190.48071118283</v>
      </c>
      <c r="EI37" s="67">
        <f t="shared" si="97"/>
        <v>21956.067375353075</v>
      </c>
      <c r="EJ37" s="67">
        <f t="shared" si="97"/>
        <v>15289.233629218439</v>
      </c>
    </row>
    <row r="38" spans="2:140" s="26" customFormat="1">
      <c r="B38" s="26" t="s">
        <v>451</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67">
        <v>507</v>
      </c>
      <c r="CJ38" s="67"/>
      <c r="CK38" s="67"/>
      <c r="CL38" s="67"/>
      <c r="CM38" s="67"/>
      <c r="CN38" s="67"/>
      <c r="CO38" s="67"/>
      <c r="CP38" s="67"/>
      <c r="CQ38" s="67"/>
      <c r="CR38" s="67"/>
      <c r="CS38" s="67"/>
      <c r="CT38" s="67"/>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DL38*(1+DM66)</f>
        <v>325.38</v>
      </c>
      <c r="DN38" s="67">
        <f>DM38*(1+DN66)</f>
        <v>331.88760000000002</v>
      </c>
      <c r="DO38" s="67">
        <f>DN38*(1+DO66)</f>
        <v>338.52535200000005</v>
      </c>
      <c r="DP38" s="67">
        <f>DO38</f>
        <v>338.52535200000005</v>
      </c>
      <c r="DQ38" s="67">
        <f>DP38</f>
        <v>338.52535200000005</v>
      </c>
      <c r="DR38" s="67">
        <f>DQ38</f>
        <v>338.52535200000005</v>
      </c>
      <c r="DS38" s="67"/>
      <c r="DT38" s="67">
        <f t="shared" ref="DT38" si="98">SUM(BW38:BZ38)</f>
        <v>1158</v>
      </c>
      <c r="DU38" s="67">
        <f>SUM(CA38:CD38)</f>
        <v>1184</v>
      </c>
      <c r="DV38" s="67">
        <f>SUM(CE38:CH38)</f>
        <v>1682</v>
      </c>
      <c r="DW38" s="67">
        <f>SUM(CI38:CL38)</f>
        <v>507</v>
      </c>
      <c r="DX38" s="67">
        <f t="shared" ref="DX38" si="99">SUM(CM38:CP38)</f>
        <v>0</v>
      </c>
      <c r="DY38" s="67">
        <f>+DX38*0.9</f>
        <v>0</v>
      </c>
      <c r="DZ38" s="67">
        <f t="shared" ref="DZ38:EJ38" si="100">+DY38*0.9</f>
        <v>0</v>
      </c>
      <c r="EA38" s="67">
        <f t="shared" si="100"/>
        <v>0</v>
      </c>
      <c r="EB38" s="67">
        <f t="shared" si="100"/>
        <v>0</v>
      </c>
      <c r="EC38" s="67">
        <f t="shared" si="100"/>
        <v>0</v>
      </c>
      <c r="ED38" s="67">
        <f t="shared" si="100"/>
        <v>0</v>
      </c>
      <c r="EE38" s="67">
        <f t="shared" si="100"/>
        <v>0</v>
      </c>
      <c r="EF38" s="67">
        <f t="shared" si="100"/>
        <v>0</v>
      </c>
      <c r="EG38" s="67">
        <f t="shared" si="100"/>
        <v>0</v>
      </c>
      <c r="EH38" s="67">
        <f t="shared" si="100"/>
        <v>0</v>
      </c>
      <c r="EI38" s="67">
        <f t="shared" si="100"/>
        <v>0</v>
      </c>
      <c r="EJ38" s="67">
        <f t="shared" si="100"/>
        <v>0</v>
      </c>
    </row>
    <row r="39" spans="2:140" s="15" customFormat="1">
      <c r="B39" s="32" t="s">
        <v>445</v>
      </c>
      <c r="C39" s="75">
        <f t="shared" ref="C39:J39" si="101">SUM(C37:C38)</f>
        <v>899.9</v>
      </c>
      <c r="D39" s="75">
        <f t="shared" si="101"/>
        <v>1008</v>
      </c>
      <c r="E39" s="75">
        <f t="shared" si="101"/>
        <v>1206.7</v>
      </c>
      <c r="F39" s="75">
        <f t="shared" si="101"/>
        <v>962</v>
      </c>
      <c r="G39" s="75">
        <f t="shared" si="101"/>
        <v>1008.5000000000001</v>
      </c>
      <c r="H39" s="75">
        <f t="shared" si="101"/>
        <v>1248.9000000000001</v>
      </c>
      <c r="I39" s="75">
        <f t="shared" si="101"/>
        <v>1499.3</v>
      </c>
      <c r="J39" s="75">
        <f t="shared" si="101"/>
        <v>1766.1000000000001</v>
      </c>
      <c r="K39" s="75">
        <f t="shared" ref="K39:S39" si="102">SUM(K37:K38)</f>
        <v>1761.3</v>
      </c>
      <c r="L39" s="75">
        <f t="shared" si="102"/>
        <v>2041.1</v>
      </c>
      <c r="M39" s="75">
        <f>SUM(M37:M38)</f>
        <v>2208.1999999999998</v>
      </c>
      <c r="N39" s="75">
        <f>SUM(N37:N38)</f>
        <v>2346.6</v>
      </c>
      <c r="O39" s="75">
        <f t="shared" si="102"/>
        <v>2342.8999999999996</v>
      </c>
      <c r="P39" s="75">
        <f t="shared" si="102"/>
        <v>2584.6</v>
      </c>
      <c r="Q39" s="75">
        <f t="shared" si="102"/>
        <v>2713</v>
      </c>
      <c r="R39" s="75">
        <f t="shared" si="102"/>
        <v>2909</v>
      </c>
      <c r="S39" s="75">
        <f t="shared" si="102"/>
        <v>2833</v>
      </c>
      <c r="T39" s="75">
        <f>SUM(T37,T38)</f>
        <v>3172</v>
      </c>
      <c r="U39" s="75">
        <f>SUM(U37,U38)</f>
        <v>3154</v>
      </c>
      <c r="V39" s="75">
        <f>SUM(V37,V38)</f>
        <v>3271</v>
      </c>
      <c r="W39" s="75">
        <f t="shared" ref="W39:AD39" si="103">SUM(W37:W38)</f>
        <v>3217</v>
      </c>
      <c r="X39" s="75">
        <f t="shared" si="103"/>
        <v>3604</v>
      </c>
      <c r="Y39" s="75">
        <f t="shared" si="103"/>
        <v>3612</v>
      </c>
      <c r="Z39" s="75">
        <f t="shared" si="103"/>
        <v>3835</v>
      </c>
      <c r="AA39" s="75">
        <f t="shared" si="103"/>
        <v>3687</v>
      </c>
      <c r="AB39" s="75">
        <f t="shared" si="103"/>
        <v>3728</v>
      </c>
      <c r="AC39" s="75">
        <f t="shared" si="103"/>
        <v>3611</v>
      </c>
      <c r="AD39" s="75">
        <f t="shared" si="103"/>
        <v>3745</v>
      </c>
      <c r="AE39" s="75">
        <f t="shared" ref="AE39:AN39" si="104">SUM(AE37:AE38)</f>
        <v>3613</v>
      </c>
      <c r="AF39" s="75">
        <f t="shared" si="104"/>
        <v>3764</v>
      </c>
      <c r="AG39" s="75">
        <f t="shared" si="104"/>
        <v>3875</v>
      </c>
      <c r="AH39" s="75">
        <f t="shared" si="104"/>
        <v>3751</v>
      </c>
      <c r="AI39" s="75">
        <f t="shared" si="104"/>
        <v>3308</v>
      </c>
      <c r="AJ39" s="75">
        <f t="shared" si="104"/>
        <v>3713</v>
      </c>
      <c r="AK39" s="75">
        <f t="shared" si="104"/>
        <v>3812</v>
      </c>
      <c r="AL39" s="75">
        <f t="shared" si="104"/>
        <v>3809</v>
      </c>
      <c r="AM39" s="75">
        <f t="shared" si="104"/>
        <v>3592</v>
      </c>
      <c r="AN39" s="75">
        <f t="shared" si="104"/>
        <v>3804</v>
      </c>
      <c r="AO39" s="75">
        <f t="shared" ref="AO39:AT39" si="105">SUM(AO37:AO38)</f>
        <v>3816</v>
      </c>
      <c r="AP39" s="75">
        <f t="shared" si="105"/>
        <v>3841</v>
      </c>
      <c r="AQ39" s="75">
        <f t="shared" si="105"/>
        <v>3706</v>
      </c>
      <c r="AR39" s="75">
        <f>SUM(AR37:AR38)</f>
        <v>3959</v>
      </c>
      <c r="AS39" s="75">
        <f>SUM(AS37:AS38)</f>
        <v>3861.2</v>
      </c>
      <c r="AT39" s="75">
        <f t="shared" si="105"/>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6">SUM(BV3:BV38)</f>
        <v>6230</v>
      </c>
      <c r="BW39" s="75">
        <f t="shared" si="106"/>
        <v>5557</v>
      </c>
      <c r="BX39" s="75">
        <f t="shared" si="106"/>
        <v>5871</v>
      </c>
      <c r="BY39" s="75">
        <f t="shared" si="106"/>
        <v>5737</v>
      </c>
      <c r="BZ39" s="75">
        <f t="shared" si="106"/>
        <v>6197</v>
      </c>
      <c r="CA39" s="75">
        <f t="shared" si="106"/>
        <v>6161</v>
      </c>
      <c r="CB39" s="75">
        <f t="shared" si="106"/>
        <v>6206</v>
      </c>
      <c r="CC39" s="75">
        <f t="shared" ref="CC39:CX39" si="107">SUM(CC3:CC38)</f>
        <v>6423</v>
      </c>
      <c r="CD39" s="75">
        <f t="shared" si="107"/>
        <v>6634</v>
      </c>
      <c r="CE39" s="75">
        <f t="shared" si="107"/>
        <v>5901</v>
      </c>
      <c r="CF39" s="75">
        <f t="shared" si="107"/>
        <v>6526</v>
      </c>
      <c r="CG39" s="75">
        <f t="shared" si="107"/>
        <v>6706</v>
      </c>
      <c r="CH39" s="75">
        <f t="shared" si="107"/>
        <v>6846</v>
      </c>
      <c r="CI39" s="75">
        <f t="shared" si="107"/>
        <v>6238</v>
      </c>
      <c r="CJ39" s="75">
        <f t="shared" si="107"/>
        <v>6281</v>
      </c>
      <c r="CK39" s="75">
        <f t="shared" si="107"/>
        <v>6237</v>
      </c>
      <c r="CL39" s="75">
        <f t="shared" si="107"/>
        <v>6552</v>
      </c>
      <c r="CM39" s="75">
        <f t="shared" si="107"/>
        <v>5846</v>
      </c>
      <c r="CN39" s="75">
        <f>SUM(CN3:CN38)</f>
        <v>6683</v>
      </c>
      <c r="CO39" s="75">
        <f t="shared" si="107"/>
        <v>6548</v>
      </c>
      <c r="CP39" s="75">
        <f t="shared" si="107"/>
        <v>7833</v>
      </c>
      <c r="CQ39" s="75">
        <f>SUM(CQ3:CQ38)</f>
        <v>7118</v>
      </c>
      <c r="CR39" s="75">
        <f t="shared" si="107"/>
        <v>8041</v>
      </c>
      <c r="CS39" s="75">
        <f t="shared" si="107"/>
        <v>7956</v>
      </c>
      <c r="CT39" s="75">
        <f t="shared" si="107"/>
        <v>8229</v>
      </c>
      <c r="CU39" s="75">
        <f t="shared" si="107"/>
        <v>7968</v>
      </c>
      <c r="CV39" s="75">
        <f t="shared" si="107"/>
        <v>8431</v>
      </c>
      <c r="CW39" s="75">
        <f t="shared" si="107"/>
        <v>8346</v>
      </c>
      <c r="CX39" s="75">
        <f t="shared" si="107"/>
        <v>8619</v>
      </c>
      <c r="CY39" s="75"/>
      <c r="CZ39" s="72"/>
      <c r="DA39" s="75">
        <f t="shared" ref="DA39:DG39" si="108">DA37+DA38</f>
        <v>3613.4</v>
      </c>
      <c r="DB39" s="75">
        <f t="shared" si="108"/>
        <v>4002.1</v>
      </c>
      <c r="DC39" s="75">
        <f t="shared" si="108"/>
        <v>5412.6</v>
      </c>
      <c r="DD39" s="75">
        <f t="shared" si="108"/>
        <v>8355.5</v>
      </c>
      <c r="DE39" s="75">
        <f t="shared" si="108"/>
        <v>10550.353999999999</v>
      </c>
      <c r="DF39" s="75">
        <f t="shared" si="108"/>
        <v>12430</v>
      </c>
      <c r="DG39" s="75">
        <f t="shared" si="108"/>
        <v>14268</v>
      </c>
      <c r="DH39" s="75">
        <f>DH37+DH38</f>
        <v>14771</v>
      </c>
      <c r="DI39" s="75">
        <f>DI37+DI38</f>
        <v>15003</v>
      </c>
      <c r="DJ39" s="75">
        <f>DJ37+DJ38</f>
        <v>14642</v>
      </c>
      <c r="DK39" s="75">
        <f t="shared" ref="DK39:DP39" si="109">DK38+DK37</f>
        <v>15053</v>
      </c>
      <c r="DL39" s="75">
        <f>DL38+DL37</f>
        <v>15512</v>
      </c>
      <c r="DM39" s="75">
        <f t="shared" si="109"/>
        <v>14148.139999999998</v>
      </c>
      <c r="DN39" s="75">
        <f t="shared" si="109"/>
        <v>15067.048099999998</v>
      </c>
      <c r="DO39" s="75">
        <f t="shared" si="109"/>
        <v>14223.988676999999</v>
      </c>
      <c r="DP39" s="75">
        <f t="shared" si="109"/>
        <v>13321.69845075</v>
      </c>
      <c r="DQ39" s="75">
        <f>DQ38+DQ37</f>
        <v>13096.9455305625</v>
      </c>
      <c r="DR39" s="75">
        <f>DR38+DR37</f>
        <v>727.15308778125018</v>
      </c>
      <c r="DS39" s="75">
        <f>DS38+DS37</f>
        <v>0</v>
      </c>
      <c r="DT39" s="75">
        <f>DT38+DT37</f>
        <v>23362</v>
      </c>
      <c r="DU39" s="75">
        <f t="shared" ref="DU39:EJ39" si="110">DU38+DU37</f>
        <v>25424</v>
      </c>
      <c r="DV39" s="75">
        <f t="shared" si="110"/>
        <v>25979</v>
      </c>
      <c r="DW39" s="75">
        <f t="shared" si="110"/>
        <v>25287</v>
      </c>
      <c r="DX39" s="75">
        <f t="shared" si="110"/>
        <v>29127</v>
      </c>
      <c r="DY39" s="75">
        <f t="shared" si="110"/>
        <v>31040.44</v>
      </c>
      <c r="DZ39" s="75">
        <f t="shared" si="110"/>
        <v>32345.001800000005</v>
      </c>
      <c r="EA39" s="75">
        <f t="shared" si="110"/>
        <v>32469.342093999992</v>
      </c>
      <c r="EB39" s="75">
        <f t="shared" si="110"/>
        <v>32855.748425180005</v>
      </c>
      <c r="EC39" s="75">
        <f t="shared" si="110"/>
        <v>32414.737696344404</v>
      </c>
      <c r="ED39" s="75">
        <f t="shared" si="110"/>
        <v>31434.693321408828</v>
      </c>
      <c r="EE39" s="75">
        <f t="shared" si="110"/>
        <v>26405.12891048277</v>
      </c>
      <c r="EF39" s="75">
        <f t="shared" si="110"/>
        <v>24011.28314611227</v>
      </c>
      <c r="EG39" s="75">
        <f t="shared" si="110"/>
        <v>22775.041713267801</v>
      </c>
      <c r="EH39" s="75">
        <f t="shared" si="110"/>
        <v>22190.48071118283</v>
      </c>
      <c r="EI39" s="75">
        <f t="shared" si="110"/>
        <v>21956.067375353075</v>
      </c>
      <c r="EJ39" s="75">
        <f t="shared" si="110"/>
        <v>15289.233629218439</v>
      </c>
    </row>
    <row r="40" spans="2:140" s="15" customFormat="1">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67">
        <v>951</v>
      </c>
      <c r="CJ40" s="67">
        <v>926</v>
      </c>
      <c r="CK40" s="67">
        <v>1003</v>
      </c>
      <c r="CL40" s="67">
        <v>1071</v>
      </c>
      <c r="CM40" s="67">
        <f t="shared" ref="CM40:CP40" si="111">+CM39-CM41</f>
        <v>876.90000000000055</v>
      </c>
      <c r="CN40" s="67">
        <f t="shared" si="111"/>
        <v>1002.4499999999998</v>
      </c>
      <c r="CO40" s="67">
        <f t="shared" si="111"/>
        <v>982.19999999999982</v>
      </c>
      <c r="CP40" s="67">
        <f t="shared" si="111"/>
        <v>1174.9499999999998</v>
      </c>
      <c r="CQ40" s="67"/>
      <c r="CR40" s="67"/>
      <c r="CS40" s="67"/>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12">DL39-DL41</f>
        <v>2326.8000000000011</v>
      </c>
      <c r="DM40" s="67">
        <f t="shared" si="112"/>
        <v>2122.2209999999995</v>
      </c>
      <c r="DN40" s="67">
        <f t="shared" si="112"/>
        <v>2260.0572150000007</v>
      </c>
      <c r="DO40" s="67">
        <f t="shared" si="112"/>
        <v>2133.5983015500005</v>
      </c>
      <c r="DP40" s="67">
        <f t="shared" si="112"/>
        <v>1998.2547676124996</v>
      </c>
      <c r="DQ40" s="67">
        <f t="shared" si="112"/>
        <v>1964.5418295843756</v>
      </c>
      <c r="DR40" s="67">
        <f t="shared" si="112"/>
        <v>109.07296316718759</v>
      </c>
      <c r="DS40" s="67"/>
      <c r="DT40" s="67"/>
      <c r="DU40" s="67">
        <v>3362</v>
      </c>
      <c r="DV40" s="67">
        <v>3994</v>
      </c>
      <c r="DW40" s="67">
        <f>SUM(CI40:CL40)</f>
        <v>3951</v>
      </c>
      <c r="DX40" s="72"/>
      <c r="DY40" s="72"/>
      <c r="DZ40" s="72"/>
      <c r="EA40" s="72"/>
      <c r="EB40" s="72"/>
      <c r="EC40" s="72"/>
      <c r="ED40" s="72"/>
      <c r="EE40" s="72"/>
    </row>
    <row r="41" spans="2:140" s="15" customFormat="1">
      <c r="B41" s="15" t="s">
        <v>100</v>
      </c>
      <c r="C41" s="67">
        <f>C39-C40</f>
        <v>796.3</v>
      </c>
      <c r="D41" s="67">
        <f>D39-D40</f>
        <v>876</v>
      </c>
      <c r="E41" s="67">
        <f t="shared" ref="E41:Y41" si="113">E39-E40</f>
        <v>1006</v>
      </c>
      <c r="F41" s="67"/>
      <c r="G41" s="67">
        <f t="shared" si="113"/>
        <v>904.90000000000009</v>
      </c>
      <c r="H41" s="67">
        <f t="shared" si="113"/>
        <v>1117</v>
      </c>
      <c r="I41" s="67">
        <f t="shared" si="113"/>
        <v>1298.5999999999999</v>
      </c>
      <c r="J41" s="67">
        <f t="shared" si="113"/>
        <v>1512.8000000000002</v>
      </c>
      <c r="K41" s="67">
        <f t="shared" si="113"/>
        <v>1482.9</v>
      </c>
      <c r="L41" s="67">
        <f t="shared" si="113"/>
        <v>1716.8999999999999</v>
      </c>
      <c r="M41" s="67">
        <f t="shared" si="113"/>
        <v>1872.1999999999998</v>
      </c>
      <c r="N41" s="67">
        <f t="shared" si="113"/>
        <v>1963.1</v>
      </c>
      <c r="O41" s="67">
        <f t="shared" si="113"/>
        <v>1971.3999999999996</v>
      </c>
      <c r="P41" s="67">
        <f t="shared" si="113"/>
        <v>2149.6</v>
      </c>
      <c r="Q41" s="67">
        <f t="shared" si="113"/>
        <v>2266</v>
      </c>
      <c r="R41" s="67">
        <f t="shared" si="113"/>
        <v>2433</v>
      </c>
      <c r="S41" s="67">
        <f t="shared" si="113"/>
        <v>2344</v>
      </c>
      <c r="T41" s="67">
        <f t="shared" si="113"/>
        <v>2642</v>
      </c>
      <c r="U41" s="67">
        <f t="shared" si="113"/>
        <v>2649</v>
      </c>
      <c r="V41" s="67">
        <f t="shared" si="113"/>
        <v>2760</v>
      </c>
      <c r="W41" s="67">
        <f t="shared" si="113"/>
        <v>2665</v>
      </c>
      <c r="X41" s="67">
        <f t="shared" si="113"/>
        <v>3112</v>
      </c>
      <c r="Y41" s="67">
        <f t="shared" si="113"/>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4">+AL39-AL40</f>
        <v>3274</v>
      </c>
      <c r="AM41" s="67">
        <f t="shared" si="114"/>
        <v>3088</v>
      </c>
      <c r="AN41" s="67">
        <f t="shared" si="114"/>
        <v>3255</v>
      </c>
      <c r="AO41" s="67">
        <f t="shared" si="114"/>
        <v>3232</v>
      </c>
      <c r="AP41" s="67">
        <f t="shared" si="114"/>
        <v>3273</v>
      </c>
      <c r="AQ41" s="67">
        <f t="shared" si="114"/>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5">BX39-BX40</f>
        <v>5135</v>
      </c>
      <c r="BY41" s="67">
        <f t="shared" si="115"/>
        <v>5737</v>
      </c>
      <c r="BZ41" s="67">
        <f t="shared" si="115"/>
        <v>5407</v>
      </c>
      <c r="CA41" s="67">
        <f t="shared" si="115"/>
        <v>5390</v>
      </c>
      <c r="CB41" s="67">
        <f t="shared" si="115"/>
        <v>5448</v>
      </c>
      <c r="CC41" s="67">
        <f>CC39-CC40</f>
        <v>5549</v>
      </c>
      <c r="CD41" s="67">
        <f>CD39-CD40</f>
        <v>5675</v>
      </c>
      <c r="CE41" s="67">
        <f>CE39-CE40</f>
        <v>5034</v>
      </c>
      <c r="CF41" s="67">
        <f t="shared" ref="CF41:CI41" si="116">CF39-CF40</f>
        <v>5492</v>
      </c>
      <c r="CG41" s="67">
        <f t="shared" si="116"/>
        <v>5709</v>
      </c>
      <c r="CH41" s="67">
        <f t="shared" si="116"/>
        <v>5750</v>
      </c>
      <c r="CI41" s="67">
        <f t="shared" si="116"/>
        <v>5287</v>
      </c>
      <c r="CJ41" s="67">
        <f>+CJ39-CJ40</f>
        <v>5355</v>
      </c>
      <c r="CK41" s="67">
        <f>+CK39-CK40</f>
        <v>5234</v>
      </c>
      <c r="CL41" s="67">
        <f>+CL39-CL40</f>
        <v>5481</v>
      </c>
      <c r="CM41" s="67">
        <f t="shared" ref="CM41:CP41" si="117">+CM39*0.85</f>
        <v>4969.0999999999995</v>
      </c>
      <c r="CN41" s="67">
        <f t="shared" si="117"/>
        <v>5680.55</v>
      </c>
      <c r="CO41" s="67">
        <f t="shared" si="117"/>
        <v>5565.8</v>
      </c>
      <c r="CP41" s="67">
        <f t="shared" si="117"/>
        <v>6658.05</v>
      </c>
      <c r="CQ41" s="67"/>
      <c r="CR41" s="67"/>
      <c r="CS41" s="67"/>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8">DL39*DL53</f>
        <v>13185.199999999999</v>
      </c>
      <c r="DM41" s="67">
        <f t="shared" si="118"/>
        <v>12025.918999999998</v>
      </c>
      <c r="DN41" s="67">
        <f t="shared" si="118"/>
        <v>12806.990884999997</v>
      </c>
      <c r="DO41" s="67">
        <f t="shared" si="118"/>
        <v>12090.390375449999</v>
      </c>
      <c r="DP41" s="67">
        <f t="shared" si="118"/>
        <v>11323.443683137501</v>
      </c>
      <c r="DQ41" s="67">
        <f t="shared" si="118"/>
        <v>11132.403700978124</v>
      </c>
      <c r="DR41" s="67">
        <f t="shared" si="118"/>
        <v>618.08012461406258</v>
      </c>
      <c r="DS41" s="67"/>
      <c r="DT41" s="67"/>
      <c r="DU41" s="67">
        <f>DU39-DU40</f>
        <v>22062</v>
      </c>
      <c r="DV41" s="67">
        <f>DV39-DV40</f>
        <v>21985</v>
      </c>
      <c r="DW41" s="67">
        <f>DW39-DW40</f>
        <v>21336</v>
      </c>
      <c r="DX41" s="67">
        <f>+DX39*0.85</f>
        <v>24757.95</v>
      </c>
      <c r="DY41" s="67">
        <f t="shared" ref="DY41:EJ41" si="119">+DY39*0.85</f>
        <v>26384.374</v>
      </c>
      <c r="DZ41" s="67">
        <f t="shared" si="119"/>
        <v>27493.251530000005</v>
      </c>
      <c r="EA41" s="67">
        <f t="shared" si="119"/>
        <v>27598.940779899993</v>
      </c>
      <c r="EB41" s="67">
        <f t="shared" si="119"/>
        <v>27927.386161403003</v>
      </c>
      <c r="EC41" s="67">
        <f t="shared" si="119"/>
        <v>27552.527041892743</v>
      </c>
      <c r="ED41" s="67">
        <f t="shared" si="119"/>
        <v>26719.489323197504</v>
      </c>
      <c r="EE41" s="67">
        <f t="shared" si="119"/>
        <v>22444.359573910355</v>
      </c>
      <c r="EF41" s="67">
        <f t="shared" si="119"/>
        <v>20409.590674195428</v>
      </c>
      <c r="EG41" s="67">
        <f t="shared" si="119"/>
        <v>19358.78545627763</v>
      </c>
      <c r="EH41" s="67">
        <f t="shared" si="119"/>
        <v>18861.908604505406</v>
      </c>
      <c r="EI41" s="67">
        <f t="shared" si="119"/>
        <v>18662.657269050113</v>
      </c>
      <c r="EJ41" s="67">
        <f t="shared" si="119"/>
        <v>12995.848584835672</v>
      </c>
    </row>
    <row r="42" spans="2:140" s="15" customFormat="1">
      <c r="B42" s="15" t="s">
        <v>446</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67">
        <v>934</v>
      </c>
      <c r="CJ42" s="67">
        <v>1020</v>
      </c>
      <c r="CK42" s="67">
        <v>1096</v>
      </c>
      <c r="CL42" s="67">
        <v>1291</v>
      </c>
      <c r="CM42" s="67">
        <f t="shared" ref="CM42:CM43" si="120">+CI42</f>
        <v>934</v>
      </c>
      <c r="CN42" s="67">
        <f t="shared" ref="CN42:CN43" si="121">+CJ42</f>
        <v>1020</v>
      </c>
      <c r="CO42" s="67">
        <f t="shared" ref="CO42:CO43" si="122">+CK42</f>
        <v>1096</v>
      </c>
      <c r="CP42" s="67">
        <f t="shared" ref="CP42:CP43" si="123">+CL42</f>
        <v>1291</v>
      </c>
      <c r="CQ42" s="67"/>
      <c r="CR42" s="67"/>
      <c r="CS42" s="67"/>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24">SUM(CI42:CL42)</f>
        <v>4341</v>
      </c>
      <c r="DX42" s="72"/>
      <c r="DY42" s="72"/>
      <c r="DZ42" s="72"/>
      <c r="EA42" s="72"/>
      <c r="EB42" s="72"/>
      <c r="EC42" s="72"/>
      <c r="ED42" s="72"/>
      <c r="EE42" s="72"/>
    </row>
    <row r="43" spans="2:140" s="15" customFormat="1">
      <c r="B43" s="15" t="s">
        <v>447</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67">
        <v>1213</v>
      </c>
      <c r="CJ43" s="67">
        <v>1313</v>
      </c>
      <c r="CK43" s="67">
        <v>1276</v>
      </c>
      <c r="CL43" s="67">
        <v>1468</v>
      </c>
      <c r="CM43" s="67">
        <f t="shared" si="120"/>
        <v>1213</v>
      </c>
      <c r="CN43" s="67">
        <f t="shared" si="121"/>
        <v>1313</v>
      </c>
      <c r="CO43" s="67">
        <f t="shared" si="122"/>
        <v>1276</v>
      </c>
      <c r="CP43" s="67">
        <f t="shared" si="123"/>
        <v>1468</v>
      </c>
      <c r="CQ43" s="67"/>
      <c r="CR43" s="67"/>
      <c r="CS43" s="67"/>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+DW43*0.95</f>
        <v>5006.5</v>
      </c>
      <c r="DY43" s="67">
        <f t="shared" ref="DY43:EJ43" si="125">+DX43*0.95</f>
        <v>4756.1750000000002</v>
      </c>
      <c r="DZ43" s="67">
        <f t="shared" si="125"/>
        <v>4518.36625</v>
      </c>
      <c r="EA43" s="67">
        <f t="shared" si="125"/>
        <v>4292.4479375000001</v>
      </c>
      <c r="EB43" s="67">
        <f t="shared" si="125"/>
        <v>4077.825540625</v>
      </c>
      <c r="EC43" s="67">
        <f t="shared" si="125"/>
        <v>3873.9342635937501</v>
      </c>
      <c r="ED43" s="67">
        <f t="shared" si="125"/>
        <v>3680.2375504140623</v>
      </c>
      <c r="EE43" s="67">
        <f t="shared" si="125"/>
        <v>3496.2256728933589</v>
      </c>
      <c r="EF43" s="67">
        <f t="shared" si="125"/>
        <v>3321.4143892486909</v>
      </c>
      <c r="EG43" s="67">
        <f t="shared" si="125"/>
        <v>3155.3436697862562</v>
      </c>
      <c r="EH43" s="67">
        <f t="shared" si="125"/>
        <v>2997.5764862969431</v>
      </c>
      <c r="EI43" s="67">
        <f t="shared" si="125"/>
        <v>2847.6976619820957</v>
      </c>
      <c r="EJ43" s="67">
        <f t="shared" si="125"/>
        <v>2705.3127788829906</v>
      </c>
    </row>
    <row r="44" spans="2:140" s="15" customFormat="1">
      <c r="B44" s="15" t="s">
        <v>634</v>
      </c>
      <c r="C44" s="67">
        <f>C43+C42</f>
        <v>449.20000000000005</v>
      </c>
      <c r="D44" s="67">
        <f>D43+D42</f>
        <v>555</v>
      </c>
      <c r="E44" s="67">
        <f t="shared" ref="E44:Z44" si="126">E43+E42</f>
        <v>681</v>
      </c>
      <c r="F44" s="67"/>
      <c r="G44" s="67">
        <f t="shared" si="126"/>
        <v>447.5</v>
      </c>
      <c r="H44" s="67">
        <f t="shared" si="126"/>
        <v>552.4</v>
      </c>
      <c r="I44" s="67">
        <f t="shared" si="126"/>
        <v>677.6</v>
      </c>
      <c r="J44" s="67">
        <f t="shared" si="126"/>
        <v>847.59999999999991</v>
      </c>
      <c r="K44" s="67">
        <f t="shared" si="126"/>
        <v>717.3</v>
      </c>
      <c r="L44" s="67">
        <f t="shared" si="126"/>
        <v>822.1</v>
      </c>
      <c r="M44" s="67">
        <f t="shared" si="126"/>
        <v>868.40000000000009</v>
      </c>
      <c r="N44" s="67">
        <f t="shared" si="126"/>
        <v>1106.5999999999999</v>
      </c>
      <c r="O44" s="67">
        <f t="shared" si="126"/>
        <v>945.9</v>
      </c>
      <c r="P44" s="67">
        <f t="shared" si="126"/>
        <v>1047.0999999999999</v>
      </c>
      <c r="Q44" s="67">
        <f t="shared" si="126"/>
        <v>1130</v>
      </c>
      <c r="R44" s="67">
        <f t="shared" si="126"/>
        <v>1421</v>
      </c>
      <c r="S44" s="67">
        <f t="shared" si="126"/>
        <v>1098</v>
      </c>
      <c r="T44" s="67">
        <f t="shared" si="126"/>
        <v>1210</v>
      </c>
      <c r="U44" s="67">
        <f t="shared" si="126"/>
        <v>1215</v>
      </c>
      <c r="V44" s="67">
        <f t="shared" si="126"/>
        <v>1571</v>
      </c>
      <c r="W44" s="67">
        <f t="shared" si="126"/>
        <v>1276</v>
      </c>
      <c r="X44" s="67">
        <f t="shared" si="126"/>
        <v>1528</v>
      </c>
      <c r="Y44" s="67">
        <f t="shared" si="126"/>
        <v>1617</v>
      </c>
      <c r="Z44" s="67">
        <f t="shared" si="126"/>
        <v>2004</v>
      </c>
      <c r="AA44" s="67">
        <f t="shared" ref="AA44:AJ44" si="127">AA43+AA42</f>
        <v>1551</v>
      </c>
      <c r="AB44" s="67">
        <f t="shared" si="127"/>
        <v>1617</v>
      </c>
      <c r="AC44" s="67">
        <f t="shared" si="127"/>
        <v>1503</v>
      </c>
      <c r="AD44" s="67">
        <f t="shared" si="127"/>
        <v>1775</v>
      </c>
      <c r="AE44" s="67">
        <f t="shared" si="127"/>
        <v>1523</v>
      </c>
      <c r="AF44" s="67">
        <f>AF43+AF42</f>
        <v>1673</v>
      </c>
      <c r="AG44" s="67">
        <f t="shared" si="127"/>
        <v>1590</v>
      </c>
      <c r="AH44" s="67">
        <f t="shared" si="127"/>
        <v>1832</v>
      </c>
      <c r="AI44" s="67">
        <f t="shared" si="127"/>
        <v>1379</v>
      </c>
      <c r="AJ44" s="67">
        <f t="shared" si="127"/>
        <v>1548</v>
      </c>
      <c r="AK44" s="67">
        <f t="shared" ref="AK44:AT44" si="128">AK43+AK42</f>
        <v>1526</v>
      </c>
      <c r="AL44" s="67">
        <f t="shared" si="128"/>
        <v>2023</v>
      </c>
      <c r="AM44" s="67">
        <f t="shared" si="128"/>
        <v>1490</v>
      </c>
      <c r="AN44" s="67">
        <f t="shared" si="128"/>
        <v>1610</v>
      </c>
      <c r="AO44" s="67">
        <f t="shared" si="128"/>
        <v>1631</v>
      </c>
      <c r="AP44" s="67">
        <f t="shared" si="128"/>
        <v>1967</v>
      </c>
      <c r="AQ44" s="67">
        <f>AQ43+AQ42</f>
        <v>1714</v>
      </c>
      <c r="AR44" s="67">
        <f>AR43+AR42</f>
        <v>1919</v>
      </c>
      <c r="AS44" s="67">
        <f t="shared" si="128"/>
        <v>942</v>
      </c>
      <c r="AT44" s="67">
        <f t="shared" si="128"/>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9">BV42+BV43</f>
        <v>2694</v>
      </c>
      <c r="BW44" s="67">
        <f t="shared" si="129"/>
        <v>2008</v>
      </c>
      <c r="BX44" s="67">
        <f t="shared" ref="BX44:CB44" si="130">BX42+BX43</f>
        <v>2162</v>
      </c>
      <c r="BY44" s="67">
        <f t="shared" si="130"/>
        <v>0</v>
      </c>
      <c r="BZ44" s="67">
        <f t="shared" si="130"/>
        <v>2786</v>
      </c>
      <c r="CA44" s="67">
        <f t="shared" si="130"/>
        <v>2214</v>
      </c>
      <c r="CB44" s="67">
        <f t="shared" si="130"/>
        <v>2201</v>
      </c>
      <c r="CC44" s="67">
        <f t="shared" ref="CC44" si="131">CC42+CC43</f>
        <v>2366</v>
      </c>
      <c r="CD44" s="67">
        <f t="shared" ref="CD44" si="132">CD42+CD43</f>
        <v>2947</v>
      </c>
      <c r="CE44" s="67">
        <f t="shared" ref="CE44:CH44" si="133">CE42+CE43</f>
        <v>2170</v>
      </c>
      <c r="CF44" s="67">
        <f t="shared" si="133"/>
        <v>2381</v>
      </c>
      <c r="CG44" s="67">
        <f t="shared" si="133"/>
        <v>2257</v>
      </c>
      <c r="CH44" s="67">
        <f t="shared" si="133"/>
        <v>2753</v>
      </c>
      <c r="CI44" s="67">
        <f>CI42+CI43</f>
        <v>2147</v>
      </c>
      <c r="CJ44" s="67">
        <f>CJ42+CJ43</f>
        <v>2333</v>
      </c>
      <c r="CK44" s="67">
        <f t="shared" ref="CK44:CP44" si="134">CK42+CK43</f>
        <v>2372</v>
      </c>
      <c r="CL44" s="67">
        <f t="shared" si="134"/>
        <v>2759</v>
      </c>
      <c r="CM44" s="67">
        <f t="shared" si="134"/>
        <v>2147</v>
      </c>
      <c r="CN44" s="67">
        <f t="shared" si="134"/>
        <v>2333</v>
      </c>
      <c r="CO44" s="67">
        <f t="shared" si="134"/>
        <v>2372</v>
      </c>
      <c r="CP44" s="67">
        <f t="shared" si="134"/>
        <v>2759</v>
      </c>
      <c r="CQ44" s="67"/>
      <c r="CR44" s="67"/>
      <c r="CS44" s="67"/>
      <c r="CT44" s="67"/>
      <c r="CU44" s="67"/>
      <c r="CV44" s="67"/>
      <c r="CW44" s="67"/>
      <c r="CX44" s="67"/>
      <c r="CY44" s="67"/>
      <c r="CZ44" s="72"/>
      <c r="DA44" s="67">
        <f t="shared" ref="DA44:DM44" si="135">DA43+DA42</f>
        <v>1696</v>
      </c>
      <c r="DB44" s="67">
        <f t="shared" si="135"/>
        <v>1839</v>
      </c>
      <c r="DC44" s="67">
        <f t="shared" si="135"/>
        <v>2566</v>
      </c>
      <c r="DD44" s="67">
        <f t="shared" si="135"/>
        <v>3514</v>
      </c>
      <c r="DE44" s="67">
        <f t="shared" si="135"/>
        <v>4544</v>
      </c>
      <c r="DF44" s="67">
        <f t="shared" si="135"/>
        <v>5094</v>
      </c>
      <c r="DG44" s="67">
        <f t="shared" si="135"/>
        <v>6425</v>
      </c>
      <c r="DH44" s="67">
        <f t="shared" si="135"/>
        <v>6446</v>
      </c>
      <c r="DI44" s="67">
        <f>DI43+DI42</f>
        <v>6618</v>
      </c>
      <c r="DJ44" s="67">
        <f>DJ43+DJ42</f>
        <v>6476</v>
      </c>
      <c r="DK44" s="67">
        <f>DK43+DK42</f>
        <v>6698</v>
      </c>
      <c r="DL44" s="67">
        <f>DL43+DL42</f>
        <v>6542</v>
      </c>
      <c r="DM44" s="67">
        <f t="shared" si="135"/>
        <v>2900.3686999999995</v>
      </c>
      <c r="DN44" s="67">
        <f t="shared" ref="DN44:DT44" si="136">DN43+DN42</f>
        <v>3164.0801009999996</v>
      </c>
      <c r="DO44" s="67">
        <f t="shared" si="136"/>
        <v>3129.2775089399997</v>
      </c>
      <c r="DP44" s="67">
        <f t="shared" si="136"/>
        <v>3063.9906436725</v>
      </c>
      <c r="DQ44" s="67">
        <f t="shared" si="136"/>
        <v>3063.9906436725</v>
      </c>
      <c r="DR44" s="67">
        <f t="shared" si="136"/>
        <v>3063.9906436725</v>
      </c>
      <c r="DS44" s="67">
        <f t="shared" si="136"/>
        <v>0</v>
      </c>
      <c r="DT44" s="67">
        <f t="shared" si="136"/>
        <v>0</v>
      </c>
      <c r="DU44" s="67">
        <f t="shared" ref="DU44:DV44" si="137">DU43+DU42</f>
        <v>9728</v>
      </c>
      <c r="DV44" s="67">
        <f t="shared" si="137"/>
        <v>9561</v>
      </c>
      <c r="DW44" s="67">
        <f t="shared" ref="DW44:DX44" si="138">DW43+DW42</f>
        <v>9611</v>
      </c>
      <c r="DX44" s="67">
        <f t="shared" si="138"/>
        <v>5006.5</v>
      </c>
      <c r="DY44" s="67">
        <f t="shared" ref="DY44:EJ44" si="139">DY43+DY42</f>
        <v>4756.1750000000002</v>
      </c>
      <c r="DZ44" s="67">
        <f t="shared" si="139"/>
        <v>4518.36625</v>
      </c>
      <c r="EA44" s="67">
        <f t="shared" si="139"/>
        <v>4292.4479375000001</v>
      </c>
      <c r="EB44" s="67">
        <f t="shared" si="139"/>
        <v>4077.825540625</v>
      </c>
      <c r="EC44" s="67">
        <f t="shared" si="139"/>
        <v>3873.9342635937501</v>
      </c>
      <c r="ED44" s="67">
        <f t="shared" si="139"/>
        <v>3680.2375504140623</v>
      </c>
      <c r="EE44" s="67">
        <f t="shared" si="139"/>
        <v>3496.2256728933589</v>
      </c>
      <c r="EF44" s="67">
        <f t="shared" si="139"/>
        <v>3321.4143892486909</v>
      </c>
      <c r="EG44" s="67">
        <f t="shared" si="139"/>
        <v>3155.3436697862562</v>
      </c>
      <c r="EH44" s="67">
        <f t="shared" si="139"/>
        <v>2997.5764862969431</v>
      </c>
      <c r="EI44" s="67">
        <f t="shared" si="139"/>
        <v>2847.6976619820957</v>
      </c>
      <c r="EJ44" s="67">
        <f t="shared" si="139"/>
        <v>2705.3127788829906</v>
      </c>
    </row>
    <row r="45" spans="2:140" s="15" customFormat="1">
      <c r="B45" s="15" t="s">
        <v>706</v>
      </c>
      <c r="C45" s="67">
        <f>C41-C44</f>
        <v>347.09999999999991</v>
      </c>
      <c r="D45" s="67">
        <f>D41-D44</f>
        <v>321</v>
      </c>
      <c r="E45" s="67">
        <f t="shared" ref="E45:Z45" si="140">E41-E44</f>
        <v>325</v>
      </c>
      <c r="F45" s="67"/>
      <c r="G45" s="67">
        <f t="shared" si="140"/>
        <v>457.40000000000009</v>
      </c>
      <c r="H45" s="67">
        <f t="shared" si="140"/>
        <v>564.6</v>
      </c>
      <c r="I45" s="67">
        <f t="shared" si="140"/>
        <v>620.99999999999989</v>
      </c>
      <c r="J45" s="67">
        <f t="shared" si="140"/>
        <v>665.20000000000027</v>
      </c>
      <c r="K45" s="67">
        <f t="shared" si="140"/>
        <v>765.60000000000014</v>
      </c>
      <c r="L45" s="67">
        <f t="shared" si="140"/>
        <v>894.79999999999984</v>
      </c>
      <c r="M45" s="67">
        <f t="shared" si="140"/>
        <v>1003.7999999999997</v>
      </c>
      <c r="N45" s="67">
        <f t="shared" si="140"/>
        <v>856.5</v>
      </c>
      <c r="O45" s="67">
        <f t="shared" si="140"/>
        <v>1025.4999999999995</v>
      </c>
      <c r="P45" s="67">
        <f t="shared" si="140"/>
        <v>1102.5</v>
      </c>
      <c r="Q45" s="67">
        <f t="shared" si="140"/>
        <v>1136</v>
      </c>
      <c r="R45" s="67">
        <f t="shared" si="140"/>
        <v>1012</v>
      </c>
      <c r="S45" s="67">
        <f t="shared" si="140"/>
        <v>1246</v>
      </c>
      <c r="T45" s="67">
        <f t="shared" si="140"/>
        <v>1432</v>
      </c>
      <c r="U45" s="67">
        <f t="shared" si="140"/>
        <v>1434</v>
      </c>
      <c r="V45" s="67">
        <f t="shared" si="140"/>
        <v>1189</v>
      </c>
      <c r="W45" s="67">
        <f t="shared" si="140"/>
        <v>1389</v>
      </c>
      <c r="X45" s="67">
        <f t="shared" si="140"/>
        <v>1584</v>
      </c>
      <c r="Y45" s="67">
        <f t="shared" si="140"/>
        <v>1510</v>
      </c>
      <c r="Z45" s="67">
        <f t="shared" si="140"/>
        <v>1280</v>
      </c>
      <c r="AA45" s="67">
        <f t="shared" ref="AA45:AJ45" si="141">AA41-AA44</f>
        <v>1577</v>
      </c>
      <c r="AB45" s="67">
        <f t="shared" si="141"/>
        <v>1565</v>
      </c>
      <c r="AC45" s="67">
        <f t="shared" si="141"/>
        <v>1523</v>
      </c>
      <c r="AD45" s="67">
        <f t="shared" si="141"/>
        <v>1405</v>
      </c>
      <c r="AE45" s="67">
        <f t="shared" si="141"/>
        <v>1548</v>
      </c>
      <c r="AF45" s="67">
        <f>AF41-AF44</f>
        <v>1579</v>
      </c>
      <c r="AG45" s="67">
        <f t="shared" si="141"/>
        <v>1695</v>
      </c>
      <c r="AH45" s="67">
        <f t="shared" si="141"/>
        <v>1370</v>
      </c>
      <c r="AI45" s="67">
        <f t="shared" si="141"/>
        <v>1455</v>
      </c>
      <c r="AJ45" s="67">
        <f t="shared" si="141"/>
        <v>1638</v>
      </c>
      <c r="AK45" s="67">
        <f t="shared" ref="AK45:AT45" si="142">AK41-AK44</f>
        <v>1744</v>
      </c>
      <c r="AL45" s="67">
        <f t="shared" si="142"/>
        <v>1251</v>
      </c>
      <c r="AM45" s="67">
        <f t="shared" si="142"/>
        <v>1598</v>
      </c>
      <c r="AN45" s="67">
        <f t="shared" si="142"/>
        <v>1645</v>
      </c>
      <c r="AO45" s="67">
        <f t="shared" si="142"/>
        <v>1601</v>
      </c>
      <c r="AP45" s="67">
        <f t="shared" si="142"/>
        <v>1306</v>
      </c>
      <c r="AQ45" s="67">
        <f>AQ41-AQ44</f>
        <v>1452</v>
      </c>
      <c r="AR45" s="67">
        <f>AR41-AR44</f>
        <v>1471</v>
      </c>
      <c r="AS45" s="67">
        <f t="shared" si="142"/>
        <v>2340.02</v>
      </c>
      <c r="AT45" s="67">
        <f t="shared" si="142"/>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43">BV41-BV44</f>
        <v>2717</v>
      </c>
      <c r="BW45" s="67">
        <f t="shared" si="143"/>
        <v>2770</v>
      </c>
      <c r="BX45" s="67">
        <f t="shared" ref="BX45:CB45" si="144">BX41-BX44</f>
        <v>2973</v>
      </c>
      <c r="BY45" s="67">
        <f t="shared" si="144"/>
        <v>5737</v>
      </c>
      <c r="BZ45" s="67">
        <f t="shared" si="144"/>
        <v>2621</v>
      </c>
      <c r="CA45" s="67">
        <f t="shared" si="144"/>
        <v>3176</v>
      </c>
      <c r="CB45" s="67">
        <f t="shared" si="144"/>
        <v>3247</v>
      </c>
      <c r="CC45" s="67">
        <f t="shared" ref="CC45" si="145">CC41-CC44</f>
        <v>3183</v>
      </c>
      <c r="CD45" s="67">
        <f t="shared" ref="CD45" si="146">CD41-CD44</f>
        <v>2728</v>
      </c>
      <c r="CE45" s="67">
        <f t="shared" ref="CE45:CH45" si="147">CE41-CE44</f>
        <v>2864</v>
      </c>
      <c r="CF45" s="67">
        <f t="shared" si="147"/>
        <v>3111</v>
      </c>
      <c r="CG45" s="67">
        <f t="shared" si="147"/>
        <v>3452</v>
      </c>
      <c r="CH45" s="67">
        <f t="shared" si="147"/>
        <v>2997</v>
      </c>
      <c r="CI45" s="67">
        <f>CI41-CI44</f>
        <v>3140</v>
      </c>
      <c r="CJ45" s="67">
        <f>CJ41-CJ44</f>
        <v>3022</v>
      </c>
      <c r="CK45" s="67">
        <f t="shared" ref="CK45:CP45" si="148">CK41-CK44</f>
        <v>2862</v>
      </c>
      <c r="CL45" s="67">
        <f>CL41-CL44</f>
        <v>2722</v>
      </c>
      <c r="CM45" s="67">
        <f t="shared" si="148"/>
        <v>2822.0999999999995</v>
      </c>
      <c r="CN45" s="67">
        <f t="shared" si="148"/>
        <v>3347.55</v>
      </c>
      <c r="CO45" s="67">
        <f t="shared" si="148"/>
        <v>3193.8</v>
      </c>
      <c r="CP45" s="67">
        <f t="shared" si="148"/>
        <v>3899.05</v>
      </c>
      <c r="CQ45" s="67"/>
      <c r="CR45" s="67"/>
      <c r="CS45" s="67"/>
      <c r="CT45" s="67"/>
      <c r="CU45" s="67"/>
      <c r="CV45" s="67"/>
      <c r="CW45" s="67"/>
      <c r="CX45" s="67"/>
      <c r="CY45" s="67"/>
      <c r="CZ45" s="72"/>
      <c r="DA45" s="67">
        <f t="shared" ref="DA45:DF45" si="149">DA41-DA44</f>
        <v>1509.4</v>
      </c>
      <c r="DB45" s="67">
        <f t="shared" si="149"/>
        <v>1720.1</v>
      </c>
      <c r="DC45" s="67">
        <f t="shared" si="149"/>
        <v>2110.6000000000004</v>
      </c>
      <c r="DD45" s="67">
        <f t="shared" si="149"/>
        <v>3519.5</v>
      </c>
      <c r="DE45" s="67">
        <f t="shared" si="149"/>
        <v>4276</v>
      </c>
      <c r="DF45" s="67">
        <f t="shared" si="149"/>
        <v>5300.9429999999993</v>
      </c>
      <c r="DG45" s="67">
        <f t="shared" ref="DG45:DM45" si="150">DG41-DG44</f>
        <v>5763</v>
      </c>
      <c r="DH45" s="67">
        <f t="shared" si="150"/>
        <v>6070</v>
      </c>
      <c r="DI45" s="67">
        <f>DI41-DI44</f>
        <v>6192</v>
      </c>
      <c r="DJ45" s="67">
        <f>DJ41-DJ44</f>
        <v>6088</v>
      </c>
      <c r="DK45" s="67">
        <f>DK41-DK44</f>
        <v>6150</v>
      </c>
      <c r="DL45" s="67">
        <f>DL41-DL44</f>
        <v>6643.1999999999989</v>
      </c>
      <c r="DM45" s="67">
        <f t="shared" si="150"/>
        <v>9125.550299999999</v>
      </c>
      <c r="DN45" s="67">
        <f t="shared" ref="DN45:DT45" si="151">DN41-DN44</f>
        <v>9642.9107839999979</v>
      </c>
      <c r="DO45" s="67">
        <f t="shared" si="151"/>
        <v>8961.1128665099986</v>
      </c>
      <c r="DP45" s="67">
        <f t="shared" si="151"/>
        <v>8259.453039465001</v>
      </c>
      <c r="DQ45" s="67">
        <f t="shared" si="151"/>
        <v>8068.4130573056245</v>
      </c>
      <c r="DR45" s="67">
        <f t="shared" si="151"/>
        <v>-2445.9105190584373</v>
      </c>
      <c r="DS45" s="67">
        <f t="shared" si="151"/>
        <v>0</v>
      </c>
      <c r="DT45" s="67">
        <f t="shared" si="151"/>
        <v>0</v>
      </c>
      <c r="DU45" s="67">
        <f t="shared" ref="DU45:DV45" si="152">DU41-DU44</f>
        <v>12334</v>
      </c>
      <c r="DV45" s="67">
        <f t="shared" si="152"/>
        <v>12424</v>
      </c>
      <c r="DW45" s="67">
        <f t="shared" ref="DW45:DX45" si="153">DW41-DW44</f>
        <v>11725</v>
      </c>
      <c r="DX45" s="67">
        <f t="shared" si="153"/>
        <v>19751.45</v>
      </c>
      <c r="DY45" s="67">
        <f t="shared" ref="DY45:EJ45" si="154">DY41-DY44</f>
        <v>21628.199000000001</v>
      </c>
      <c r="DZ45" s="67">
        <f t="shared" si="154"/>
        <v>22974.885280000006</v>
      </c>
      <c r="EA45" s="67">
        <f t="shared" si="154"/>
        <v>23306.492842399992</v>
      </c>
      <c r="EB45" s="67">
        <f t="shared" si="154"/>
        <v>23849.560620778004</v>
      </c>
      <c r="EC45" s="67">
        <f t="shared" si="154"/>
        <v>23678.592778298993</v>
      </c>
      <c r="ED45" s="67">
        <f t="shared" si="154"/>
        <v>23039.251772783442</v>
      </c>
      <c r="EE45" s="67">
        <f t="shared" si="154"/>
        <v>18948.133901016998</v>
      </c>
      <c r="EF45" s="67">
        <f t="shared" si="154"/>
        <v>17088.176284946738</v>
      </c>
      <c r="EG45" s="67">
        <f t="shared" si="154"/>
        <v>16203.441786491374</v>
      </c>
      <c r="EH45" s="67">
        <f t="shared" si="154"/>
        <v>15864.332118208464</v>
      </c>
      <c r="EI45" s="67">
        <f t="shared" si="154"/>
        <v>15814.959607068016</v>
      </c>
      <c r="EJ45" s="67">
        <f t="shared" si="154"/>
        <v>10290.535805952681</v>
      </c>
    </row>
    <row r="46" spans="2:140" s="15" customFormat="1">
      <c r="B46" s="15" t="s">
        <v>451</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67">
        <v>-295</v>
      </c>
      <c r="CJ46" s="67">
        <f>-328-82</f>
        <v>-410</v>
      </c>
      <c r="CK46" s="67">
        <f>-368+100</f>
        <v>-268</v>
      </c>
      <c r="CL46" s="67">
        <f>34-415-67-10</f>
        <v>-458</v>
      </c>
      <c r="CM46" s="67">
        <f t="shared" ref="CM46:CP46" si="155">CL46+5</f>
        <v>-453</v>
      </c>
      <c r="CN46" s="67">
        <f t="shared" si="155"/>
        <v>-448</v>
      </c>
      <c r="CO46" s="67">
        <f t="shared" si="155"/>
        <v>-443</v>
      </c>
      <c r="CP46" s="67">
        <f t="shared" si="155"/>
        <v>-438</v>
      </c>
      <c r="CQ46" s="67"/>
      <c r="CR46" s="67"/>
      <c r="CS46" s="67"/>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DI88*0.08</f>
        <v>-23.6</v>
      </c>
      <c r="DK46" s="67">
        <f>SUM(AM46:AP46)</f>
        <v>38</v>
      </c>
      <c r="DL46" s="67">
        <v>0</v>
      </c>
      <c r="DM46" s="67">
        <f t="shared" ref="DM46:DR46" si="156">DL88*$EM$52</f>
        <v>147.76685999999998</v>
      </c>
      <c r="DN46" s="67">
        <f t="shared" si="156"/>
        <v>221.02606556399996</v>
      </c>
      <c r="DO46" s="67">
        <f t="shared" si="156"/>
        <v>298.9511666755555</v>
      </c>
      <c r="DP46" s="67">
        <f t="shared" si="156"/>
        <v>372.10567253772143</v>
      </c>
      <c r="DQ46" s="67">
        <f t="shared" si="156"/>
        <v>440.29498636254294</v>
      </c>
      <c r="DR46" s="67">
        <f t="shared" si="156"/>
        <v>507.5137799075215</v>
      </c>
      <c r="DS46" s="67"/>
      <c r="DT46" s="67"/>
      <c r="DU46" s="67">
        <v>-1262</v>
      </c>
      <c r="DV46" s="67">
        <v>-1197</v>
      </c>
      <c r="DW46" s="67">
        <f t="shared" ref="DW46:DW48" si="157">SUM(CI46:CL46)</f>
        <v>-1431</v>
      </c>
      <c r="DX46" s="72"/>
      <c r="DY46" s="72"/>
      <c r="DZ46" s="72"/>
      <c r="EA46" s="67">
        <f>+DZ88*$EM$52</f>
        <v>0</v>
      </c>
      <c r="EB46" s="67">
        <f t="shared" ref="EB46:EJ46" si="158">+EA88*$EM$52</f>
        <v>186.45194273919995</v>
      </c>
      <c r="EC46" s="67">
        <f t="shared" si="158"/>
        <v>378.74004324733761</v>
      </c>
      <c r="ED46" s="67">
        <f t="shared" si="158"/>
        <v>571.19870581970827</v>
      </c>
      <c r="EE46" s="67">
        <f t="shared" si="158"/>
        <v>760.0823096485334</v>
      </c>
      <c r="EF46" s="67">
        <f t="shared" si="158"/>
        <v>917.74803933385761</v>
      </c>
      <c r="EG46" s="67">
        <f t="shared" si="158"/>
        <v>1061.7954339281025</v>
      </c>
      <c r="EH46" s="67">
        <f t="shared" si="158"/>
        <v>1199.9173316914582</v>
      </c>
      <c r="EI46" s="67">
        <f t="shared" si="158"/>
        <v>1336.4313272906575</v>
      </c>
      <c r="EJ46" s="67">
        <f t="shared" si="158"/>
        <v>1473.642454765527</v>
      </c>
    </row>
    <row r="47" spans="2:140" s="15" customFormat="1">
      <c r="B47" s="15" t="s">
        <v>102</v>
      </c>
      <c r="C47" s="67">
        <f>C45+C46</f>
        <v>383.7999999999999</v>
      </c>
      <c r="D47" s="67">
        <f>D45+D46</f>
        <v>353.8</v>
      </c>
      <c r="E47" s="67">
        <f>SUM(E45:E46)</f>
        <v>337.1</v>
      </c>
      <c r="F47" s="67"/>
      <c r="G47" s="67">
        <f>G45+G46+1.7</f>
        <v>495.80000000000007</v>
      </c>
      <c r="H47" s="67">
        <f>SUM(H45:H46)+5.3</f>
        <v>602.69999999999993</v>
      </c>
      <c r="I47" s="67">
        <f t="shared" ref="I47:Z47" si="159">SUM(I45:I46)</f>
        <v>633.09999999999991</v>
      </c>
      <c r="J47" s="67">
        <f t="shared" si="159"/>
        <v>683.60000000000025</v>
      </c>
      <c r="K47" s="67">
        <f>K45+K46+5.2</f>
        <v>796.70000000000016</v>
      </c>
      <c r="L47" s="67">
        <f>SUM(L45:L46)+5.3</f>
        <v>931.69999999999982</v>
      </c>
      <c r="M47" s="67">
        <f t="shared" si="159"/>
        <v>1013.1999999999997</v>
      </c>
      <c r="N47" s="67">
        <f t="shared" si="159"/>
        <v>871.5</v>
      </c>
      <c r="O47" s="67">
        <f>SUM(O45:O46)+5.3</f>
        <v>1051.8999999999994</v>
      </c>
      <c r="P47" s="67">
        <f>SUM(P45:P46)+5.3</f>
        <v>1117.8999999999999</v>
      </c>
      <c r="Q47" s="67">
        <f t="shared" si="159"/>
        <v>1151</v>
      </c>
      <c r="R47" s="67">
        <f t="shared" si="159"/>
        <v>1019</v>
      </c>
      <c r="S47" s="67">
        <f t="shared" si="159"/>
        <v>1256</v>
      </c>
      <c r="T47" s="67">
        <f t="shared" si="159"/>
        <v>1418</v>
      </c>
      <c r="U47" s="67">
        <f t="shared" si="159"/>
        <v>1448</v>
      </c>
      <c r="V47" s="67">
        <f t="shared" si="159"/>
        <v>1199</v>
      </c>
      <c r="W47" s="67">
        <f t="shared" si="159"/>
        <v>1469</v>
      </c>
      <c r="X47" s="67">
        <f t="shared" si="159"/>
        <v>1605</v>
      </c>
      <c r="Y47" s="67">
        <f t="shared" si="159"/>
        <v>1549</v>
      </c>
      <c r="Z47" s="67">
        <f t="shared" si="159"/>
        <v>1320</v>
      </c>
      <c r="AA47" s="67">
        <f t="shared" ref="AA47:AJ47" si="160">SUM(AA45:AA46)</f>
        <v>1622</v>
      </c>
      <c r="AB47" s="67">
        <f t="shared" si="160"/>
        <v>1572</v>
      </c>
      <c r="AC47" s="67">
        <f t="shared" si="160"/>
        <v>1502</v>
      </c>
      <c r="AD47" s="67">
        <f t="shared" si="160"/>
        <v>1406</v>
      </c>
      <c r="AE47" s="67">
        <f t="shared" si="160"/>
        <v>1570</v>
      </c>
      <c r="AF47" s="67">
        <f t="shared" si="160"/>
        <v>1588</v>
      </c>
      <c r="AG47" s="67">
        <f t="shared" si="160"/>
        <v>1692</v>
      </c>
      <c r="AH47" s="67">
        <f t="shared" si="160"/>
        <v>1388</v>
      </c>
      <c r="AI47" s="67">
        <f t="shared" si="160"/>
        <v>1427</v>
      </c>
      <c r="AJ47" s="67">
        <f t="shared" si="160"/>
        <v>1600</v>
      </c>
      <c r="AK47" s="67">
        <f t="shared" ref="AK47:AT47" si="161">SUM(AK45:AK46)</f>
        <v>1742</v>
      </c>
      <c r="AL47" s="67">
        <f t="shared" si="161"/>
        <v>1267</v>
      </c>
      <c r="AM47" s="67">
        <f t="shared" si="161"/>
        <v>1602</v>
      </c>
      <c r="AN47" s="67">
        <f t="shared" si="161"/>
        <v>1658</v>
      </c>
      <c r="AO47" s="67">
        <f t="shared" si="161"/>
        <v>1623</v>
      </c>
      <c r="AP47" s="67">
        <f t="shared" si="161"/>
        <v>1305</v>
      </c>
      <c r="AQ47" s="67">
        <f t="shared" si="161"/>
        <v>1509</v>
      </c>
      <c r="AR47" s="67">
        <f t="shared" si="161"/>
        <v>1510</v>
      </c>
      <c r="AS47" s="67">
        <f t="shared" si="161"/>
        <v>2340.02</v>
      </c>
      <c r="AT47" s="67">
        <f t="shared" si="161"/>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62">BW45+BW46</f>
        <v>2612</v>
      </c>
      <c r="BX47" s="67">
        <f t="shared" si="162"/>
        <v>2423</v>
      </c>
      <c r="BY47" s="67">
        <f t="shared" si="162"/>
        <v>5737</v>
      </c>
      <c r="BZ47" s="67">
        <f t="shared" si="162"/>
        <v>2556</v>
      </c>
      <c r="CA47" s="67">
        <f t="shared" si="162"/>
        <v>2841</v>
      </c>
      <c r="CB47" s="67">
        <f t="shared" si="162"/>
        <v>2954</v>
      </c>
      <c r="CC47" s="67">
        <f t="shared" si="162"/>
        <v>2881</v>
      </c>
      <c r="CD47" s="67">
        <f t="shared" si="162"/>
        <v>2410</v>
      </c>
      <c r="CE47" s="67">
        <f t="shared" si="162"/>
        <v>2579</v>
      </c>
      <c r="CF47" s="67">
        <f t="shared" ref="CF47:CP47" si="163">CF45+CF46</f>
        <v>2884</v>
      </c>
      <c r="CG47" s="67">
        <f t="shared" si="163"/>
        <v>3156</v>
      </c>
      <c r="CH47" s="67">
        <f t="shared" si="163"/>
        <v>2662</v>
      </c>
      <c r="CI47" s="67">
        <f t="shared" si="163"/>
        <v>2845</v>
      </c>
      <c r="CJ47" s="67">
        <f t="shared" si="163"/>
        <v>2612</v>
      </c>
      <c r="CK47" s="67">
        <f t="shared" si="163"/>
        <v>2594</v>
      </c>
      <c r="CL47" s="67">
        <f t="shared" si="163"/>
        <v>2264</v>
      </c>
      <c r="CM47" s="67">
        <f t="shared" si="163"/>
        <v>2369.0999999999995</v>
      </c>
      <c r="CN47" s="67">
        <f t="shared" si="163"/>
        <v>2899.55</v>
      </c>
      <c r="CO47" s="67">
        <f t="shared" si="163"/>
        <v>2750.8</v>
      </c>
      <c r="CP47" s="67">
        <f t="shared" si="163"/>
        <v>3461.05</v>
      </c>
      <c r="CQ47" s="67"/>
      <c r="CR47" s="67"/>
      <c r="CS47" s="67"/>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64">DI45+DI46</f>
        <v>6238</v>
      </c>
      <c r="DJ47" s="67">
        <f t="shared" si="164"/>
        <v>6064.4</v>
      </c>
      <c r="DK47" s="67">
        <f t="shared" si="164"/>
        <v>6188</v>
      </c>
      <c r="DL47" s="67">
        <f t="shared" si="164"/>
        <v>6643.1999999999989</v>
      </c>
      <c r="DM47" s="67">
        <f t="shared" si="164"/>
        <v>9273.3171599999987</v>
      </c>
      <c r="DN47" s="67">
        <f t="shared" si="164"/>
        <v>9863.9368495639974</v>
      </c>
      <c r="DO47" s="67">
        <f t="shared" si="164"/>
        <v>9260.0640331855539</v>
      </c>
      <c r="DP47" s="67">
        <f t="shared" si="164"/>
        <v>8631.558712002723</v>
      </c>
      <c r="DQ47" s="67">
        <f>DQ45+DQ46</f>
        <v>8508.7080436681681</v>
      </c>
      <c r="DR47" s="67">
        <f>DR45+DR46</f>
        <v>-1938.3967391509159</v>
      </c>
      <c r="DS47" s="67">
        <f>DS45+DS46</f>
        <v>0</v>
      </c>
      <c r="DT47" s="67">
        <f>DT45+DT46</f>
        <v>0</v>
      </c>
      <c r="DU47" s="67">
        <f t="shared" ref="DU47:EJ47" si="165">DU45+DU46</f>
        <v>11072</v>
      </c>
      <c r="DV47" s="67">
        <f t="shared" si="165"/>
        <v>11227</v>
      </c>
      <c r="DW47" s="67">
        <f t="shared" si="165"/>
        <v>10294</v>
      </c>
      <c r="DX47" s="67">
        <f t="shared" si="165"/>
        <v>19751.45</v>
      </c>
      <c r="DY47" s="67">
        <f t="shared" si="165"/>
        <v>21628.199000000001</v>
      </c>
      <c r="DZ47" s="67">
        <f t="shared" si="165"/>
        <v>22974.885280000006</v>
      </c>
      <c r="EA47" s="67">
        <f t="shared" si="165"/>
        <v>23306.492842399992</v>
      </c>
      <c r="EB47" s="67">
        <f t="shared" si="165"/>
        <v>24036.012563517204</v>
      </c>
      <c r="EC47" s="67">
        <f t="shared" si="165"/>
        <v>24057.33282154633</v>
      </c>
      <c r="ED47" s="67">
        <f t="shared" si="165"/>
        <v>23610.45047860315</v>
      </c>
      <c r="EE47" s="67">
        <f t="shared" si="165"/>
        <v>19708.216210665531</v>
      </c>
      <c r="EF47" s="67">
        <f t="shared" si="165"/>
        <v>18005.924324280597</v>
      </c>
      <c r="EG47" s="67">
        <f t="shared" si="165"/>
        <v>17265.237220419476</v>
      </c>
      <c r="EH47" s="67">
        <f t="shared" si="165"/>
        <v>17064.249449899922</v>
      </c>
      <c r="EI47" s="67">
        <f t="shared" si="165"/>
        <v>17151.390934358675</v>
      </c>
      <c r="EJ47" s="67">
        <f t="shared" si="165"/>
        <v>11764.178260718207</v>
      </c>
    </row>
    <row r="48" spans="2:140" s="15" customFormat="1">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67">
        <v>199</v>
      </c>
      <c r="CJ48" s="67">
        <v>430</v>
      </c>
      <c r="CK48" s="67">
        <v>249</v>
      </c>
      <c r="CL48" s="67">
        <v>340</v>
      </c>
      <c r="CM48" s="67">
        <f t="shared" ref="CM48:CP48" si="166">+CM47*0.2</f>
        <v>473.81999999999994</v>
      </c>
      <c r="CN48" s="67">
        <f t="shared" si="166"/>
        <v>579.91000000000008</v>
      </c>
      <c r="CO48" s="67">
        <f t="shared" si="166"/>
        <v>550.16000000000008</v>
      </c>
      <c r="CP48" s="67">
        <f t="shared" si="166"/>
        <v>692.21</v>
      </c>
      <c r="CQ48" s="67"/>
      <c r="CR48" s="67"/>
      <c r="CS48" s="67"/>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7">DL47*DL58</f>
        <v>1295.4239999999998</v>
      </c>
      <c r="DM48" s="67">
        <f t="shared" si="167"/>
        <v>1947.3966035999997</v>
      </c>
      <c r="DN48" s="67">
        <f t="shared" si="167"/>
        <v>2071.4267384084392</v>
      </c>
      <c r="DO48" s="67">
        <f t="shared" si="167"/>
        <v>1944.6134469689662</v>
      </c>
      <c r="DP48" s="67">
        <f t="shared" si="167"/>
        <v>1812.6273295205717</v>
      </c>
      <c r="DQ48" s="67">
        <f t="shared" si="167"/>
        <v>1786.8286891703153</v>
      </c>
      <c r="DR48" s="67">
        <f t="shared" si="167"/>
        <v>-407.06331522169233</v>
      </c>
      <c r="DS48" s="67">
        <f t="shared" si="167"/>
        <v>0</v>
      </c>
      <c r="DT48" s="67">
        <f t="shared" si="167"/>
        <v>0</v>
      </c>
      <c r="DU48" s="67">
        <v>869</v>
      </c>
      <c r="DV48" s="67">
        <v>808</v>
      </c>
      <c r="DW48" s="67">
        <f t="shared" si="157"/>
        <v>1218</v>
      </c>
      <c r="DX48" s="67">
        <f>+DX47*0.2</f>
        <v>3950.2900000000004</v>
      </c>
      <c r="DY48" s="67">
        <f t="shared" ref="DY48:EJ48" si="168">+DY47*0.2</f>
        <v>4325.6397999999999</v>
      </c>
      <c r="DZ48" s="67">
        <f t="shared" si="168"/>
        <v>4594.9770560000015</v>
      </c>
      <c r="EA48" s="67">
        <f t="shared" si="168"/>
        <v>4661.2985684799987</v>
      </c>
      <c r="EB48" s="67">
        <f t="shared" si="168"/>
        <v>4807.2025127034412</v>
      </c>
      <c r="EC48" s="67">
        <f t="shared" si="168"/>
        <v>4811.4665643092658</v>
      </c>
      <c r="ED48" s="67">
        <f t="shared" si="168"/>
        <v>4722.0900957206304</v>
      </c>
      <c r="EE48" s="67">
        <f t="shared" si="168"/>
        <v>3941.6432421331065</v>
      </c>
      <c r="EF48" s="67">
        <f t="shared" si="168"/>
        <v>3601.1848648561195</v>
      </c>
      <c r="EG48" s="67">
        <f t="shared" si="168"/>
        <v>3453.0474440838952</v>
      </c>
      <c r="EH48" s="67">
        <f t="shared" si="168"/>
        <v>3412.8498899799847</v>
      </c>
      <c r="EI48" s="67">
        <f t="shared" si="168"/>
        <v>3430.2781868717352</v>
      </c>
      <c r="EJ48" s="67">
        <f t="shared" si="168"/>
        <v>2352.8356521436413</v>
      </c>
    </row>
    <row r="49" spans="2:210" s="15" customFormat="1">
      <c r="B49" s="37" t="s">
        <v>1096</v>
      </c>
      <c r="C49" s="67">
        <f>C47-C48</f>
        <v>230.59999999999991</v>
      </c>
      <c r="D49" s="67">
        <f>D47-D48</f>
        <v>168.60000000000002</v>
      </c>
      <c r="E49" s="67">
        <f>E47-E48</f>
        <v>140.80000000000001</v>
      </c>
      <c r="F49" s="67"/>
      <c r="G49" s="67">
        <f t="shared" ref="G49:N49" si="169">G47-G48</f>
        <v>342.60000000000008</v>
      </c>
      <c r="H49" s="67">
        <f t="shared" si="169"/>
        <v>417.49999999999994</v>
      </c>
      <c r="I49" s="67">
        <f t="shared" si="169"/>
        <v>436.7999999999999</v>
      </c>
      <c r="J49" s="67">
        <f t="shared" si="169"/>
        <v>471.70000000000027</v>
      </c>
      <c r="K49" s="67">
        <f t="shared" si="169"/>
        <v>563.20000000000016</v>
      </c>
      <c r="L49" s="67">
        <f t="shared" si="169"/>
        <v>658.39999999999986</v>
      </c>
      <c r="M49" s="67">
        <f t="shared" si="169"/>
        <v>714.29999999999973</v>
      </c>
      <c r="N49" s="67">
        <f t="shared" si="169"/>
        <v>614.79999999999995</v>
      </c>
      <c r="O49" s="67">
        <f t="shared" ref="O49:V49" si="170">O47-O48</f>
        <v>756.89999999999941</v>
      </c>
      <c r="P49" s="67">
        <f t="shared" si="170"/>
        <v>813.89999999999986</v>
      </c>
      <c r="Q49" s="67">
        <f t="shared" si="170"/>
        <v>838.8</v>
      </c>
      <c r="R49" s="67">
        <f t="shared" si="170"/>
        <v>755.2</v>
      </c>
      <c r="S49" s="67">
        <f>S47-S48</f>
        <v>924</v>
      </c>
      <c r="T49" s="67">
        <f t="shared" si="170"/>
        <v>1104</v>
      </c>
      <c r="U49" s="67">
        <f t="shared" si="170"/>
        <v>1067</v>
      </c>
      <c r="V49" s="67">
        <f t="shared" si="170"/>
        <v>928</v>
      </c>
      <c r="W49" s="67">
        <f t="shared" ref="W49:AD49" si="171">W47-W48</f>
        <v>1101</v>
      </c>
      <c r="X49" s="67">
        <f t="shared" si="171"/>
        <v>1235</v>
      </c>
      <c r="Y49" s="67">
        <f t="shared" si="171"/>
        <v>1224</v>
      </c>
      <c r="Z49" s="67">
        <f t="shared" si="171"/>
        <v>1060</v>
      </c>
      <c r="AA49" s="67">
        <f t="shared" si="171"/>
        <v>1270</v>
      </c>
      <c r="AB49" s="67">
        <f t="shared" si="171"/>
        <v>1265</v>
      </c>
      <c r="AC49" s="67">
        <f t="shared" si="171"/>
        <v>1181</v>
      </c>
      <c r="AD49" s="67">
        <f t="shared" si="171"/>
        <v>1088</v>
      </c>
      <c r="AE49" s="67">
        <f t="shared" ref="AE49:AL49" si="172">AE47-AE48</f>
        <v>1218</v>
      </c>
      <c r="AF49" s="67">
        <f t="shared" si="172"/>
        <v>1235</v>
      </c>
      <c r="AG49" s="67">
        <f t="shared" si="172"/>
        <v>1308</v>
      </c>
      <c r="AH49" s="67">
        <f t="shared" si="172"/>
        <v>1124</v>
      </c>
      <c r="AI49" s="67">
        <f t="shared" si="172"/>
        <v>1120</v>
      </c>
      <c r="AJ49" s="67">
        <f t="shared" si="172"/>
        <v>1311</v>
      </c>
      <c r="AK49" s="67">
        <f t="shared" si="172"/>
        <v>1518</v>
      </c>
      <c r="AL49" s="67">
        <f t="shared" si="172"/>
        <v>1065</v>
      </c>
      <c r="AM49" s="67">
        <f t="shared" ref="AM49:AT49" si="173">AM47-AM48</f>
        <v>1282</v>
      </c>
      <c r="AN49" s="67">
        <f t="shared" si="173"/>
        <v>1326</v>
      </c>
      <c r="AO49" s="67">
        <f t="shared" si="173"/>
        <v>1313</v>
      </c>
      <c r="AP49" s="67">
        <f t="shared" si="173"/>
        <v>1103</v>
      </c>
      <c r="AQ49" s="67">
        <f t="shared" si="173"/>
        <v>1258</v>
      </c>
      <c r="AR49" s="67">
        <f t="shared" si="173"/>
        <v>1281</v>
      </c>
      <c r="AS49" s="67">
        <f>AS47-AS48</f>
        <v>1872.0160000000001</v>
      </c>
      <c r="AT49" s="67">
        <f t="shared" si="173"/>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74">BW47-BW48</f>
        <v>2230</v>
      </c>
      <c r="BX49" s="67">
        <f t="shared" si="174"/>
        <v>2038</v>
      </c>
      <c r="BY49" s="67">
        <f t="shared" si="174"/>
        <v>5737</v>
      </c>
      <c r="BZ49" s="67">
        <f t="shared" si="174"/>
        <v>2276</v>
      </c>
      <c r="CA49" s="67">
        <f t="shared" si="174"/>
        <v>2476</v>
      </c>
      <c r="CB49" s="67">
        <f t="shared" si="174"/>
        <v>2727</v>
      </c>
      <c r="CC49" s="67">
        <f t="shared" ref="CC49:CD49" si="175">CC47-CC48</f>
        <v>2696</v>
      </c>
      <c r="CD49" s="67">
        <f t="shared" si="175"/>
        <v>2148</v>
      </c>
      <c r="CE49" s="67">
        <f>CE47-CE48</f>
        <v>2368</v>
      </c>
      <c r="CF49" s="67">
        <f t="shared" ref="CF49:CP49" si="176">CF47-CF48</f>
        <v>2522</v>
      </c>
      <c r="CG49" s="67">
        <f t="shared" si="176"/>
        <v>2885</v>
      </c>
      <c r="CH49" s="67">
        <f t="shared" si="176"/>
        <v>2430</v>
      </c>
      <c r="CI49" s="67">
        <f t="shared" si="176"/>
        <v>2646</v>
      </c>
      <c r="CJ49" s="67">
        <f t="shared" si="176"/>
        <v>2182</v>
      </c>
      <c r="CK49" s="67">
        <f t="shared" si="176"/>
        <v>2345</v>
      </c>
      <c r="CL49" s="67">
        <f t="shared" si="176"/>
        <v>1924</v>
      </c>
      <c r="CM49" s="67">
        <f t="shared" si="176"/>
        <v>1895.2799999999995</v>
      </c>
      <c r="CN49" s="67">
        <f t="shared" si="176"/>
        <v>2319.6400000000003</v>
      </c>
      <c r="CO49" s="67">
        <f t="shared" si="176"/>
        <v>2200.6400000000003</v>
      </c>
      <c r="CP49" s="67">
        <f t="shared" si="176"/>
        <v>2768.84</v>
      </c>
      <c r="CQ49" s="67"/>
      <c r="CR49" s="67"/>
      <c r="CS49" s="67"/>
      <c r="CT49" s="67"/>
      <c r="CU49" s="67"/>
      <c r="CV49" s="67"/>
      <c r="CW49" s="67"/>
      <c r="CX49" s="67"/>
      <c r="CY49" s="67"/>
      <c r="CZ49" s="72"/>
      <c r="DA49" s="72"/>
      <c r="DB49" s="72"/>
      <c r="DC49" s="72"/>
      <c r="DD49" s="67">
        <v>2560</v>
      </c>
      <c r="DE49" s="67">
        <v>3169</v>
      </c>
      <c r="DF49" s="67">
        <f t="shared" ref="DF49:DM49" si="177">DF47-DF48</f>
        <v>4022.9429999999993</v>
      </c>
      <c r="DG49" s="67">
        <f t="shared" si="177"/>
        <v>4620</v>
      </c>
      <c r="DH49" s="67">
        <f t="shared" si="177"/>
        <v>4851.6000000000004</v>
      </c>
      <c r="DI49" s="67">
        <f>DI47-DI48</f>
        <v>4885</v>
      </c>
      <c r="DJ49" s="67">
        <f>DJ47-DJ48</f>
        <v>4699.91</v>
      </c>
      <c r="DK49" s="67">
        <f>DK47-DK48</f>
        <v>5024</v>
      </c>
      <c r="DL49" s="67">
        <f>DL47-DL48</f>
        <v>5347.7759999999989</v>
      </c>
      <c r="DM49" s="67">
        <f t="shared" si="177"/>
        <v>7325.9205563999985</v>
      </c>
      <c r="DN49" s="67">
        <f t="shared" ref="DN49:DT49" si="178">DN47-DN48</f>
        <v>7792.5101111555578</v>
      </c>
      <c r="DO49" s="67">
        <f t="shared" si="178"/>
        <v>7315.4505862165879</v>
      </c>
      <c r="DP49" s="67">
        <f t="shared" si="178"/>
        <v>6818.9313824821511</v>
      </c>
      <c r="DQ49" s="67">
        <f t="shared" si="178"/>
        <v>6721.8793544978525</v>
      </c>
      <c r="DR49" s="67">
        <f t="shared" si="178"/>
        <v>-1531.3334239292235</v>
      </c>
      <c r="DS49" s="67">
        <f t="shared" si="178"/>
        <v>0</v>
      </c>
      <c r="DT49" s="67">
        <f t="shared" si="178"/>
        <v>0</v>
      </c>
      <c r="DU49" s="67">
        <f>DU47-DU48</f>
        <v>10203</v>
      </c>
      <c r="DV49" s="67">
        <f>DV47-DV48</f>
        <v>10419</v>
      </c>
      <c r="DW49" s="67">
        <f>DW47-DW48</f>
        <v>9076</v>
      </c>
      <c r="DX49" s="67">
        <f>DX47-DX48</f>
        <v>15801.16</v>
      </c>
      <c r="DY49" s="67">
        <f t="shared" ref="DY49:EJ49" si="179">DY47-DY48</f>
        <v>17302.5592</v>
      </c>
      <c r="DZ49" s="67">
        <f t="shared" si="179"/>
        <v>18379.908224000006</v>
      </c>
      <c r="EA49" s="67">
        <f t="shared" si="179"/>
        <v>18645.194273919995</v>
      </c>
      <c r="EB49" s="67">
        <f t="shared" si="179"/>
        <v>19228.810050813765</v>
      </c>
      <c r="EC49" s="67">
        <f t="shared" si="179"/>
        <v>19245.866257237063</v>
      </c>
      <c r="ED49" s="67">
        <f t="shared" si="179"/>
        <v>18888.360382882522</v>
      </c>
      <c r="EE49" s="67">
        <f t="shared" si="179"/>
        <v>15766.572968532424</v>
      </c>
      <c r="EF49" s="67">
        <f t="shared" si="179"/>
        <v>14404.739459424478</v>
      </c>
      <c r="EG49" s="67">
        <f t="shared" si="179"/>
        <v>13812.189776335581</v>
      </c>
      <c r="EH49" s="67">
        <f t="shared" si="179"/>
        <v>13651.399559919937</v>
      </c>
      <c r="EI49" s="67">
        <f t="shared" si="179"/>
        <v>13721.112747486939</v>
      </c>
      <c r="EJ49" s="67">
        <f t="shared" si="179"/>
        <v>9411.342608574565</v>
      </c>
      <c r="EK49" s="18">
        <f>+EJ49*(1+$EM$53)</f>
        <v>9223.1157564030727</v>
      </c>
      <c r="EL49" s="18">
        <f t="shared" ref="EL49:GW49" si="180">+EK49*(1+$EM$53)</f>
        <v>9038.6534412750116</v>
      </c>
      <c r="EM49" s="18">
        <f t="shared" si="180"/>
        <v>8857.8803724495119</v>
      </c>
      <c r="EN49" s="18">
        <f t="shared" si="180"/>
        <v>8680.7227650005207</v>
      </c>
      <c r="EO49" s="18">
        <f t="shared" si="180"/>
        <v>8507.1083097005103</v>
      </c>
      <c r="EP49" s="18">
        <f t="shared" si="180"/>
        <v>8336.9661435064991</v>
      </c>
      <c r="EQ49" s="18">
        <f t="shared" si="180"/>
        <v>8170.2268206363688</v>
      </c>
      <c r="ER49" s="18">
        <f t="shared" si="180"/>
        <v>8006.822284223641</v>
      </c>
      <c r="ES49" s="18">
        <f t="shared" si="180"/>
        <v>7846.6858385391679</v>
      </c>
      <c r="ET49" s="18">
        <f t="shared" si="180"/>
        <v>7689.7521217683843</v>
      </c>
      <c r="EU49" s="18">
        <f t="shared" si="180"/>
        <v>7535.9570793330167</v>
      </c>
      <c r="EV49" s="18">
        <f t="shared" si="180"/>
        <v>7385.2379377463567</v>
      </c>
      <c r="EW49" s="18">
        <f t="shared" si="180"/>
        <v>7237.5331789914298</v>
      </c>
      <c r="EX49" s="18">
        <f t="shared" si="180"/>
        <v>7092.7825154116008</v>
      </c>
      <c r="EY49" s="18">
        <f t="shared" si="180"/>
        <v>6950.926865103369</v>
      </c>
      <c r="EZ49" s="18">
        <f t="shared" si="180"/>
        <v>6811.9083278013013</v>
      </c>
      <c r="FA49" s="18">
        <f t="shared" si="180"/>
        <v>6675.6701612452753</v>
      </c>
      <c r="FB49" s="18">
        <f t="shared" si="180"/>
        <v>6542.15675802037</v>
      </c>
      <c r="FC49" s="18">
        <f t="shared" si="180"/>
        <v>6411.3136228599624</v>
      </c>
      <c r="FD49" s="18">
        <f t="shared" si="180"/>
        <v>6283.0873504027631</v>
      </c>
      <c r="FE49" s="18">
        <f t="shared" si="180"/>
        <v>6157.4256033947077</v>
      </c>
      <c r="FF49" s="18">
        <f t="shared" si="180"/>
        <v>6034.2770913268132</v>
      </c>
      <c r="FG49" s="18">
        <f t="shared" si="180"/>
        <v>5913.5915495002764</v>
      </c>
      <c r="FH49" s="18">
        <f t="shared" si="180"/>
        <v>5795.3197185102708</v>
      </c>
      <c r="FI49" s="18">
        <f t="shared" si="180"/>
        <v>5679.413324140065</v>
      </c>
      <c r="FJ49" s="18">
        <f t="shared" si="180"/>
        <v>5565.8250576572636</v>
      </c>
      <c r="FK49" s="18">
        <f t="shared" si="180"/>
        <v>5454.5085565041181</v>
      </c>
      <c r="FL49" s="18">
        <f t="shared" si="180"/>
        <v>5345.418385374036</v>
      </c>
      <c r="FM49" s="18">
        <f t="shared" si="180"/>
        <v>5238.5100176665555</v>
      </c>
      <c r="FN49" s="18">
        <f t="shared" si="180"/>
        <v>5133.7398173132242</v>
      </c>
      <c r="FO49" s="18">
        <f t="shared" si="180"/>
        <v>5031.0650209669593</v>
      </c>
      <c r="FP49" s="18">
        <f t="shared" si="180"/>
        <v>4930.4437205476197</v>
      </c>
      <c r="FQ49" s="18">
        <f t="shared" si="180"/>
        <v>4831.8348461366668</v>
      </c>
      <c r="FR49" s="18">
        <f t="shared" si="180"/>
        <v>4735.198149213933</v>
      </c>
      <c r="FS49" s="18">
        <f t="shared" si="180"/>
        <v>4640.4941862296546</v>
      </c>
      <c r="FT49" s="18">
        <f t="shared" si="180"/>
        <v>4547.6843025050612</v>
      </c>
      <c r="FU49" s="18">
        <f t="shared" si="180"/>
        <v>4456.73061645496</v>
      </c>
      <c r="FV49" s="18">
        <f t="shared" si="180"/>
        <v>4367.5960041258604</v>
      </c>
      <c r="FW49" s="18">
        <f t="shared" si="180"/>
        <v>4280.2440840433428</v>
      </c>
      <c r="FX49" s="18">
        <f t="shared" si="180"/>
        <v>4194.6392023624758</v>
      </c>
      <c r="FY49" s="18">
        <f t="shared" si="180"/>
        <v>4110.746418315226</v>
      </c>
      <c r="FZ49" s="18">
        <f t="shared" si="180"/>
        <v>4028.5314899489213</v>
      </c>
      <c r="GA49" s="18">
        <f t="shared" si="180"/>
        <v>3947.9608601499426</v>
      </c>
      <c r="GB49" s="18">
        <f t="shared" si="180"/>
        <v>3869.0016429469438</v>
      </c>
      <c r="GC49" s="18">
        <f t="shared" si="180"/>
        <v>3791.6216100880047</v>
      </c>
      <c r="GD49" s="18">
        <f t="shared" si="180"/>
        <v>3715.7891778862445</v>
      </c>
      <c r="GE49" s="18">
        <f t="shared" si="180"/>
        <v>3641.4733943285196</v>
      </c>
      <c r="GF49" s="18">
        <f t="shared" si="180"/>
        <v>3568.6439264419491</v>
      </c>
      <c r="GG49" s="18">
        <f t="shared" si="180"/>
        <v>3497.2710479131101</v>
      </c>
      <c r="GH49" s="18">
        <f t="shared" si="180"/>
        <v>3427.3256269548478</v>
      </c>
      <c r="GI49" s="18">
        <f t="shared" si="180"/>
        <v>3358.7791144157509</v>
      </c>
      <c r="GJ49" s="18">
        <f t="shared" si="180"/>
        <v>3291.6035321274358</v>
      </c>
      <c r="GK49" s="18">
        <f t="shared" si="180"/>
        <v>3225.7714614848869</v>
      </c>
      <c r="GL49" s="18">
        <f t="shared" si="180"/>
        <v>3161.256032255189</v>
      </c>
      <c r="GM49" s="18">
        <f t="shared" si="180"/>
        <v>3098.0309116100852</v>
      </c>
      <c r="GN49" s="18">
        <f t="shared" si="180"/>
        <v>3036.0702933778834</v>
      </c>
      <c r="GO49" s="18">
        <f t="shared" si="180"/>
        <v>2975.3488875103258</v>
      </c>
      <c r="GP49" s="18">
        <f t="shared" si="180"/>
        <v>2915.8419097601191</v>
      </c>
      <c r="GQ49" s="18">
        <f t="shared" si="180"/>
        <v>2857.5250715649167</v>
      </c>
      <c r="GR49" s="18">
        <f t="shared" si="180"/>
        <v>2800.3745701336184</v>
      </c>
      <c r="GS49" s="18">
        <f t="shared" si="180"/>
        <v>2744.3670787309461</v>
      </c>
      <c r="GT49" s="18">
        <f t="shared" si="180"/>
        <v>2689.4797371563272</v>
      </c>
      <c r="GU49" s="18">
        <f t="shared" si="180"/>
        <v>2635.6901424132006</v>
      </c>
      <c r="GV49" s="18">
        <f t="shared" si="180"/>
        <v>2582.9763395649366</v>
      </c>
      <c r="GW49" s="18">
        <f t="shared" si="180"/>
        <v>2531.3168127736376</v>
      </c>
      <c r="GX49" s="18">
        <f t="shared" ref="GX49:HB49" si="181">+GW49*(1+$EM$53)</f>
        <v>2480.6904765181648</v>
      </c>
      <c r="GY49" s="18">
        <f t="shared" si="181"/>
        <v>2431.0766669878017</v>
      </c>
      <c r="GZ49" s="18">
        <f t="shared" si="181"/>
        <v>2382.4551336480454</v>
      </c>
      <c r="HA49" s="18">
        <f t="shared" si="181"/>
        <v>2334.8060309750845</v>
      </c>
      <c r="HB49" s="18">
        <f t="shared" si="181"/>
        <v>2288.1099103555825</v>
      </c>
    </row>
    <row r="50" spans="2:210" s="61" customFormat="1">
      <c r="B50" s="91" t="s">
        <v>450</v>
      </c>
      <c r="C50" s="76">
        <f>C49/C51</f>
        <v>0.21241709653647745</v>
      </c>
      <c r="D50" s="76">
        <f>D49/D51</f>
        <v>0.15344011649071718</v>
      </c>
      <c r="E50" s="76">
        <f>E49/E51</f>
        <v>0.12981744421906696</v>
      </c>
      <c r="F50" s="76"/>
      <c r="G50" s="76">
        <f t="shared" ref="G50:AN50" si="182">G49/G51</f>
        <v>0.31558585114222559</v>
      </c>
      <c r="H50" s="76">
        <f t="shared" si="182"/>
        <v>0.37995995631598101</v>
      </c>
      <c r="I50" s="76">
        <f t="shared" si="182"/>
        <v>0.3353036002149381</v>
      </c>
      <c r="J50" s="76">
        <f t="shared" si="182"/>
        <v>0.35008163871159287</v>
      </c>
      <c r="K50" s="76">
        <f t="shared" si="182"/>
        <v>0.41721609008074684</v>
      </c>
      <c r="L50" s="76">
        <f t="shared" si="182"/>
        <v>0.48878990348923523</v>
      </c>
      <c r="M50" s="76">
        <f t="shared" si="182"/>
        <v>0.52989614243323424</v>
      </c>
      <c r="N50" s="76">
        <f t="shared" si="182"/>
        <v>0.45880597014925367</v>
      </c>
      <c r="O50" s="76">
        <f t="shared" si="182"/>
        <v>0.56803001876172565</v>
      </c>
      <c r="P50" s="76">
        <f t="shared" si="182"/>
        <v>0.61766714730211725</v>
      </c>
      <c r="Q50" s="76">
        <f t="shared" si="182"/>
        <v>0.63545454545454538</v>
      </c>
      <c r="R50" s="76">
        <f t="shared" si="182"/>
        <v>0.57648854961832063</v>
      </c>
      <c r="S50" s="76">
        <f t="shared" si="182"/>
        <v>0.71627906976744182</v>
      </c>
      <c r="T50" s="76">
        <f t="shared" si="182"/>
        <v>0.88319999999999999</v>
      </c>
      <c r="U50" s="76">
        <f t="shared" si="182"/>
        <v>0.85428342674139313</v>
      </c>
      <c r="V50" s="76">
        <f t="shared" si="182"/>
        <v>0.74658085277554309</v>
      </c>
      <c r="W50" s="76">
        <f t="shared" si="182"/>
        <v>0.90691927512355852</v>
      </c>
      <c r="X50" s="76">
        <f t="shared" si="182"/>
        <v>1.0457239627434378</v>
      </c>
      <c r="Y50" s="76">
        <f t="shared" si="182"/>
        <v>1.0425894378194207</v>
      </c>
      <c r="Z50" s="76">
        <f t="shared" si="182"/>
        <v>0.90212765957446805</v>
      </c>
      <c r="AA50" s="76">
        <f t="shared" si="182"/>
        <v>1.0836177474402731</v>
      </c>
      <c r="AB50" s="76">
        <f t="shared" si="182"/>
        <v>1.1174911660777385</v>
      </c>
      <c r="AC50" s="76">
        <f t="shared" si="182"/>
        <v>1.0844811753902663</v>
      </c>
      <c r="AD50" s="76">
        <f t="shared" si="182"/>
        <v>0.997250229147571</v>
      </c>
      <c r="AE50" s="76">
        <f t="shared" si="182"/>
        <v>1.1164069660861595</v>
      </c>
      <c r="AF50" s="76">
        <f t="shared" si="182"/>
        <v>1.1435185185185186</v>
      </c>
      <c r="AG50" s="76">
        <f t="shared" si="182"/>
        <v>1.2304797742238947</v>
      </c>
      <c r="AH50" s="76">
        <f t="shared" si="182"/>
        <v>1.05937794533459</v>
      </c>
      <c r="AI50" s="76">
        <f t="shared" si="182"/>
        <v>1.0800385728061717</v>
      </c>
      <c r="AJ50" s="76">
        <f t="shared" si="182"/>
        <v>1.2903543307086613</v>
      </c>
      <c r="AK50" s="76">
        <f t="shared" si="182"/>
        <v>1.4867776689520078</v>
      </c>
      <c r="AL50" s="76">
        <f t="shared" si="182"/>
        <v>1.0523715415019763</v>
      </c>
      <c r="AM50" s="76">
        <f t="shared" si="182"/>
        <v>1.2975708502024292</v>
      </c>
      <c r="AN50" s="76">
        <f t="shared" si="182"/>
        <v>1.3755186721991701</v>
      </c>
      <c r="AO50" s="76">
        <f t="shared" ref="AO50:AT50" si="183">AO49/AO51</f>
        <v>1.3648648648648649</v>
      </c>
      <c r="AP50" s="76">
        <f t="shared" si="183"/>
        <v>1.1659619450317125</v>
      </c>
      <c r="AQ50" s="76">
        <f t="shared" si="183"/>
        <v>1.3382978723404255</v>
      </c>
      <c r="AR50" s="76">
        <f t="shared" si="183"/>
        <v>1.3715203426124196</v>
      </c>
      <c r="AS50" s="76">
        <f>AS49/AS51</f>
        <v>2.0042997858672376</v>
      </c>
      <c r="AT50" s="76">
        <f t="shared" si="183"/>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84">BW49/BW51</f>
        <v>3.5623003194888181</v>
      </c>
      <c r="BX50" s="96">
        <f t="shared" si="184"/>
        <v>3.3409836065573773</v>
      </c>
      <c r="BY50" s="96" t="e">
        <f t="shared" si="184"/>
        <v>#DIV/0!</v>
      </c>
      <c r="BZ50" s="96">
        <f t="shared" si="184"/>
        <v>3.8060200668896322</v>
      </c>
      <c r="CA50" s="96">
        <f t="shared" si="184"/>
        <v>4.1683501683501687</v>
      </c>
      <c r="CB50" s="96">
        <f t="shared" si="184"/>
        <v>4.6064189189189193</v>
      </c>
      <c r="CC50" s="96">
        <f t="shared" ref="CC50:CD50" si="185">CC49/CC51</f>
        <v>4.5772495755517824</v>
      </c>
      <c r="CD50" s="96">
        <f t="shared" si="185"/>
        <v>3.6717948717948716</v>
      </c>
      <c r="CE50" s="96">
        <f>CE49/CE51</f>
        <v>4.0757314974182446</v>
      </c>
      <c r="CF50" s="96">
        <f t="shared" ref="CF50:CP50" si="186">CF49/CF51</f>
        <v>4.3784722222222223</v>
      </c>
      <c r="CG50" s="96">
        <f t="shared" si="186"/>
        <v>5.0614035087719298</v>
      </c>
      <c r="CH50" s="96">
        <f t="shared" si="186"/>
        <v>4.3008849557522124</v>
      </c>
      <c r="CI50" s="96">
        <f t="shared" si="186"/>
        <v>4.8021778584392019</v>
      </c>
      <c r="CJ50" s="96">
        <f t="shared" si="186"/>
        <v>4.0633147113594044</v>
      </c>
      <c r="CK50" s="96">
        <f t="shared" si="186"/>
        <v>4.3587360594795541</v>
      </c>
      <c r="CL50" s="96">
        <f t="shared" si="186"/>
        <v>3.5695732838589982</v>
      </c>
      <c r="CM50" s="96">
        <f t="shared" si="186"/>
        <v>3.5162894248608527</v>
      </c>
      <c r="CN50" s="96">
        <f t="shared" si="186"/>
        <v>4.3035992578849731</v>
      </c>
      <c r="CO50" s="96">
        <f t="shared" si="186"/>
        <v>4.0828200371057521</v>
      </c>
      <c r="CP50" s="96">
        <f t="shared" si="186"/>
        <v>5.136994434137292</v>
      </c>
      <c r="CQ50" s="96"/>
      <c r="CR50" s="96"/>
      <c r="CS50" s="96"/>
      <c r="CT50" s="96"/>
      <c r="CU50" s="96"/>
      <c r="CV50" s="96"/>
      <c r="CW50" s="96"/>
      <c r="CX50" s="76"/>
      <c r="CY50" s="76"/>
      <c r="CZ50" s="77"/>
      <c r="DA50" s="76"/>
      <c r="DB50" s="76"/>
      <c r="DC50" s="76"/>
      <c r="DD50" s="76">
        <f t="shared" ref="DD50:EJ50" si="187">DD49/DD51</f>
        <v>1.9019316493313521</v>
      </c>
      <c r="DE50" s="76">
        <f t="shared" si="187"/>
        <v>2.4007575757575759</v>
      </c>
      <c r="DF50" s="76">
        <f t="shared" si="187"/>
        <v>3.1978879173290933</v>
      </c>
      <c r="DG50" s="76">
        <f t="shared" si="187"/>
        <v>3.8954468802698146</v>
      </c>
      <c r="DH50" s="76">
        <f t="shared" si="187"/>
        <v>4.327921498661909</v>
      </c>
      <c r="DI50" s="76">
        <f t="shared" si="187"/>
        <v>4.5494761350407451</v>
      </c>
      <c r="DJ50" s="76">
        <f t="shared" si="187"/>
        <v>4.4182467685076379</v>
      </c>
      <c r="DK50" s="76">
        <f>DK49/DK51</f>
        <v>5.2062176165803109</v>
      </c>
      <c r="DL50" s="76">
        <f>DL49/DL51</f>
        <v>5.7164895777658993</v>
      </c>
      <c r="DM50" s="76">
        <f t="shared" si="187"/>
        <v>7.9156353931928676</v>
      </c>
      <c r="DN50" s="76">
        <f t="shared" si="187"/>
        <v>8.5117532617755955</v>
      </c>
      <c r="DO50" s="76">
        <f t="shared" si="187"/>
        <v>8.0789073287869559</v>
      </c>
      <c r="DP50" s="76">
        <f t="shared" si="187"/>
        <v>7.5305702733099409</v>
      </c>
      <c r="DQ50" s="76">
        <f t="shared" si="187"/>
        <v>7.4233896791804002</v>
      </c>
      <c r="DR50" s="76">
        <f t="shared" si="187"/>
        <v>-1.6911467961670055</v>
      </c>
      <c r="DS50" s="76">
        <f t="shared" si="187"/>
        <v>0</v>
      </c>
      <c r="DT50" s="76" t="e">
        <f t="shared" si="187"/>
        <v>#DIV/0!</v>
      </c>
      <c r="DU50" s="76">
        <f t="shared" si="187"/>
        <v>17.293220338983051</v>
      </c>
      <c r="DV50" s="76">
        <f t="shared" si="187"/>
        <v>18.183246073298431</v>
      </c>
      <c r="DW50" s="76">
        <f t="shared" si="187"/>
        <v>16.768591224018476</v>
      </c>
      <c r="DX50" s="76">
        <f t="shared" si="187"/>
        <v>29.315695732838591</v>
      </c>
      <c r="DY50" s="76">
        <f t="shared" si="187"/>
        <v>32.101223005565863</v>
      </c>
      <c r="DZ50" s="76">
        <f t="shared" si="187"/>
        <v>34.100015257884984</v>
      </c>
      <c r="EA50" s="76">
        <f t="shared" si="187"/>
        <v>34.592197168682738</v>
      </c>
      <c r="EB50" s="76">
        <f t="shared" si="187"/>
        <v>35.674972264960601</v>
      </c>
      <c r="EC50" s="76">
        <f t="shared" si="187"/>
        <v>35.706616432721823</v>
      </c>
      <c r="ED50" s="76">
        <f t="shared" si="187"/>
        <v>35.043340227982412</v>
      </c>
      <c r="EE50" s="76">
        <f t="shared" si="187"/>
        <v>29.251526843288357</v>
      </c>
      <c r="EF50" s="76">
        <f t="shared" si="187"/>
        <v>26.724934062012018</v>
      </c>
      <c r="EG50" s="76">
        <f t="shared" si="187"/>
        <v>25.625584000622599</v>
      </c>
      <c r="EH50" s="76">
        <f t="shared" si="187"/>
        <v>25.327271910797656</v>
      </c>
      <c r="EI50" s="76">
        <f t="shared" si="187"/>
        <v>25.456609921126045</v>
      </c>
      <c r="EJ50" s="76">
        <f t="shared" si="187"/>
        <v>17.460746954683795</v>
      </c>
    </row>
    <row r="51" spans="2:210" s="26" customFormat="1">
      <c r="B51" s="26" t="s">
        <v>449</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67">
        <v>551</v>
      </c>
      <c r="CJ51" s="67">
        <v>537</v>
      </c>
      <c r="CK51" s="67">
        <v>538</v>
      </c>
      <c r="CL51" s="67">
        <v>539</v>
      </c>
      <c r="CM51" s="67">
        <f t="shared" ref="CM51:CP51" si="188">+CL51</f>
        <v>539</v>
      </c>
      <c r="CN51" s="67">
        <f t="shared" si="188"/>
        <v>539</v>
      </c>
      <c r="CO51" s="67">
        <f t="shared" si="188"/>
        <v>539</v>
      </c>
      <c r="CP51" s="67">
        <f t="shared" si="188"/>
        <v>539</v>
      </c>
      <c r="CQ51" s="67"/>
      <c r="CR51" s="67"/>
      <c r="CS51" s="67"/>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9">DI51-10</f>
        <v>1063.75</v>
      </c>
      <c r="DK51" s="67">
        <f>AVERAGE(AM51:AP51)</f>
        <v>965</v>
      </c>
      <c r="DL51" s="67">
        <f>AVERAGE(AQ51:AT51)</f>
        <v>935.5</v>
      </c>
      <c r="DM51" s="67">
        <f t="shared" si="189"/>
        <v>925.5</v>
      </c>
      <c r="DN51" s="67">
        <f t="shared" si="189"/>
        <v>915.5</v>
      </c>
      <c r="DO51" s="67">
        <f t="shared" si="189"/>
        <v>905.5</v>
      </c>
      <c r="DP51" s="67">
        <f>DO51</f>
        <v>905.5</v>
      </c>
      <c r="DQ51" s="67">
        <f>+DP51</f>
        <v>905.5</v>
      </c>
      <c r="DR51" s="67">
        <f>+DQ51</f>
        <v>905.5</v>
      </c>
      <c r="DS51" s="67">
        <f>+DR51</f>
        <v>905.5</v>
      </c>
      <c r="DT51" s="67"/>
      <c r="DU51" s="67">
        <v>590</v>
      </c>
      <c r="DV51" s="67">
        <v>573</v>
      </c>
      <c r="DW51" s="67">
        <f>AVERAGE(CI51:CL51)</f>
        <v>541.25</v>
      </c>
      <c r="DX51" s="67">
        <f>AVERAGE(CM51:CP51)</f>
        <v>539</v>
      </c>
      <c r="DY51" s="67">
        <f>+DX51</f>
        <v>539</v>
      </c>
      <c r="DZ51" s="67">
        <f t="shared" ref="DZ51:EJ51" si="190">+DY51</f>
        <v>539</v>
      </c>
      <c r="EA51" s="67">
        <f t="shared" si="190"/>
        <v>539</v>
      </c>
      <c r="EB51" s="67">
        <f t="shared" si="190"/>
        <v>539</v>
      </c>
      <c r="EC51" s="67">
        <f t="shared" si="190"/>
        <v>539</v>
      </c>
      <c r="ED51" s="67">
        <f t="shared" si="190"/>
        <v>539</v>
      </c>
      <c r="EE51" s="67">
        <f t="shared" si="190"/>
        <v>539</v>
      </c>
      <c r="EF51" s="67">
        <f t="shared" si="190"/>
        <v>539</v>
      </c>
      <c r="EG51" s="67">
        <f t="shared" si="190"/>
        <v>539</v>
      </c>
      <c r="EH51" s="67">
        <f t="shared" si="190"/>
        <v>539</v>
      </c>
      <c r="EI51" s="67">
        <f t="shared" si="190"/>
        <v>539</v>
      </c>
      <c r="EJ51" s="67">
        <f t="shared" si="190"/>
        <v>539</v>
      </c>
    </row>
    <row r="52" spans="2:210">
      <c r="DB52" s="70"/>
      <c r="DC52" s="70"/>
      <c r="DD52" s="70"/>
      <c r="DE52" s="70"/>
      <c r="DF52" s="70"/>
      <c r="DG52" s="70"/>
      <c r="DH52" s="70"/>
      <c r="DI52" s="70"/>
      <c r="DJ52" s="70"/>
      <c r="DK52" s="70"/>
      <c r="DL52" s="70"/>
      <c r="DM52" s="78"/>
      <c r="DN52" s="70"/>
      <c r="DO52" s="70"/>
      <c r="DP52" s="70"/>
      <c r="EL52" s="70" t="s">
        <v>1127</v>
      </c>
      <c r="EM52" s="62">
        <v>0.01</v>
      </c>
    </row>
    <row r="53" spans="2:210" s="19" customFormat="1">
      <c r="B53" s="38" t="s">
        <v>101</v>
      </c>
      <c r="C53" s="79"/>
      <c r="D53" s="79"/>
      <c r="E53" s="79"/>
      <c r="F53" s="79"/>
      <c r="G53" s="79"/>
      <c r="H53" s="79"/>
      <c r="I53" s="79"/>
      <c r="J53" s="79"/>
      <c r="K53" s="79">
        <f t="shared" ref="K53:AR53" si="191">K41/K39</f>
        <v>0.84193493442343725</v>
      </c>
      <c r="L53" s="79">
        <f t="shared" si="191"/>
        <v>0.8411640781931311</v>
      </c>
      <c r="M53" s="79">
        <f t="shared" si="191"/>
        <v>0.84783986957703106</v>
      </c>
      <c r="N53" s="79">
        <f t="shared" si="191"/>
        <v>0.8365720617062985</v>
      </c>
      <c r="O53" s="79">
        <f t="shared" si="191"/>
        <v>0.84143582739340128</v>
      </c>
      <c r="P53" s="79">
        <f t="shared" si="191"/>
        <v>0.83169542675849262</v>
      </c>
      <c r="Q53" s="79">
        <f t="shared" si="191"/>
        <v>0.83523774419461849</v>
      </c>
      <c r="R53" s="79">
        <f t="shared" si="191"/>
        <v>0.83636988655895494</v>
      </c>
      <c r="S53" s="79">
        <f t="shared" si="191"/>
        <v>0.82739145781856693</v>
      </c>
      <c r="T53" s="79">
        <f t="shared" si="191"/>
        <v>0.83291298865069352</v>
      </c>
      <c r="U53" s="79">
        <f t="shared" si="191"/>
        <v>0.83988585922637915</v>
      </c>
      <c r="V53" s="79">
        <f t="shared" si="191"/>
        <v>0.84377866095995113</v>
      </c>
      <c r="W53" s="79">
        <f t="shared" si="191"/>
        <v>0.82841156356854218</v>
      </c>
      <c r="X53" s="79">
        <f t="shared" si="191"/>
        <v>0.86348501664816868</v>
      </c>
      <c r="Y53" s="79">
        <f t="shared" si="191"/>
        <v>0.86572535991140642</v>
      </c>
      <c r="Z53" s="79">
        <f t="shared" si="191"/>
        <v>0.85632333767926994</v>
      </c>
      <c r="AA53" s="79">
        <f t="shared" si="191"/>
        <v>0.84838622186059132</v>
      </c>
      <c r="AB53" s="79">
        <f t="shared" si="191"/>
        <v>0.85354077253218885</v>
      </c>
      <c r="AC53" s="79">
        <f t="shared" si="191"/>
        <v>0.83799501523123787</v>
      </c>
      <c r="AD53" s="79">
        <f t="shared" si="191"/>
        <v>0.84913217623497994</v>
      </c>
      <c r="AE53" s="79">
        <f t="shared" si="191"/>
        <v>0.84998616108497094</v>
      </c>
      <c r="AF53" s="79">
        <f t="shared" si="191"/>
        <v>0.8639744952178533</v>
      </c>
      <c r="AG53" s="79">
        <f t="shared" si="191"/>
        <v>0.847741935483871</v>
      </c>
      <c r="AH53" s="79">
        <f t="shared" si="191"/>
        <v>0.8536390295921088</v>
      </c>
      <c r="AI53" s="79">
        <f t="shared" si="191"/>
        <v>0.85671100362756958</v>
      </c>
      <c r="AJ53" s="79">
        <f t="shared" si="191"/>
        <v>0.858066253703205</v>
      </c>
      <c r="AK53" s="79">
        <f t="shared" si="191"/>
        <v>0.85781741867785943</v>
      </c>
      <c r="AL53" s="79">
        <f t="shared" si="191"/>
        <v>0.85954318718823841</v>
      </c>
      <c r="AM53" s="79">
        <f t="shared" si="191"/>
        <v>0.85968819599109136</v>
      </c>
      <c r="AN53" s="79">
        <f t="shared" si="191"/>
        <v>0.85567823343848581</v>
      </c>
      <c r="AO53" s="79">
        <f t="shared" si="191"/>
        <v>0.84696016771488469</v>
      </c>
      <c r="AP53" s="79">
        <f t="shared" si="191"/>
        <v>0.85212184326998175</v>
      </c>
      <c r="AQ53" s="93">
        <f t="shared" si="191"/>
        <v>0.85429033998920667</v>
      </c>
      <c r="AR53" s="93">
        <f t="shared" si="191"/>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92">BV41/BV39</f>
        <v>0.86853932584269666</v>
      </c>
      <c r="BW53" s="79">
        <f t="shared" ref="BW53" si="193">BW41/BW39</f>
        <v>0.85981644772359189</v>
      </c>
      <c r="BX53" s="79">
        <f t="shared" ref="BX53" si="194">BX41/BX39</f>
        <v>0.87463805143927775</v>
      </c>
      <c r="BY53" s="79"/>
      <c r="BZ53" s="79">
        <f t="shared" ref="BZ53:CA53" si="195">BZ41/BZ39</f>
        <v>0.87251896078747782</v>
      </c>
      <c r="CA53" s="79">
        <f t="shared" si="195"/>
        <v>0.87485797760103878</v>
      </c>
      <c r="CB53" s="79">
        <f t="shared" ref="CB53:CC53" si="196">CB41/CB39</f>
        <v>0.87786013535288432</v>
      </c>
      <c r="CC53" s="79">
        <f t="shared" si="196"/>
        <v>0.86392651408998911</v>
      </c>
      <c r="CD53" s="79">
        <f t="shared" ref="CD53:CH53" si="197">CD41/CD39</f>
        <v>0.8554416641543563</v>
      </c>
      <c r="CE53" s="79">
        <f t="shared" si="197"/>
        <v>0.85307574987290291</v>
      </c>
      <c r="CF53" s="79">
        <f t="shared" si="197"/>
        <v>0.841556849524977</v>
      </c>
      <c r="CG53" s="79">
        <f t="shared" si="197"/>
        <v>0.8513271696987772</v>
      </c>
      <c r="CH53" s="79">
        <f t="shared" si="197"/>
        <v>0.83990651475314049</v>
      </c>
      <c r="CI53" s="79">
        <f>CI41/CI39</f>
        <v>0.8475472907983328</v>
      </c>
      <c r="CJ53" s="79">
        <f t="shared" ref="CJ53:CP53" si="198">CJ41/CJ39</f>
        <v>0.85257124661678074</v>
      </c>
      <c r="CK53" s="79">
        <f t="shared" si="198"/>
        <v>0.83918550585217255</v>
      </c>
      <c r="CL53" s="79">
        <f t="shared" si="198"/>
        <v>0.83653846153846156</v>
      </c>
      <c r="CM53" s="79">
        <f t="shared" si="198"/>
        <v>0.84999999999999987</v>
      </c>
      <c r="CN53" s="79">
        <f t="shared" si="198"/>
        <v>0.85</v>
      </c>
      <c r="CO53" s="79">
        <f t="shared" si="198"/>
        <v>0.85</v>
      </c>
      <c r="CP53" s="79">
        <f t="shared" si="198"/>
        <v>0.85</v>
      </c>
      <c r="CQ53" s="79"/>
      <c r="CR53" s="79"/>
      <c r="CS53" s="79"/>
      <c r="CT53" s="79"/>
      <c r="CU53" s="79"/>
      <c r="CV53" s="79"/>
      <c r="CW53" s="79"/>
      <c r="CX53" s="79"/>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DX53" si="199">DU41/DU39</f>
        <v>0.86776274386406549</v>
      </c>
      <c r="DV53" s="79">
        <f t="shared" si="199"/>
        <v>0.84626044112552445</v>
      </c>
      <c r="DW53" s="79">
        <f t="shared" si="199"/>
        <v>0.84375370743860478</v>
      </c>
      <c r="DX53" s="79">
        <f t="shared" si="199"/>
        <v>0.85</v>
      </c>
      <c r="DY53" s="80"/>
      <c r="DZ53" s="80"/>
      <c r="EA53" s="80"/>
      <c r="EB53" s="80"/>
      <c r="EC53" s="80"/>
      <c r="EF53" s="80"/>
      <c r="EL53" s="71" t="s">
        <v>798</v>
      </c>
      <c r="EM53" s="62">
        <v>-0.02</v>
      </c>
    </row>
    <row r="54" spans="2:210" s="30" customFormat="1">
      <c r="B54" s="30" t="s">
        <v>283</v>
      </c>
      <c r="C54" s="81"/>
      <c r="D54" s="82"/>
      <c r="E54" s="82"/>
      <c r="F54" s="82"/>
      <c r="G54" s="82"/>
      <c r="H54" s="82"/>
      <c r="I54" s="82"/>
      <c r="J54" s="82"/>
      <c r="K54" s="79">
        <f t="shared" ref="K54:AT54" si="200">K42/K39</f>
        <v>0.19394765230227676</v>
      </c>
      <c r="L54" s="79">
        <f t="shared" si="200"/>
        <v>0.18842780853461372</v>
      </c>
      <c r="M54" s="79">
        <f t="shared" si="200"/>
        <v>0.18114301240829636</v>
      </c>
      <c r="N54" s="79">
        <f t="shared" si="200"/>
        <v>0.21085826301883578</v>
      </c>
      <c r="O54" s="79">
        <f t="shared" si="200"/>
        <v>0.18477101028639722</v>
      </c>
      <c r="P54" s="79">
        <f t="shared" si="200"/>
        <v>0.17813201269055173</v>
      </c>
      <c r="Q54" s="79">
        <f t="shared" si="200"/>
        <v>0.18245484703280501</v>
      </c>
      <c r="R54" s="79">
        <f t="shared" si="200"/>
        <v>0.20900653145410794</v>
      </c>
      <c r="S54" s="79">
        <f t="shared" si="200"/>
        <v>0.18390398870455349</v>
      </c>
      <c r="T54" s="79">
        <f t="shared" si="200"/>
        <v>0.17780580075662042</v>
      </c>
      <c r="U54" s="79">
        <f t="shared" si="200"/>
        <v>0.17723525681674066</v>
      </c>
      <c r="V54" s="79">
        <f t="shared" si="200"/>
        <v>0.20116172424335066</v>
      </c>
      <c r="W54" s="79">
        <f t="shared" si="200"/>
        <v>0.19396953683556109</v>
      </c>
      <c r="X54" s="79">
        <f t="shared" si="200"/>
        <v>0.20227524972253053</v>
      </c>
      <c r="Y54" s="79">
        <f t="shared" si="200"/>
        <v>0.23117386489479513</v>
      </c>
      <c r="Z54" s="79">
        <f t="shared" si="200"/>
        <v>0.26153846153846155</v>
      </c>
      <c r="AA54" s="79">
        <f t="shared" si="200"/>
        <v>0.21779224301600217</v>
      </c>
      <c r="AB54" s="79">
        <f t="shared" si="200"/>
        <v>0.20842274678111589</v>
      </c>
      <c r="AC54" s="79">
        <f t="shared" si="200"/>
        <v>0.19357518692882858</v>
      </c>
      <c r="AD54" s="79">
        <f t="shared" si="200"/>
        <v>0.20961281708945259</v>
      </c>
      <c r="AE54" s="79">
        <f t="shared" si="200"/>
        <v>0.18295045668419596</v>
      </c>
      <c r="AF54" s="79">
        <f t="shared" si="200"/>
        <v>0.20696068012752392</v>
      </c>
      <c r="AG54" s="79">
        <f t="shared" si="200"/>
        <v>0.18064516129032257</v>
      </c>
      <c r="AH54" s="79">
        <f t="shared" si="200"/>
        <v>0.20527859237536658</v>
      </c>
      <c r="AI54" s="79">
        <f t="shared" si="200"/>
        <v>0.18288996372430472</v>
      </c>
      <c r="AJ54" s="79">
        <f t="shared" si="200"/>
        <v>0.17694586587664962</v>
      </c>
      <c r="AK54" s="79">
        <f t="shared" si="200"/>
        <v>0.16080797481636935</v>
      </c>
      <c r="AL54" s="79">
        <f t="shared" si="200"/>
        <v>0.22683118928852716</v>
      </c>
      <c r="AM54" s="79">
        <f t="shared" si="200"/>
        <v>0.1717706013363029</v>
      </c>
      <c r="AN54" s="79">
        <f t="shared" si="200"/>
        <v>0.16876971608832808</v>
      </c>
      <c r="AO54" s="79">
        <f t="shared" si="200"/>
        <v>0.18055555555555555</v>
      </c>
      <c r="AP54" s="79">
        <f t="shared" si="200"/>
        <v>0.21478781567300181</v>
      </c>
      <c r="AQ54" s="93">
        <f t="shared" si="200"/>
        <v>0.18969239071775498</v>
      </c>
      <c r="AR54" s="93">
        <f t="shared" si="200"/>
        <v>0.20409194240969941</v>
      </c>
      <c r="AS54" s="79">
        <f t="shared" si="200"/>
        <v>0</v>
      </c>
      <c r="AT54" s="79">
        <f t="shared" si="200"/>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201">BV42/BV39</f>
        <v>0.18651685393258427</v>
      </c>
      <c r="BW54" s="79">
        <f t="shared" ref="BW54" si="202">BW42/BW39</f>
        <v>0.15457980924959511</v>
      </c>
      <c r="BX54" s="79">
        <f t="shared" ref="BX54" si="203">BX42/BX39</f>
        <v>0.1543178334184977</v>
      </c>
      <c r="BY54" s="79"/>
      <c r="BZ54" s="79">
        <f t="shared" ref="BZ54:CA54" si="204">BZ42/BZ39</f>
        <v>0.20735839922543167</v>
      </c>
      <c r="CA54" s="79">
        <f t="shared" si="204"/>
        <v>0.1504625872423308</v>
      </c>
      <c r="CB54" s="79">
        <f t="shared" ref="CB54:CC54" si="205">CB42/CB39</f>
        <v>0.15082178536899774</v>
      </c>
      <c r="CC54" s="79">
        <f t="shared" si="205"/>
        <v>0.16145103534174063</v>
      </c>
      <c r="CD54" s="79">
        <f t="shared" ref="CD54:CH54" si="206">CD42/CD39</f>
        <v>0.17862526379258367</v>
      </c>
      <c r="CE54" s="79">
        <f t="shared" si="206"/>
        <v>0.15997288595153364</v>
      </c>
      <c r="CF54" s="79">
        <f t="shared" si="206"/>
        <v>0.15874961691694758</v>
      </c>
      <c r="CG54" s="79">
        <f t="shared" si="206"/>
        <v>0.14867283030122277</v>
      </c>
      <c r="CH54" s="79">
        <f t="shared" si="206"/>
        <v>0.19266725094945955</v>
      </c>
      <c r="CI54" s="79">
        <f>CI42/CI39</f>
        <v>0.14972747675537032</v>
      </c>
      <c r="CJ54" s="79">
        <f t="shared" ref="CJ54:CP54" si="207">CJ42/CJ39</f>
        <v>0.16239452316510111</v>
      </c>
      <c r="CK54" s="79">
        <f t="shared" si="207"/>
        <v>0.17572550905884241</v>
      </c>
      <c r="CL54" s="79">
        <f t="shared" si="207"/>
        <v>0.19703907203907203</v>
      </c>
      <c r="CM54" s="79">
        <f t="shared" si="207"/>
        <v>0.15976736229900787</v>
      </c>
      <c r="CN54" s="79">
        <f t="shared" si="207"/>
        <v>0.15262606613796198</v>
      </c>
      <c r="CO54" s="79">
        <f t="shared" si="207"/>
        <v>0.16737935247403787</v>
      </c>
      <c r="CP54" s="79">
        <f t="shared" si="207"/>
        <v>0.16481552406485384</v>
      </c>
      <c r="CQ54" s="79"/>
      <c r="CR54" s="79"/>
      <c r="CS54" s="79"/>
      <c r="CT54" s="79"/>
      <c r="CU54" s="79"/>
      <c r="CV54" s="79"/>
      <c r="CW54" s="79"/>
      <c r="CX54" s="79"/>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8">DK54-0.5%</f>
        <v>0.17499999999999999</v>
      </c>
      <c r="DM54" s="79">
        <f t="shared" si="208"/>
        <v>0.16999999999999998</v>
      </c>
      <c r="DN54" s="79">
        <f t="shared" si="208"/>
        <v>0.16499999999999998</v>
      </c>
      <c r="DO54" s="79">
        <f t="shared" si="208"/>
        <v>0.15999999999999998</v>
      </c>
      <c r="DP54" s="79">
        <f t="shared" si="208"/>
        <v>0.15499999999999997</v>
      </c>
      <c r="DQ54" s="79">
        <f t="shared" si="208"/>
        <v>0.14999999999999997</v>
      </c>
      <c r="DR54" s="79">
        <f t="shared" si="208"/>
        <v>0.14499999999999996</v>
      </c>
      <c r="DS54" s="79">
        <f t="shared" si="208"/>
        <v>0.13999999999999996</v>
      </c>
      <c r="DT54" s="79"/>
      <c r="DU54" s="82"/>
      <c r="DV54" s="82"/>
      <c r="DW54" s="82"/>
      <c r="DX54" s="82"/>
      <c r="DY54" s="82"/>
      <c r="DZ54" s="82"/>
      <c r="EA54" s="82"/>
      <c r="EB54" s="82"/>
      <c r="EC54" s="82"/>
      <c r="EF54" s="82"/>
      <c r="EL54" s="71" t="s">
        <v>799</v>
      </c>
      <c r="EM54" s="62">
        <v>0.08</v>
      </c>
    </row>
    <row r="55" spans="2:210" s="30" customFormat="1">
      <c r="B55" s="30" t="s">
        <v>284</v>
      </c>
      <c r="C55" s="82"/>
      <c r="D55" s="82"/>
      <c r="E55" s="82"/>
      <c r="F55" s="82"/>
      <c r="G55" s="82"/>
      <c r="H55" s="82"/>
      <c r="I55" s="82"/>
      <c r="J55" s="82"/>
      <c r="K55" s="79">
        <f t="shared" ref="K55:AT55" si="209">K43/K39</f>
        <v>0.21330835178561289</v>
      </c>
      <c r="L55" s="79">
        <f t="shared" si="209"/>
        <v>0.21434520601636373</v>
      </c>
      <c r="M55" s="79">
        <f t="shared" si="209"/>
        <v>0.21211846753011507</v>
      </c>
      <c r="N55" s="79">
        <f t="shared" si="209"/>
        <v>0.26071763402369386</v>
      </c>
      <c r="O55" s="79">
        <f t="shared" si="209"/>
        <v>0.2189594092790986</v>
      </c>
      <c r="P55" s="79">
        <f t="shared" si="209"/>
        <v>0.22699837499032735</v>
      </c>
      <c r="Q55" s="79">
        <f t="shared" si="209"/>
        <v>0.23405823811279028</v>
      </c>
      <c r="R55" s="79">
        <f t="shared" si="209"/>
        <v>0.27947748367136471</v>
      </c>
      <c r="S55" s="79">
        <f t="shared" si="209"/>
        <v>0.20367102012001412</v>
      </c>
      <c r="T55" s="79">
        <f t="shared" si="209"/>
        <v>0.20365699873896595</v>
      </c>
      <c r="U55" s="79">
        <f t="shared" si="209"/>
        <v>0.20798985415345592</v>
      </c>
      <c r="V55" s="79">
        <f t="shared" si="209"/>
        <v>0.27911953531030265</v>
      </c>
      <c r="W55" s="79">
        <f t="shared" si="209"/>
        <v>0.20267329810382345</v>
      </c>
      <c r="X55" s="79">
        <f t="shared" si="209"/>
        <v>0.22169811320754718</v>
      </c>
      <c r="Y55" s="79">
        <f t="shared" si="209"/>
        <v>0.21650055370985605</v>
      </c>
      <c r="Z55" s="79">
        <f t="shared" si="209"/>
        <v>0.26101694915254237</v>
      </c>
      <c r="AA55" s="79">
        <f t="shared" si="209"/>
        <v>0.2028749660970979</v>
      </c>
      <c r="AB55" s="79">
        <f t="shared" si="209"/>
        <v>0.22532188841201717</v>
      </c>
      <c r="AC55" s="79">
        <f t="shared" si="209"/>
        <v>0.22265300470783717</v>
      </c>
      <c r="AD55" s="79">
        <f t="shared" si="209"/>
        <v>0.2643524699599466</v>
      </c>
      <c r="AE55" s="79">
        <f t="shared" si="209"/>
        <v>0.23858289510102407</v>
      </c>
      <c r="AF55" s="79">
        <f t="shared" si="209"/>
        <v>0.23751328374070138</v>
      </c>
      <c r="AG55" s="79">
        <f t="shared" si="209"/>
        <v>0.22967741935483871</v>
      </c>
      <c r="AH55" s="79">
        <f t="shared" si="209"/>
        <v>0.28312450013329776</v>
      </c>
      <c r="AI55" s="79">
        <f t="shared" si="209"/>
        <v>0.23397823458282951</v>
      </c>
      <c r="AJ55" s="79">
        <f t="shared" si="209"/>
        <v>0.23996768112038783</v>
      </c>
      <c r="AK55" s="79">
        <f t="shared" si="209"/>
        <v>0.2395068205666317</v>
      </c>
      <c r="AL55" s="79">
        <f t="shared" si="209"/>
        <v>0.30427933840903126</v>
      </c>
      <c r="AM55" s="79">
        <f t="shared" si="209"/>
        <v>0.2430400890868597</v>
      </c>
      <c r="AN55" s="79">
        <f t="shared" si="209"/>
        <v>0.25446898002103052</v>
      </c>
      <c r="AO55" s="79">
        <f t="shared" si="209"/>
        <v>0.24685534591194969</v>
      </c>
      <c r="AP55" s="79">
        <f t="shared" si="209"/>
        <v>0.29731840666493103</v>
      </c>
      <c r="AQ55" s="93">
        <f t="shared" si="209"/>
        <v>0.27280086346465193</v>
      </c>
      <c r="AR55" s="93">
        <f t="shared" si="209"/>
        <v>0.28062642081333672</v>
      </c>
      <c r="AS55" s="79">
        <f t="shared" si="209"/>
        <v>0.24396560654718741</v>
      </c>
      <c r="AT55" s="79">
        <f t="shared" si="209"/>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10">BV43/BV39</f>
        <v>0.24590690208667737</v>
      </c>
      <c r="BW55" s="79">
        <f t="shared" ref="BW55" si="211">BW43/BW39</f>
        <v>0.20676624077739789</v>
      </c>
      <c r="BX55" s="79">
        <f t="shared" ref="BX55" si="212">BX43/BX39</f>
        <v>0.21393289047862374</v>
      </c>
      <c r="BY55" s="79"/>
      <c r="BZ55" s="79">
        <f t="shared" ref="BZ55:CA55" si="213">BZ43/BZ39</f>
        <v>0.24221397450379215</v>
      </c>
      <c r="CA55" s="79">
        <f t="shared" si="213"/>
        <v>0.20889465995779904</v>
      </c>
      <c r="CB55" s="79">
        <f t="shared" ref="CB55:CC55" si="214">CB43/CB39</f>
        <v>0.20383499838865615</v>
      </c>
      <c r="CC55" s="79">
        <f t="shared" si="214"/>
        <v>0.2069126576366184</v>
      </c>
      <c r="CD55" s="79">
        <f t="shared" ref="CD55:CH55" si="215">CD43/CD39</f>
        <v>0.26560144709074462</v>
      </c>
      <c r="CE55" s="79">
        <f t="shared" si="215"/>
        <v>0.20776139637349603</v>
      </c>
      <c r="CF55" s="79">
        <f t="shared" si="215"/>
        <v>0.20609868219429972</v>
      </c>
      <c r="CG55" s="79">
        <f t="shared" si="215"/>
        <v>0.18789144050104384</v>
      </c>
      <c r="CH55" s="79">
        <f t="shared" si="215"/>
        <v>0.20946538124452235</v>
      </c>
      <c r="CI55" s="79">
        <f>CI43/CI39</f>
        <v>0.19445335043283105</v>
      </c>
      <c r="CJ55" s="79">
        <f t="shared" ref="CJ55:CP55" si="216">CJ43/CJ39</f>
        <v>0.20904314599586052</v>
      </c>
      <c r="CK55" s="79">
        <f t="shared" si="216"/>
        <v>0.20458553791887124</v>
      </c>
      <c r="CL55" s="79">
        <f t="shared" si="216"/>
        <v>0.22405372405372406</v>
      </c>
      <c r="CM55" s="79">
        <f t="shared" si="216"/>
        <v>0.20749230242901129</v>
      </c>
      <c r="CN55" s="79">
        <f t="shared" si="216"/>
        <v>0.19646865180308246</v>
      </c>
      <c r="CO55" s="79">
        <f t="shared" si="216"/>
        <v>0.19486866218692731</v>
      </c>
      <c r="CP55" s="79">
        <f t="shared" si="216"/>
        <v>0.18741223030767268</v>
      </c>
      <c r="CQ55" s="79"/>
      <c r="CR55" s="79"/>
      <c r="CS55" s="79"/>
      <c r="CT55" s="79"/>
      <c r="CU55" s="79"/>
      <c r="CV55" s="79"/>
      <c r="CW55" s="79"/>
      <c r="CX55" s="79"/>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82"/>
      <c r="DW55" s="82"/>
      <c r="DX55" s="82"/>
      <c r="DY55" s="82"/>
      <c r="DZ55" s="82"/>
      <c r="EA55" s="82"/>
      <c r="EB55" s="82"/>
      <c r="EC55" s="82"/>
      <c r="EF55" s="82"/>
      <c r="EL55" s="71" t="s">
        <v>800</v>
      </c>
      <c r="EM55" s="67">
        <f>NPV($EM$54,DY49:GR49)+Main!J5-Main!J6+DX49</f>
        <v>124527.65215182173</v>
      </c>
    </row>
    <row r="56" spans="2:210" s="30" customFormat="1">
      <c r="B56" s="30" t="s">
        <v>979</v>
      </c>
      <c r="C56" s="82"/>
      <c r="D56" s="82"/>
      <c r="E56" s="82"/>
      <c r="F56" s="82"/>
      <c r="G56" s="82"/>
      <c r="H56" s="82"/>
      <c r="I56" s="82"/>
      <c r="J56" s="82"/>
      <c r="K56" s="79">
        <f t="shared" ref="K56:AT56" si="217">K45/K39</f>
        <v>0.43467893033554772</v>
      </c>
      <c r="L56" s="79">
        <f t="shared" si="217"/>
        <v>0.43839106364215369</v>
      </c>
      <c r="M56" s="79">
        <f t="shared" si="217"/>
        <v>0.45457838963861963</v>
      </c>
      <c r="N56" s="79">
        <f t="shared" si="217"/>
        <v>0.36499616466376889</v>
      </c>
      <c r="O56" s="79">
        <f t="shared" si="217"/>
        <v>0.43770540782790546</v>
      </c>
      <c r="P56" s="79">
        <f t="shared" si="217"/>
        <v>0.42656503907761356</v>
      </c>
      <c r="Q56" s="79">
        <f t="shared" si="217"/>
        <v>0.41872465904902323</v>
      </c>
      <c r="R56" s="79">
        <f t="shared" si="217"/>
        <v>0.34788587143348232</v>
      </c>
      <c r="S56" s="79">
        <f t="shared" si="217"/>
        <v>0.4398164489939993</v>
      </c>
      <c r="T56" s="79">
        <f t="shared" si="217"/>
        <v>0.45145018915510721</v>
      </c>
      <c r="U56" s="79">
        <f t="shared" si="217"/>
        <v>0.45466074825618263</v>
      </c>
      <c r="V56" s="79">
        <f t="shared" si="217"/>
        <v>0.36349740140629777</v>
      </c>
      <c r="W56" s="79">
        <f t="shared" si="217"/>
        <v>0.43176872862915761</v>
      </c>
      <c r="X56" s="79">
        <f t="shared" si="217"/>
        <v>0.43951165371809103</v>
      </c>
      <c r="Y56" s="79">
        <f t="shared" si="217"/>
        <v>0.41805094130675524</v>
      </c>
      <c r="Z56" s="79">
        <f t="shared" si="217"/>
        <v>0.33376792698826596</v>
      </c>
      <c r="AA56" s="79">
        <f t="shared" si="217"/>
        <v>0.42771901274749119</v>
      </c>
      <c r="AB56" s="79">
        <f t="shared" si="217"/>
        <v>0.4197961373390558</v>
      </c>
      <c r="AC56" s="79">
        <f t="shared" si="217"/>
        <v>0.42176682359457213</v>
      </c>
      <c r="AD56" s="79">
        <f t="shared" si="217"/>
        <v>0.37516688918558078</v>
      </c>
      <c r="AE56" s="79">
        <f t="shared" si="217"/>
        <v>0.42845280929975088</v>
      </c>
      <c r="AF56" s="79">
        <f t="shared" si="217"/>
        <v>0.41950053134962806</v>
      </c>
      <c r="AG56" s="79">
        <f t="shared" si="217"/>
        <v>0.4374193548387097</v>
      </c>
      <c r="AH56" s="79">
        <f t="shared" si="217"/>
        <v>0.36523593708344443</v>
      </c>
      <c r="AI56" s="79">
        <f t="shared" si="217"/>
        <v>0.43984280532043529</v>
      </c>
      <c r="AJ56" s="79">
        <f t="shared" si="217"/>
        <v>0.44115270670616752</v>
      </c>
      <c r="AK56" s="79">
        <f t="shared" si="217"/>
        <v>0.45750262329485836</v>
      </c>
      <c r="AL56" s="79">
        <f t="shared" si="217"/>
        <v>0.32843265949067996</v>
      </c>
      <c r="AM56" s="79">
        <f t="shared" si="217"/>
        <v>0.44487750556792871</v>
      </c>
      <c r="AN56" s="79">
        <f t="shared" si="217"/>
        <v>0.43243953732912721</v>
      </c>
      <c r="AO56" s="79">
        <f t="shared" si="217"/>
        <v>0.41954926624737948</v>
      </c>
      <c r="AP56" s="79">
        <f t="shared" si="217"/>
        <v>0.34001562093204896</v>
      </c>
      <c r="AQ56" s="93">
        <f t="shared" si="217"/>
        <v>0.39179708580679978</v>
      </c>
      <c r="AR56" s="93">
        <f t="shared" si="217"/>
        <v>0.37155847436221268</v>
      </c>
      <c r="AS56" s="79">
        <f t="shared" si="217"/>
        <v>0.60603439345281263</v>
      </c>
      <c r="AT56" s="79">
        <f t="shared" si="217"/>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18">BV45/BV39</f>
        <v>0.43611556982343497</v>
      </c>
      <c r="BW56" s="79">
        <f t="shared" ref="BW56" si="219">BW45/BW39</f>
        <v>0.4984703976965989</v>
      </c>
      <c r="BX56" s="79">
        <f t="shared" ref="BX56" si="220">BX45/BX39</f>
        <v>0.50638732754215632</v>
      </c>
      <c r="BY56" s="79"/>
      <c r="BZ56" s="79">
        <f t="shared" ref="BZ56:CA56" si="221">BZ45/BZ39</f>
        <v>0.422946587058254</v>
      </c>
      <c r="CA56" s="79">
        <f t="shared" si="221"/>
        <v>0.51550073040090894</v>
      </c>
      <c r="CB56" s="79">
        <f t="shared" ref="CB56:CC56" si="222">CB45/CB39</f>
        <v>0.52320335159523046</v>
      </c>
      <c r="CC56" s="79">
        <f t="shared" si="222"/>
        <v>0.49556282111163008</v>
      </c>
      <c r="CD56" s="79">
        <f t="shared" ref="CD56:CH56" si="223">CD45/CD39</f>
        <v>0.41121495327102803</v>
      </c>
      <c r="CE56" s="79">
        <f t="shared" si="223"/>
        <v>0.48534146754787322</v>
      </c>
      <c r="CF56" s="79">
        <f t="shared" si="223"/>
        <v>0.47670855041372967</v>
      </c>
      <c r="CG56" s="79">
        <f t="shared" si="223"/>
        <v>0.51476289889651061</v>
      </c>
      <c r="CH56" s="79">
        <f t="shared" si="223"/>
        <v>0.43777388255915861</v>
      </c>
      <c r="CI56" s="79">
        <f>CI45/CI39</f>
        <v>0.50336646361013149</v>
      </c>
      <c r="CJ56" s="79">
        <f t="shared" ref="CJ56:CP56" si="224">CJ45/CJ39</f>
        <v>0.48113357745581914</v>
      </c>
      <c r="CK56" s="79">
        <f t="shared" si="224"/>
        <v>0.45887445887445888</v>
      </c>
      <c r="CL56" s="79">
        <f t="shared" si="224"/>
        <v>0.41544566544566547</v>
      </c>
      <c r="CM56" s="79">
        <f t="shared" si="224"/>
        <v>0.48274033527198074</v>
      </c>
      <c r="CN56" s="79">
        <f t="shared" si="224"/>
        <v>0.50090528205895557</v>
      </c>
      <c r="CO56" s="79">
        <f t="shared" si="224"/>
        <v>0.48775198533903485</v>
      </c>
      <c r="CP56" s="79">
        <f t="shared" si="224"/>
        <v>0.49777224562747352</v>
      </c>
      <c r="CQ56" s="79"/>
      <c r="CR56" s="79"/>
      <c r="CS56" s="79"/>
      <c r="CT56" s="79"/>
      <c r="CU56" s="79"/>
      <c r="CV56" s="79"/>
      <c r="CW56" s="79"/>
      <c r="CX56" s="79"/>
      <c r="CY56" s="79"/>
      <c r="CZ56" s="82"/>
      <c r="DA56" s="79"/>
      <c r="DB56" s="79"/>
      <c r="DC56" s="79"/>
      <c r="DD56" s="79"/>
      <c r="DE56" s="79">
        <f t="shared" ref="DE56:DT56" si="225">DE45/DE39</f>
        <v>0.40529445741820608</v>
      </c>
      <c r="DF56" s="79">
        <f t="shared" si="225"/>
        <v>0.42646363636363632</v>
      </c>
      <c r="DG56" s="79">
        <f t="shared" si="225"/>
        <v>0.40391084945332212</v>
      </c>
      <c r="DH56" s="79">
        <f t="shared" si="225"/>
        <v>0.41094035610317514</v>
      </c>
      <c r="DI56" s="79">
        <f t="shared" si="225"/>
        <v>0.41271745650869823</v>
      </c>
      <c r="DJ56" s="79">
        <f t="shared" si="225"/>
        <v>0.4157901925966398</v>
      </c>
      <c r="DK56" s="79">
        <f t="shared" si="225"/>
        <v>0.40855643393343521</v>
      </c>
      <c r="DL56" s="79">
        <f t="shared" si="225"/>
        <v>0.42826199071686427</v>
      </c>
      <c r="DM56" s="79">
        <f t="shared" si="225"/>
        <v>0.64500000000000002</v>
      </c>
      <c r="DN56" s="79">
        <f t="shared" si="225"/>
        <v>0.6399999999999999</v>
      </c>
      <c r="DO56" s="79">
        <f t="shared" si="225"/>
        <v>0.62999999999999989</v>
      </c>
      <c r="DP56" s="79">
        <f t="shared" si="225"/>
        <v>0.62000000000000011</v>
      </c>
      <c r="DQ56" s="79">
        <f t="shared" si="225"/>
        <v>0.61605303606688322</v>
      </c>
      <c r="DR56" s="79">
        <f t="shared" si="225"/>
        <v>-3.3636803035817429</v>
      </c>
      <c r="DS56" s="79" t="e">
        <f t="shared" si="225"/>
        <v>#DIV/0!</v>
      </c>
      <c r="DT56" s="79">
        <f t="shared" si="225"/>
        <v>0</v>
      </c>
      <c r="DU56" s="79">
        <f t="shared" ref="DU56:DV56" si="226">DU45/DU39</f>
        <v>0.48513215859030839</v>
      </c>
      <c r="DV56" s="79">
        <f t="shared" si="226"/>
        <v>0.47823241849185882</v>
      </c>
      <c r="DW56" s="82"/>
      <c r="DX56" s="82"/>
      <c r="DY56" s="82"/>
      <c r="DZ56" s="82"/>
      <c r="EA56" s="82"/>
      <c r="EB56" s="82"/>
      <c r="EC56" s="82"/>
      <c r="EF56" s="82"/>
      <c r="EL56" s="82"/>
      <c r="EM56" s="63">
        <f>EM55/Main!J3</f>
        <v>231.80873445983195</v>
      </c>
    </row>
    <row r="57" spans="2:210" s="30" customFormat="1">
      <c r="B57" s="30" t="s">
        <v>980</v>
      </c>
      <c r="C57" s="82"/>
      <c r="D57" s="82"/>
      <c r="E57" s="82"/>
      <c r="F57" s="82"/>
      <c r="G57" s="82"/>
      <c r="H57" s="82"/>
      <c r="I57" s="82"/>
      <c r="J57" s="82"/>
      <c r="K57" s="79">
        <f t="shared" ref="K57:AT57" si="227">K49/K39</f>
        <v>0.31976381082155236</v>
      </c>
      <c r="L57" s="79">
        <f t="shared" si="227"/>
        <v>0.32257116260839735</v>
      </c>
      <c r="M57" s="79">
        <f t="shared" si="227"/>
        <v>0.32347613440811512</v>
      </c>
      <c r="N57" s="79">
        <f t="shared" si="227"/>
        <v>0.26199607943407482</v>
      </c>
      <c r="O57" s="79">
        <f t="shared" si="227"/>
        <v>0.32306116351530134</v>
      </c>
      <c r="P57" s="79">
        <f t="shared" si="227"/>
        <v>0.31490366014083415</v>
      </c>
      <c r="Q57" s="79">
        <f t="shared" si="227"/>
        <v>0.30917803169922592</v>
      </c>
      <c r="R57" s="79">
        <f t="shared" si="227"/>
        <v>0.25960811275352358</v>
      </c>
      <c r="S57" s="79">
        <f t="shared" si="227"/>
        <v>0.32615601835510061</v>
      </c>
      <c r="T57" s="79">
        <f t="shared" si="227"/>
        <v>0.34804539722572508</v>
      </c>
      <c r="U57" s="79">
        <f t="shared" si="227"/>
        <v>0.3383005707038681</v>
      </c>
      <c r="V57" s="79">
        <f t="shared" si="227"/>
        <v>0.28370528890247632</v>
      </c>
      <c r="W57" s="79">
        <f t="shared" si="227"/>
        <v>0.34224432701274482</v>
      </c>
      <c r="X57" s="79">
        <f t="shared" si="227"/>
        <v>0.34267480577136517</v>
      </c>
      <c r="Y57" s="79">
        <f t="shared" si="227"/>
        <v>0.33887043189368771</v>
      </c>
      <c r="Z57" s="79">
        <f t="shared" si="227"/>
        <v>0.27640156453715775</v>
      </c>
      <c r="AA57" s="79">
        <f t="shared" si="227"/>
        <v>0.34445348521833469</v>
      </c>
      <c r="AB57" s="79">
        <f t="shared" si="227"/>
        <v>0.33932403433476394</v>
      </c>
      <c r="AC57" s="79">
        <f t="shared" si="227"/>
        <v>0.32705621711437277</v>
      </c>
      <c r="AD57" s="79">
        <f t="shared" si="227"/>
        <v>0.290520694259012</v>
      </c>
      <c r="AE57" s="79">
        <f t="shared" si="227"/>
        <v>0.33711597010794353</v>
      </c>
      <c r="AF57" s="79">
        <f t="shared" si="227"/>
        <v>0.32810839532412328</v>
      </c>
      <c r="AG57" s="79">
        <f t="shared" si="227"/>
        <v>0.33754838709677421</v>
      </c>
      <c r="AH57" s="79">
        <f t="shared" si="227"/>
        <v>0.29965342575313247</v>
      </c>
      <c r="AI57" s="79">
        <f t="shared" si="227"/>
        <v>0.3385731559854897</v>
      </c>
      <c r="AJ57" s="79">
        <f t="shared" si="227"/>
        <v>0.35308375976299489</v>
      </c>
      <c r="AK57" s="79">
        <f t="shared" si="227"/>
        <v>0.39821615949632738</v>
      </c>
      <c r="AL57" s="79">
        <f t="shared" si="227"/>
        <v>0.27960094512995537</v>
      </c>
      <c r="AM57" s="79">
        <f t="shared" si="227"/>
        <v>0.35690423162583518</v>
      </c>
      <c r="AN57" s="79">
        <f t="shared" si="227"/>
        <v>0.34858044164037855</v>
      </c>
      <c r="AO57" s="79">
        <f t="shared" si="227"/>
        <v>0.3440775681341719</v>
      </c>
      <c r="AP57" s="79">
        <f t="shared" si="227"/>
        <v>0.28716480083311635</v>
      </c>
      <c r="AQ57" s="93">
        <f t="shared" si="227"/>
        <v>0.33944954128440369</v>
      </c>
      <c r="AR57" s="93">
        <f t="shared" si="227"/>
        <v>0.32356655721141703</v>
      </c>
      <c r="AS57" s="79">
        <f t="shared" si="227"/>
        <v>0.48482751476225011</v>
      </c>
      <c r="AT57" s="79">
        <f t="shared" si="227"/>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28">BV49/BV39</f>
        <v>0.36324237560192618</v>
      </c>
      <c r="BW57" s="79">
        <f t="shared" ref="BW57" si="229">BW49/BW39</f>
        <v>0.40129566312758685</v>
      </c>
      <c r="BX57" s="79">
        <f t="shared" ref="BX57" si="230">BX49/BX39</f>
        <v>0.34712996082439107</v>
      </c>
      <c r="BY57" s="79"/>
      <c r="BZ57" s="79">
        <f t="shared" ref="BZ57:CA57" si="231">BZ49/BZ39</f>
        <v>0.36727448765531706</v>
      </c>
      <c r="CA57" s="79">
        <f t="shared" si="231"/>
        <v>0.40188281123194286</v>
      </c>
      <c r="CB57" s="79">
        <f t="shared" ref="CB57:CC57" si="232">CB49/CB39</f>
        <v>0.43941347083467613</v>
      </c>
      <c r="CC57" s="79">
        <f t="shared" si="232"/>
        <v>0.41974155379106337</v>
      </c>
      <c r="CD57" s="79">
        <f t="shared" ref="CD57:CH57" si="233">CD49/CD39</f>
        <v>0.32378655411516433</v>
      </c>
      <c r="CE57" s="79">
        <f t="shared" si="233"/>
        <v>0.40128791730215219</v>
      </c>
      <c r="CF57" s="79">
        <f t="shared" si="233"/>
        <v>0.38645418326693226</v>
      </c>
      <c r="CG57" s="79">
        <f t="shared" si="233"/>
        <v>0.43021175067104084</v>
      </c>
      <c r="CH57" s="79">
        <f t="shared" si="233"/>
        <v>0.35495179666958809</v>
      </c>
      <c r="CI57" s="79">
        <f>CI49/CI39</f>
        <v>0.42417441487656299</v>
      </c>
      <c r="CJ57" s="79">
        <f t="shared" ref="CJ57:CP57" si="234">CJ49/CJ39</f>
        <v>0.34739691131985351</v>
      </c>
      <c r="CK57" s="79">
        <f t="shared" si="234"/>
        <v>0.37598204264870932</v>
      </c>
      <c r="CL57" s="79">
        <f t="shared" si="234"/>
        <v>0.29365079365079366</v>
      </c>
      <c r="CM57" s="79">
        <f t="shared" si="234"/>
        <v>0.32420116318850489</v>
      </c>
      <c r="CN57" s="79">
        <f t="shared" si="234"/>
        <v>0.34709561574143355</v>
      </c>
      <c r="CO57" s="79">
        <f t="shared" si="234"/>
        <v>0.33607819181429449</v>
      </c>
      <c r="CP57" s="79">
        <f t="shared" si="234"/>
        <v>0.3534839780416188</v>
      </c>
      <c r="CQ57" s="79"/>
      <c r="CR57" s="79"/>
      <c r="CS57" s="79"/>
      <c r="CT57" s="79"/>
      <c r="CU57" s="79"/>
      <c r="CV57" s="79"/>
      <c r="CW57" s="79"/>
      <c r="CX57" s="79"/>
      <c r="CY57" s="79"/>
      <c r="CZ57" s="82"/>
      <c r="DA57" s="79"/>
      <c r="DB57" s="79"/>
      <c r="DC57" s="79"/>
      <c r="DD57" s="79"/>
      <c r="DE57" s="79">
        <f t="shared" ref="DE57:DT57" si="235">DE49/DE39</f>
        <v>0.30036906818482112</v>
      </c>
      <c r="DF57" s="79">
        <f t="shared" si="235"/>
        <v>0.32364786806114232</v>
      </c>
      <c r="DG57" s="79">
        <f t="shared" si="235"/>
        <v>0.32380151387720774</v>
      </c>
      <c r="DH57" s="79">
        <f t="shared" si="235"/>
        <v>0.3284544038995329</v>
      </c>
      <c r="DI57" s="79">
        <f t="shared" si="235"/>
        <v>0.32560154635739519</v>
      </c>
      <c r="DJ57" s="79">
        <f t="shared" si="235"/>
        <v>0.32098825297090561</v>
      </c>
      <c r="DK57" s="79">
        <f t="shared" si="235"/>
        <v>0.33375406895635423</v>
      </c>
      <c r="DL57" s="79">
        <f t="shared" si="235"/>
        <v>0.34475090252707574</v>
      </c>
      <c r="DM57" s="79">
        <f t="shared" si="235"/>
        <v>0.5178009658089332</v>
      </c>
      <c r="DN57" s="79">
        <f t="shared" si="235"/>
        <v>0.51718890518147076</v>
      </c>
      <c r="DO57" s="79">
        <f t="shared" si="235"/>
        <v>0.51430374083786878</v>
      </c>
      <c r="DP57" s="79">
        <f t="shared" si="235"/>
        <v>0.51186651669767014</v>
      </c>
      <c r="DQ57" s="79">
        <f t="shared" si="235"/>
        <v>0.51324023138158037</v>
      </c>
      <c r="DR57" s="79">
        <f t="shared" si="235"/>
        <v>-2.1059298924271297</v>
      </c>
      <c r="DS57" s="79" t="e">
        <f t="shared" si="235"/>
        <v>#DIV/0!</v>
      </c>
      <c r="DT57" s="79">
        <f t="shared" si="235"/>
        <v>0</v>
      </c>
      <c r="DU57" s="79">
        <f t="shared" ref="DU57:DV57" si="236">DU49/DU39</f>
        <v>0.40131371932032722</v>
      </c>
      <c r="DV57" s="79">
        <f t="shared" si="236"/>
        <v>0.40105469802532817</v>
      </c>
      <c r="DW57" s="82"/>
      <c r="DX57" s="82"/>
      <c r="DY57" s="82"/>
      <c r="DZ57" s="82"/>
      <c r="EA57" s="82"/>
      <c r="EB57" s="82"/>
      <c r="EC57" s="82"/>
      <c r="ED57" s="82"/>
      <c r="EE57" s="86"/>
      <c r="EF57" s="82"/>
    </row>
    <row r="58" spans="2:210" s="38" customFormat="1">
      <c r="B58" s="38" t="s">
        <v>448</v>
      </c>
      <c r="C58" s="79"/>
      <c r="D58" s="79"/>
      <c r="E58" s="79">
        <f>E48/E47</f>
        <v>0.58231978641352711</v>
      </c>
      <c r="F58" s="79"/>
      <c r="G58" s="79">
        <f t="shared" ref="G58:AT58" si="237">G48/G47</f>
        <v>0.30899556272690593</v>
      </c>
      <c r="H58" s="79">
        <f t="shared" si="237"/>
        <v>0.30728388916542226</v>
      </c>
      <c r="I58" s="79">
        <f t="shared" si="237"/>
        <v>0.31006160164271052</v>
      </c>
      <c r="J58" s="79">
        <f t="shared" si="237"/>
        <v>0.30997659449970733</v>
      </c>
      <c r="K58" s="79">
        <f t="shared" si="237"/>
        <v>0.29308397138195047</v>
      </c>
      <c r="L58" s="79">
        <f t="shared" si="237"/>
        <v>0.29333476440914463</v>
      </c>
      <c r="M58" s="79">
        <f t="shared" si="237"/>
        <v>0.29500592183182006</v>
      </c>
      <c r="N58" s="79">
        <f t="shared" si="237"/>
        <v>0.29454962707974752</v>
      </c>
      <c r="O58" s="79">
        <f t="shared" si="237"/>
        <v>0.2804449092119024</v>
      </c>
      <c r="P58" s="79">
        <f t="shared" si="237"/>
        <v>0.27193845603363453</v>
      </c>
      <c r="Q58" s="79">
        <f t="shared" si="237"/>
        <v>0.27124239791485666</v>
      </c>
      <c r="R58" s="79">
        <f t="shared" si="237"/>
        <v>0.25888125613346419</v>
      </c>
      <c r="S58" s="79">
        <f t="shared" si="237"/>
        <v>0.2643312101910828</v>
      </c>
      <c r="T58" s="79">
        <f t="shared" si="237"/>
        <v>0.22143864598025387</v>
      </c>
      <c r="U58" s="79">
        <f t="shared" si="237"/>
        <v>0.26312154696132595</v>
      </c>
      <c r="V58" s="79">
        <f t="shared" si="237"/>
        <v>0.22602168473728107</v>
      </c>
      <c r="W58" s="79">
        <f t="shared" si="237"/>
        <v>0.25051055139550715</v>
      </c>
      <c r="X58" s="79">
        <f t="shared" si="237"/>
        <v>0.23052959501557632</v>
      </c>
      <c r="Y58" s="79">
        <f t="shared" si="237"/>
        <v>0.20981278244028406</v>
      </c>
      <c r="Z58" s="79">
        <f t="shared" si="237"/>
        <v>0.19696969696969696</v>
      </c>
      <c r="AA58" s="79">
        <f t="shared" si="237"/>
        <v>0.21701602959309493</v>
      </c>
      <c r="AB58" s="79">
        <f t="shared" si="237"/>
        <v>0.19529262086513996</v>
      </c>
      <c r="AC58" s="79">
        <f t="shared" si="237"/>
        <v>0.21371504660452731</v>
      </c>
      <c r="AD58" s="79">
        <f t="shared" si="237"/>
        <v>0.22617354196301565</v>
      </c>
      <c r="AE58" s="79">
        <f t="shared" si="237"/>
        <v>0.22420382165605096</v>
      </c>
      <c r="AF58" s="79">
        <f t="shared" si="237"/>
        <v>0.22229219143576825</v>
      </c>
      <c r="AG58" s="79">
        <f t="shared" si="237"/>
        <v>0.22695035460992907</v>
      </c>
      <c r="AH58" s="79">
        <f t="shared" si="237"/>
        <v>0.19020172910662825</v>
      </c>
      <c r="AI58" s="79">
        <f t="shared" si="237"/>
        <v>0.21513665031534687</v>
      </c>
      <c r="AJ58" s="79">
        <f t="shared" si="237"/>
        <v>0.18062500000000001</v>
      </c>
      <c r="AK58" s="79">
        <f t="shared" si="237"/>
        <v>0.12858783008036739</v>
      </c>
      <c r="AL58" s="79">
        <f t="shared" si="237"/>
        <v>0.15943172849250198</v>
      </c>
      <c r="AM58" s="79">
        <f t="shared" si="237"/>
        <v>0.19975031210986266</v>
      </c>
      <c r="AN58" s="79">
        <f t="shared" si="237"/>
        <v>0.20024125452352232</v>
      </c>
      <c r="AO58" s="79">
        <f t="shared" si="237"/>
        <v>0.19100431300061615</v>
      </c>
      <c r="AP58" s="79">
        <f t="shared" si="237"/>
        <v>0.15478927203065135</v>
      </c>
      <c r="AQ58" s="93">
        <f t="shared" si="237"/>
        <v>0.1663353214049039</v>
      </c>
      <c r="AR58" s="93">
        <f t="shared" si="237"/>
        <v>0.15165562913907285</v>
      </c>
      <c r="AS58" s="79">
        <f t="shared" si="237"/>
        <v>0.2</v>
      </c>
      <c r="AT58" s="79">
        <f t="shared" si="237"/>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38">BV48/BV47</f>
        <v>0.10198412698412698</v>
      </c>
      <c r="BW58" s="79">
        <f t="shared" ref="BW58" si="239">BW48/BW47</f>
        <v>0.14624808575803983</v>
      </c>
      <c r="BX58" s="79">
        <f t="shared" ref="BX58" si="240">BX48/BX47</f>
        <v>0.15889393314073463</v>
      </c>
      <c r="BY58" s="79"/>
      <c r="BZ58" s="79">
        <f t="shared" ref="BZ58:CA58" si="241">BZ48/BZ47</f>
        <v>0.10954616588419405</v>
      </c>
      <c r="CA58" s="79">
        <f t="shared" si="241"/>
        <v>0.1284758887715593</v>
      </c>
      <c r="CB58" s="79">
        <f t="shared" ref="CB58:CC58" si="242">CB48/CB47</f>
        <v>7.6844955991875422E-2</v>
      </c>
      <c r="CC58" s="79">
        <f t="shared" si="242"/>
        <v>6.4213814647691769E-2</v>
      </c>
      <c r="CD58" s="79">
        <f t="shared" ref="CD58:CH58" si="243">CD48/CD47</f>
        <v>0.10871369294605809</v>
      </c>
      <c r="CE58" s="79">
        <f t="shared" si="243"/>
        <v>8.1814656843737885E-2</v>
      </c>
      <c r="CF58" s="79">
        <f t="shared" si="243"/>
        <v>0.12552011095700416</v>
      </c>
      <c r="CG58" s="79">
        <f t="shared" si="243"/>
        <v>8.5868187579214189E-2</v>
      </c>
      <c r="CH58" s="79">
        <f t="shared" si="243"/>
        <v>8.7152516904583019E-2</v>
      </c>
      <c r="CI58" s="79">
        <f>CI48/CI47</f>
        <v>6.9947275922671359E-2</v>
      </c>
      <c r="CJ58" s="79">
        <f t="shared" ref="CJ58:CP58" si="244">CJ48/CJ47</f>
        <v>0.16462480857580397</v>
      </c>
      <c r="CK58" s="79">
        <f t="shared" si="244"/>
        <v>9.5990747879722435E-2</v>
      </c>
      <c r="CL58" s="79">
        <f t="shared" si="244"/>
        <v>0.15017667844522969</v>
      </c>
      <c r="CM58" s="79">
        <f t="shared" si="244"/>
        <v>0.2</v>
      </c>
      <c r="CN58" s="79">
        <f t="shared" si="244"/>
        <v>0.2</v>
      </c>
      <c r="CO58" s="79">
        <f t="shared" si="244"/>
        <v>0.2</v>
      </c>
      <c r="CP58" s="79">
        <f t="shared" si="244"/>
        <v>0.2</v>
      </c>
      <c r="CQ58" s="79"/>
      <c r="CR58" s="79"/>
      <c r="CS58" s="79"/>
      <c r="CT58" s="79"/>
      <c r="CU58" s="79"/>
      <c r="CV58" s="79"/>
      <c r="CW58" s="79"/>
      <c r="CX58" s="79"/>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c r="DW58" s="79"/>
      <c r="DX58" s="79"/>
      <c r="DY58" s="79"/>
      <c r="DZ58" s="79"/>
      <c r="EA58" s="79"/>
      <c r="EB58" s="79"/>
      <c r="EC58" s="79"/>
      <c r="ED58" s="79"/>
      <c r="EE58" s="79"/>
      <c r="EF58" s="79"/>
    </row>
    <row r="59" spans="2:210" s="30" customFormat="1">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82"/>
      <c r="CJ59" s="82"/>
      <c r="CK59" s="82"/>
      <c r="CL59" s="82"/>
      <c r="CM59" s="82"/>
      <c r="CN59" s="82"/>
      <c r="CO59" s="82"/>
      <c r="CP59" s="82"/>
      <c r="CQ59" s="82"/>
      <c r="CR59" s="8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c r="B60" s="35" t="s">
        <v>282</v>
      </c>
      <c r="C60" s="83"/>
      <c r="D60" s="83"/>
      <c r="E60" s="83"/>
      <c r="F60" s="83"/>
      <c r="G60" s="83"/>
      <c r="H60" s="83"/>
      <c r="I60" s="84"/>
      <c r="J60" s="84"/>
      <c r="K60" s="84">
        <f t="shared" ref="K60:AV60" si="245">K39/G39-1</f>
        <v>0.74645513138324215</v>
      </c>
      <c r="L60" s="84">
        <f t="shared" si="245"/>
        <v>0.63431820001601391</v>
      </c>
      <c r="M60" s="84">
        <f t="shared" si="245"/>
        <v>0.47282064963649706</v>
      </c>
      <c r="N60" s="84">
        <f t="shared" si="245"/>
        <v>0.32869033463563779</v>
      </c>
      <c r="O60" s="84">
        <f t="shared" si="245"/>
        <v>0.33021063986827892</v>
      </c>
      <c r="P60" s="84">
        <f t="shared" si="245"/>
        <v>0.26627798735975694</v>
      </c>
      <c r="Q60" s="84">
        <f t="shared" si="245"/>
        <v>0.22860248165927</v>
      </c>
      <c r="R60" s="84">
        <f t="shared" si="245"/>
        <v>0.23966589959942053</v>
      </c>
      <c r="S60" s="84">
        <f t="shared" si="245"/>
        <v>0.20918519783174716</v>
      </c>
      <c r="T60" s="84">
        <f t="shared" si="245"/>
        <v>0.22726920993577338</v>
      </c>
      <c r="U60" s="84">
        <f t="shared" si="245"/>
        <v>0.16255068190195354</v>
      </c>
      <c r="V60" s="84">
        <f t="shared" si="245"/>
        <v>0.12444138879339972</v>
      </c>
      <c r="W60" s="84">
        <f t="shared" si="245"/>
        <v>0.13554535827744441</v>
      </c>
      <c r="X60" s="84">
        <f t="shared" si="245"/>
        <v>0.1361916771752838</v>
      </c>
      <c r="Y60" s="84">
        <f t="shared" si="245"/>
        <v>0.14521242866201645</v>
      </c>
      <c r="Z60" s="84">
        <f t="shared" si="245"/>
        <v>0.17242433506572907</v>
      </c>
      <c r="AA60" s="84">
        <f t="shared" si="245"/>
        <v>0.14609884986011812</v>
      </c>
      <c r="AB60" s="84">
        <f t="shared" si="245"/>
        <v>3.4406215316315159E-2</v>
      </c>
      <c r="AC60" s="84">
        <f t="shared" si="245"/>
        <v>-2.7685492801776679E-4</v>
      </c>
      <c r="AD60" s="84">
        <f t="shared" si="245"/>
        <v>-2.3468057366362483E-2</v>
      </c>
      <c r="AE60" s="84">
        <f t="shared" si="245"/>
        <v>-2.0070518036343965E-2</v>
      </c>
      <c r="AF60" s="84">
        <f t="shared" si="245"/>
        <v>9.65665236051505E-3</v>
      </c>
      <c r="AG60" s="84">
        <f t="shared" si="245"/>
        <v>7.3109941844364368E-2</v>
      </c>
      <c r="AH60" s="84">
        <f t="shared" si="245"/>
        <v>1.6021361815754531E-3</v>
      </c>
      <c r="AI60" s="84">
        <f t="shared" si="245"/>
        <v>-8.4417381677276526E-2</v>
      </c>
      <c r="AJ60" s="84">
        <f t="shared" si="245"/>
        <v>-1.3549415515409113E-2</v>
      </c>
      <c r="AK60" s="84">
        <f t="shared" si="245"/>
        <v>-1.6258064516128989E-2</v>
      </c>
      <c r="AL60" s="84">
        <f t="shared" si="245"/>
        <v>1.5462543321780764E-2</v>
      </c>
      <c r="AM60" s="84">
        <f t="shared" si="245"/>
        <v>8.5852478839177682E-2</v>
      </c>
      <c r="AN60" s="84">
        <f t="shared" si="245"/>
        <v>2.4508483705898199E-2</v>
      </c>
      <c r="AO60" s="84">
        <f t="shared" si="245"/>
        <v>1.0493179433368471E-3</v>
      </c>
      <c r="AP60" s="84">
        <f t="shared" si="245"/>
        <v>8.4011551588343281E-3</v>
      </c>
      <c r="AQ60" s="84">
        <f t="shared" si="245"/>
        <v>3.1737193763919924E-2</v>
      </c>
      <c r="AR60" s="84">
        <f t="shared" si="245"/>
        <v>4.0746582544689769E-2</v>
      </c>
      <c r="AS60" s="84">
        <f t="shared" si="245"/>
        <v>1.1844863731656163E-2</v>
      </c>
      <c r="AT60" s="84">
        <f t="shared" si="245"/>
        <v>-4.2176516532153041E-3</v>
      </c>
      <c r="AU60" s="84">
        <f t="shared" si="245"/>
        <v>-1.3154344306529953E-2</v>
      </c>
      <c r="AV60" s="84">
        <f t="shared" si="245"/>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46">CE39/CA39-1</f>
        <v>-4.2200941405615922E-2</v>
      </c>
      <c r="CF60" s="84">
        <f t="shared" si="246"/>
        <v>5.1563003544956576E-2</v>
      </c>
      <c r="CG60" s="84">
        <f t="shared" ref="CG60:CH60" si="247">CG39/CC39-1</f>
        <v>4.4060407909076726E-2</v>
      </c>
      <c r="CH60" s="84">
        <f t="shared" si="247"/>
        <v>3.1956587277660597E-2</v>
      </c>
      <c r="CI60" s="84">
        <f>CI39/CE39-1</f>
        <v>5.7108964582274213E-2</v>
      </c>
      <c r="CJ60" s="84">
        <f t="shared" ref="CJ60" si="248">CJ39/CF39-1</f>
        <v>-3.7542139135764652E-2</v>
      </c>
      <c r="CK60" s="84">
        <f t="shared" ref="CK60" si="249">CK39/CG39-1</f>
        <v>-6.9937369519832981E-2</v>
      </c>
      <c r="CL60" s="84">
        <f t="shared" ref="CL60" si="250">CL39/CH39-1</f>
        <v>-4.2944785276073594E-2</v>
      </c>
      <c r="CM60" s="84">
        <f t="shared" ref="CM60" si="251">CM39/CI39-1</f>
        <v>-6.2840654055787093E-2</v>
      </c>
      <c r="CN60" s="84">
        <f t="shared" ref="CN60" si="252">CN39/CJ39-1</f>
        <v>6.4002547365069162E-2</v>
      </c>
      <c r="CO60" s="84">
        <f t="shared" ref="CO60" si="253">CO39/CK39-1</f>
        <v>4.986371653038324E-2</v>
      </c>
      <c r="CP60" s="84">
        <f t="shared" ref="CP60:CX60" si="254">CP39/CL39-1</f>
        <v>0.19551282051282048</v>
      </c>
      <c r="CQ60" s="84">
        <f t="shared" si="254"/>
        <v>0.21758467328087572</v>
      </c>
      <c r="CR60" s="84">
        <f t="shared" si="254"/>
        <v>0.20320215472093373</v>
      </c>
      <c r="CS60" s="84">
        <f t="shared" si="254"/>
        <v>0.21502748930971283</v>
      </c>
      <c r="CT60" s="84">
        <f t="shared" si="254"/>
        <v>5.0555342780543855E-2</v>
      </c>
      <c r="CU60" s="84">
        <f t="shared" si="254"/>
        <v>0.11941556617027249</v>
      </c>
      <c r="CV60" s="84">
        <f t="shared" si="254"/>
        <v>4.850143017037678E-2</v>
      </c>
      <c r="CW60" s="84">
        <f t="shared" si="254"/>
        <v>4.9019607843137303E-2</v>
      </c>
      <c r="CX60" s="84">
        <f t="shared" si="254"/>
        <v>4.7393364928909998E-2</v>
      </c>
      <c r="CY60" s="84"/>
      <c r="CZ60" s="85"/>
      <c r="DA60" s="84"/>
      <c r="DB60" s="84">
        <f t="shared" ref="DB60:DT60" si="255">DB39/DA39-1</f>
        <v>0.10757181601815469</v>
      </c>
      <c r="DC60" s="84">
        <f t="shared" si="255"/>
        <v>0.35243996901626651</v>
      </c>
      <c r="DD60" s="84">
        <f t="shared" si="255"/>
        <v>0.54371281823892392</v>
      </c>
      <c r="DE60" s="84">
        <f t="shared" si="255"/>
        <v>0.26268374124827942</v>
      </c>
      <c r="DF60" s="84">
        <f t="shared" si="255"/>
        <v>0.17815951957630993</v>
      </c>
      <c r="DG60" s="84">
        <f t="shared" si="255"/>
        <v>0.14786806114239748</v>
      </c>
      <c r="DH60" s="84">
        <f t="shared" si="255"/>
        <v>3.5253714606111597E-2</v>
      </c>
      <c r="DI60" s="84">
        <f t="shared" si="255"/>
        <v>1.5706451831291046E-2</v>
      </c>
      <c r="DJ60" s="84">
        <f t="shared" si="255"/>
        <v>-2.4061854295807539E-2</v>
      </c>
      <c r="DK60" s="84">
        <f t="shared" si="255"/>
        <v>2.8069935801120049E-2</v>
      </c>
      <c r="DL60" s="84">
        <f t="shared" si="255"/>
        <v>3.0492260678934402E-2</v>
      </c>
      <c r="DM60" s="84">
        <f t="shared" si="255"/>
        <v>-8.7922898401237903E-2</v>
      </c>
      <c r="DN60" s="84">
        <f t="shared" si="255"/>
        <v>6.4949039237666595E-2</v>
      </c>
      <c r="DO60" s="84">
        <f t="shared" si="255"/>
        <v>-5.5953854889465582E-2</v>
      </c>
      <c r="DP60" s="84">
        <f t="shared" si="255"/>
        <v>-6.3434402736061712E-2</v>
      </c>
      <c r="DQ60" s="84">
        <f t="shared" si="255"/>
        <v>-1.6871191088614346E-2</v>
      </c>
      <c r="DR60" s="84">
        <f t="shared" si="255"/>
        <v>-0.94447918515928808</v>
      </c>
      <c r="DS60" s="84">
        <f t="shared" si="255"/>
        <v>-1</v>
      </c>
      <c r="DT60" s="84" t="e">
        <f t="shared" si="255"/>
        <v>#DIV/0!</v>
      </c>
      <c r="DU60" s="85"/>
      <c r="DV60" s="85"/>
      <c r="DW60" s="85"/>
      <c r="DX60" s="85"/>
      <c r="DY60" s="85"/>
      <c r="DZ60" s="85"/>
      <c r="EA60" s="85"/>
      <c r="EB60" s="85"/>
      <c r="EC60" s="85"/>
      <c r="ED60" s="85"/>
      <c r="EE60" s="85"/>
    </row>
    <row r="61" spans="2:210" s="15" customFormat="1">
      <c r="B61" s="30" t="s">
        <v>178</v>
      </c>
      <c r="C61" s="82"/>
      <c r="D61" s="82"/>
      <c r="E61" s="79"/>
      <c r="F61" s="79"/>
      <c r="G61" s="79">
        <f t="shared" ref="G61:AV61" si="256">G5/C5-1</f>
        <v>9.6222664015904735E-2</v>
      </c>
      <c r="H61" s="79">
        <f t="shared" si="256"/>
        <v>0.20849420849420852</v>
      </c>
      <c r="I61" s="79">
        <f t="shared" si="256"/>
        <v>0.29249999999999976</v>
      </c>
      <c r="J61" s="79">
        <f t="shared" si="256"/>
        <v>0.35747126436781618</v>
      </c>
      <c r="K61" s="79">
        <f t="shared" si="256"/>
        <v>0.45429815016322084</v>
      </c>
      <c r="L61" s="79">
        <f t="shared" si="256"/>
        <v>0.5316293929712459</v>
      </c>
      <c r="M61" s="79">
        <f t="shared" si="256"/>
        <v>0.583395328076179</v>
      </c>
      <c r="N61" s="79">
        <f t="shared" si="256"/>
        <v>0.39542760372565611</v>
      </c>
      <c r="O61" s="79">
        <f t="shared" si="256"/>
        <v>0.41289437585733868</v>
      </c>
      <c r="P61" s="79">
        <f t="shared" si="256"/>
        <v>0.30329578639966615</v>
      </c>
      <c r="Q61" s="79">
        <f t="shared" si="256"/>
        <v>0.21123848900582609</v>
      </c>
      <c r="R61" s="79">
        <f t="shared" si="256"/>
        <v>0.21532593619972262</v>
      </c>
      <c r="S61" s="79">
        <f t="shared" si="256"/>
        <v>0.15269196822594888</v>
      </c>
      <c r="T61" s="79">
        <f t="shared" si="256"/>
        <v>0.18758002560819476</v>
      </c>
      <c r="U61" s="79">
        <f t="shared" si="256"/>
        <v>0.1163692785104733</v>
      </c>
      <c r="V61" s="79">
        <f t="shared" si="256"/>
        <v>6.9186875891583455E-2</v>
      </c>
      <c r="W61" s="79">
        <f t="shared" si="256"/>
        <v>0.14624808575803971</v>
      </c>
      <c r="X61" s="79">
        <f t="shared" si="256"/>
        <v>0.12398921832884091</v>
      </c>
      <c r="Y61" s="79">
        <f t="shared" si="256"/>
        <v>0.1813759555246699</v>
      </c>
      <c r="Z61" s="79">
        <f t="shared" si="256"/>
        <v>0.17878585723815887</v>
      </c>
      <c r="AA61" s="79">
        <f t="shared" si="256"/>
        <v>9.8864395457581855E-2</v>
      </c>
      <c r="AB61" s="79">
        <f t="shared" si="256"/>
        <v>-5.6954436450839308E-2</v>
      </c>
      <c r="AC61" s="79">
        <f t="shared" si="256"/>
        <v>-0.16470588235294115</v>
      </c>
      <c r="AD61" s="79">
        <f t="shared" si="256"/>
        <v>-0.17091114883984149</v>
      </c>
      <c r="AE61" s="79">
        <f t="shared" si="256"/>
        <v>-0.20060790273556228</v>
      </c>
      <c r="AF61" s="79">
        <f t="shared" si="256"/>
        <v>-8.0101716465352801E-2</v>
      </c>
      <c r="AG61" s="79">
        <f t="shared" si="256"/>
        <v>4.1549295774647943E-2</v>
      </c>
      <c r="AH61" s="79">
        <f t="shared" si="256"/>
        <v>-7.7133105802047797E-2</v>
      </c>
      <c r="AI61" s="79">
        <f t="shared" si="256"/>
        <v>-9.4296577946768045E-2</v>
      </c>
      <c r="AJ61" s="79">
        <f t="shared" si="256"/>
        <v>-8.0165860400829292E-2</v>
      </c>
      <c r="AK61" s="79">
        <f t="shared" si="256"/>
        <v>-8.8573360378634169E-2</v>
      </c>
      <c r="AL61" s="79">
        <f t="shared" si="256"/>
        <v>-7.3964497041423272E-4</v>
      </c>
      <c r="AM61" s="79">
        <f t="shared" si="256"/>
        <v>4.9538203190596208E-2</v>
      </c>
      <c r="AN61" s="79">
        <f t="shared" si="256"/>
        <v>-5.3343350864011985E-2</v>
      </c>
      <c r="AO61" s="79">
        <f t="shared" si="256"/>
        <v>-5.3412462908011826E-2</v>
      </c>
      <c r="AP61" s="79">
        <f t="shared" si="256"/>
        <v>-9.4004441154700191E-2</v>
      </c>
      <c r="AQ61" s="79">
        <f t="shared" si="256"/>
        <v>-0.10799999999999998</v>
      </c>
      <c r="AR61" s="79">
        <f t="shared" si="256"/>
        <v>-0.10476190476190472</v>
      </c>
      <c r="AS61" s="79">
        <f t="shared" si="256"/>
        <v>-4.9999999999999933E-2</v>
      </c>
      <c r="AT61" s="79">
        <f t="shared" si="256"/>
        <v>-5.0000000000000044E-2</v>
      </c>
      <c r="AU61" s="79">
        <f t="shared" si="256"/>
        <v>-5.0000000000000044E-2</v>
      </c>
      <c r="AV61" s="79">
        <f t="shared" si="256"/>
        <v>-5.939716312056742E-2</v>
      </c>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2"/>
      <c r="DA61" s="79"/>
      <c r="DB61" s="79">
        <f t="shared" ref="DB61:DP61" si="257">DB5/DA5-1</f>
        <v>9.5648185894822602E-2</v>
      </c>
      <c r="DC61" s="79">
        <f t="shared" si="257"/>
        <v>0.24440723687270371</v>
      </c>
      <c r="DD61" s="79">
        <f t="shared" si="257"/>
        <v>0.48695619674091795</v>
      </c>
      <c r="DE61" s="79">
        <f t="shared" si="257"/>
        <v>0.2752544928993339</v>
      </c>
      <c r="DF61" s="79">
        <f t="shared" si="257"/>
        <v>0.12898139388205609</v>
      </c>
      <c r="DG61" s="79">
        <f t="shared" si="257"/>
        <v>0.1578212290502794</v>
      </c>
      <c r="DH61" s="79">
        <f t="shared" si="257"/>
        <v>-7.9764776839565732E-2</v>
      </c>
      <c r="DI61" s="79">
        <f t="shared" si="257"/>
        <v>-8.3565459610027815E-2</v>
      </c>
      <c r="DJ61" s="79">
        <f t="shared" si="257"/>
        <v>-6.6511711067405721E-2</v>
      </c>
      <c r="DK61" s="79">
        <f t="shared" si="257"/>
        <v>-4.0413713847921806E-2</v>
      </c>
      <c r="DL61" s="79">
        <f t="shared" si="257"/>
        <v>-7.8243512974051854E-2</v>
      </c>
      <c r="DM61" s="79">
        <f t="shared" si="257"/>
        <v>-0.12340190558683428</v>
      </c>
      <c r="DN61" s="79">
        <f t="shared" si="257"/>
        <v>-0.14465864485577284</v>
      </c>
      <c r="DO61" s="79">
        <f t="shared" si="257"/>
        <v>-9.9999999999999978E-2</v>
      </c>
      <c r="DP61" s="79">
        <f t="shared" si="257"/>
        <v>-9.9999999999999978E-2</v>
      </c>
      <c r="DQ61" s="72"/>
      <c r="DR61" s="72"/>
      <c r="DS61" s="72"/>
      <c r="DT61" s="72"/>
      <c r="DU61" s="72"/>
      <c r="DV61" s="72"/>
      <c r="DW61" s="72"/>
      <c r="DX61" s="72"/>
      <c r="DY61" s="72"/>
      <c r="DZ61" s="72"/>
      <c r="EA61" s="72"/>
      <c r="EB61" s="72"/>
      <c r="EC61" s="72"/>
      <c r="ED61" s="72"/>
      <c r="EE61" s="72"/>
    </row>
    <row r="62" spans="2:210" s="37" customFormat="1">
      <c r="B62" s="30" t="s">
        <v>177</v>
      </c>
      <c r="C62" s="82"/>
      <c r="D62" s="82"/>
      <c r="E62" s="82"/>
      <c r="F62" s="82"/>
      <c r="G62" s="82"/>
      <c r="H62" s="79"/>
      <c r="I62" s="86">
        <f t="shared" ref="I62:AV62" si="258">I4/E4-1</f>
        <v>21.74</v>
      </c>
      <c r="J62" s="86">
        <f t="shared" si="258"/>
        <v>4.5945945945945947</v>
      </c>
      <c r="K62" s="86">
        <f t="shared" si="258"/>
        <v>5.5</v>
      </c>
      <c r="L62" s="86">
        <f t="shared" si="258"/>
        <v>5.2423698384201076</v>
      </c>
      <c r="M62" s="86">
        <f t="shared" si="258"/>
        <v>2.8548812664907652</v>
      </c>
      <c r="N62" s="86">
        <f t="shared" si="258"/>
        <v>1.4299516908212562</v>
      </c>
      <c r="O62" s="86">
        <f t="shared" si="258"/>
        <v>1.1310832025117739</v>
      </c>
      <c r="P62" s="79">
        <f t="shared" si="258"/>
        <v>0.77451826287029046</v>
      </c>
      <c r="Q62" s="79">
        <f t="shared" si="258"/>
        <v>0.38717773214693141</v>
      </c>
      <c r="R62" s="79">
        <f t="shared" si="258"/>
        <v>0.40159045725646125</v>
      </c>
      <c r="S62" s="79">
        <f t="shared" si="258"/>
        <v>0.33149171270718236</v>
      </c>
      <c r="T62" s="79">
        <f t="shared" si="258"/>
        <v>0.35656401944894656</v>
      </c>
      <c r="U62" s="79">
        <f t="shared" si="258"/>
        <v>0.38157894736842102</v>
      </c>
      <c r="V62" s="79">
        <f t="shared" si="258"/>
        <v>0.23829787234042543</v>
      </c>
      <c r="W62" s="79">
        <f t="shared" si="258"/>
        <v>0.23513139695712315</v>
      </c>
      <c r="X62" s="79">
        <f t="shared" si="258"/>
        <v>0.26045400238948635</v>
      </c>
      <c r="Y62" s="79">
        <f t="shared" si="258"/>
        <v>0.27023809523809517</v>
      </c>
      <c r="Z62" s="79">
        <f t="shared" si="258"/>
        <v>0.26689576174112251</v>
      </c>
      <c r="AA62" s="79">
        <f t="shared" si="258"/>
        <v>0.14221724524076151</v>
      </c>
      <c r="AB62" s="79">
        <f t="shared" si="258"/>
        <v>-0.10047393364928914</v>
      </c>
      <c r="AC62" s="79">
        <f t="shared" si="258"/>
        <v>-0.23336457357075913</v>
      </c>
      <c r="AD62" s="79">
        <f t="shared" si="258"/>
        <v>-0.25226039783001808</v>
      </c>
      <c r="AE62" s="79">
        <f t="shared" si="258"/>
        <v>-0.25392156862745097</v>
      </c>
      <c r="AF62" s="79">
        <f t="shared" si="258"/>
        <v>-0.13066385669125391</v>
      </c>
      <c r="AG62" s="79">
        <f t="shared" si="258"/>
        <v>3.3007334963325086E-2</v>
      </c>
      <c r="AH62" s="79">
        <f t="shared" si="258"/>
        <v>-0.14631197097944382</v>
      </c>
      <c r="AI62" s="79">
        <f t="shared" si="258"/>
        <v>-0.17739816031537448</v>
      </c>
      <c r="AJ62" s="79">
        <f t="shared" si="258"/>
        <v>-0.16000000000000003</v>
      </c>
      <c r="AK62" s="79">
        <f t="shared" si="258"/>
        <v>-0.18934911242603547</v>
      </c>
      <c r="AL62" s="79">
        <f t="shared" si="258"/>
        <v>-8.2152974504249299E-2</v>
      </c>
      <c r="AM62" s="79">
        <f t="shared" si="258"/>
        <v>1.5974440894568342E-3</v>
      </c>
      <c r="AN62" s="79">
        <f t="shared" si="258"/>
        <v>-0.12987012987012991</v>
      </c>
      <c r="AO62" s="79">
        <f t="shared" si="258"/>
        <v>-9.0510948905109467E-2</v>
      </c>
      <c r="AP62" s="79">
        <f t="shared" si="258"/>
        <v>-2.314814814814814E-2</v>
      </c>
      <c r="AQ62" s="79">
        <f t="shared" si="258"/>
        <v>-7.496012759170656E-2</v>
      </c>
      <c r="AR62" s="79">
        <f t="shared" si="258"/>
        <v>-2.9850746268656692E-2</v>
      </c>
      <c r="AS62" s="79">
        <f t="shared" si="258"/>
        <v>-4.9999999999999933E-2</v>
      </c>
      <c r="AT62" s="79">
        <f t="shared" si="258"/>
        <v>-4.9999999999999933E-2</v>
      </c>
      <c r="AU62" s="79">
        <f t="shared" si="258"/>
        <v>-5.0000000000000044E-2</v>
      </c>
      <c r="AV62" s="79">
        <f t="shared" si="258"/>
        <v>-8.3760683760683796E-2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99"/>
      <c r="DA62" s="79"/>
      <c r="DB62" s="79"/>
      <c r="DC62" s="86">
        <f t="shared" ref="DC62:DJ62" si="259">DC4/DB4-1</f>
        <v>8.8952380952380956</v>
      </c>
      <c r="DD62" s="86">
        <f t="shared" si="259"/>
        <v>2.7146294513955724</v>
      </c>
      <c r="DE62" s="79">
        <f t="shared" si="259"/>
        <v>0.60189143671460044</v>
      </c>
      <c r="DF62" s="79">
        <f t="shared" si="259"/>
        <v>0.32349373230893641</v>
      </c>
      <c r="DG62" s="79">
        <f t="shared" si="259"/>
        <v>0.25908952031775123</v>
      </c>
      <c r="DH62" s="79">
        <f t="shared" si="259"/>
        <v>-0.12302839116719244</v>
      </c>
      <c r="DI62" s="79">
        <f t="shared" si="259"/>
        <v>-0.13198671831765352</v>
      </c>
      <c r="DJ62" s="79">
        <f t="shared" si="259"/>
        <v>-0.15460631176283068</v>
      </c>
      <c r="DK62" s="79">
        <v>-0.05</v>
      </c>
      <c r="DL62" s="79">
        <v>-0.05</v>
      </c>
      <c r="DM62" s="79">
        <v>-0.05</v>
      </c>
      <c r="DN62" s="79">
        <v>-0.1</v>
      </c>
      <c r="DO62" s="79">
        <v>-0.1</v>
      </c>
      <c r="DP62" s="79">
        <v>-0.1</v>
      </c>
      <c r="DQ62" s="99"/>
      <c r="DR62" s="99"/>
      <c r="DS62" s="99"/>
      <c r="DT62" s="99"/>
      <c r="DU62" s="99"/>
      <c r="DV62" s="99"/>
      <c r="DW62" s="99"/>
      <c r="DX62" s="99"/>
      <c r="DY62" s="99"/>
      <c r="DZ62" s="99"/>
      <c r="EA62" s="99"/>
      <c r="EB62" s="99"/>
      <c r="EC62" s="99"/>
      <c r="ED62" s="99"/>
      <c r="EE62" s="99"/>
    </row>
    <row r="63" spans="2:210" s="15" customFormat="1">
      <c r="B63" s="30" t="s">
        <v>176</v>
      </c>
      <c r="C63" s="82"/>
      <c r="D63" s="82"/>
      <c r="E63" s="82"/>
      <c r="F63" s="82"/>
      <c r="G63" s="79">
        <f t="shared" ref="G63:AV63" si="260">G3/C3-1</f>
        <v>1.829025844930432E-2</v>
      </c>
      <c r="H63" s="79">
        <f t="shared" si="260"/>
        <v>0.10096525096525077</v>
      </c>
      <c r="I63" s="79">
        <f t="shared" si="260"/>
        <v>8.4271844660194217E-2</v>
      </c>
      <c r="J63" s="79">
        <f t="shared" si="260"/>
        <v>8.3391608391608418E-2</v>
      </c>
      <c r="K63" s="79">
        <f t="shared" si="260"/>
        <v>6.8137446310035044E-2</v>
      </c>
      <c r="L63" s="79">
        <f t="shared" si="260"/>
        <v>7.1541294055760263E-2</v>
      </c>
      <c r="M63" s="79">
        <f t="shared" si="260"/>
        <v>0.12088108882521498</v>
      </c>
      <c r="N63" s="79">
        <f t="shared" si="260"/>
        <v>4.9862836856543469E-2</v>
      </c>
      <c r="O63" s="79">
        <f t="shared" si="260"/>
        <v>7.8413452750868196E-2</v>
      </c>
      <c r="P63" s="79">
        <f t="shared" si="260"/>
        <v>3.5182457862870331E-2</v>
      </c>
      <c r="Q63" s="79">
        <f t="shared" si="260"/>
        <v>8.8033232145710238E-2</v>
      </c>
      <c r="R63" s="79">
        <f t="shared" si="260"/>
        <v>7.1318782662157965E-2</v>
      </c>
      <c r="S63" s="79">
        <f t="shared" si="260"/>
        <v>-1.1864406779661052E-2</v>
      </c>
      <c r="T63" s="79">
        <f t="shared" si="260"/>
        <v>2.2763199494151065E-2</v>
      </c>
      <c r="U63" s="79">
        <f t="shared" si="260"/>
        <v>-0.1204111600587372</v>
      </c>
      <c r="V63" s="79">
        <f t="shared" si="260"/>
        <v>-0.10186513629842175</v>
      </c>
      <c r="W63" s="79">
        <f t="shared" si="260"/>
        <v>3.6020583190394584E-2</v>
      </c>
      <c r="X63" s="79">
        <f t="shared" si="260"/>
        <v>-5.255023183925811E-2</v>
      </c>
      <c r="Y63" s="79">
        <f t="shared" si="260"/>
        <v>5.6761268781302165E-2</v>
      </c>
      <c r="Z63" s="79">
        <f t="shared" si="260"/>
        <v>5.5910543130990309E-2</v>
      </c>
      <c r="AA63" s="79">
        <f t="shared" si="260"/>
        <v>3.4768211920529701E-2</v>
      </c>
      <c r="AB63" s="79">
        <f t="shared" si="260"/>
        <v>1.794453507340954E-2</v>
      </c>
      <c r="AC63" s="79">
        <f t="shared" si="260"/>
        <v>-4.8973143759873605E-2</v>
      </c>
      <c r="AD63" s="79">
        <f t="shared" si="260"/>
        <v>-3.479576399394857E-2</v>
      </c>
      <c r="AE63" s="79">
        <f t="shared" si="260"/>
        <v>-0.11360000000000003</v>
      </c>
      <c r="AF63" s="79">
        <f t="shared" si="260"/>
        <v>-3.2051282051281937E-3</v>
      </c>
      <c r="AG63" s="79">
        <f t="shared" si="260"/>
        <v>5.3156146179401897E-2</v>
      </c>
      <c r="AH63" s="79">
        <f t="shared" si="260"/>
        <v>1.2539184952978122E-2</v>
      </c>
      <c r="AI63" s="79">
        <f t="shared" si="260"/>
        <v>1.9855595667870096E-2</v>
      </c>
      <c r="AJ63" s="79">
        <f t="shared" si="260"/>
        <v>2.5723472668810254E-2</v>
      </c>
      <c r="AK63" s="79">
        <f t="shared" si="260"/>
        <v>4.5741324921135584E-2</v>
      </c>
      <c r="AL63" s="79">
        <f t="shared" si="260"/>
        <v>8.8235294117646967E-2</v>
      </c>
      <c r="AM63" s="79">
        <f t="shared" si="260"/>
        <v>0.10265486725663719</v>
      </c>
      <c r="AN63" s="79">
        <f t="shared" si="260"/>
        <v>2.9780564263322873E-2</v>
      </c>
      <c r="AO63" s="79">
        <f t="shared" si="260"/>
        <v>-1.5082956259426794E-2</v>
      </c>
      <c r="AP63" s="79">
        <f t="shared" si="260"/>
        <v>-0.15931721194879089</v>
      </c>
      <c r="AQ63" s="79">
        <f t="shared" si="260"/>
        <v>-0.14125200642054569</v>
      </c>
      <c r="AR63" s="79">
        <f t="shared" si="260"/>
        <v>-0.17351598173515981</v>
      </c>
      <c r="AS63" s="79">
        <f t="shared" si="260"/>
        <v>-4.9999999999999933E-2</v>
      </c>
      <c r="AT63" s="79">
        <f t="shared" si="260"/>
        <v>-5.0000000000000155E-2</v>
      </c>
      <c r="AU63" s="79">
        <f t="shared" si="260"/>
        <v>-5.0000000000000044E-2</v>
      </c>
      <c r="AV63" s="79">
        <f t="shared" si="260"/>
        <v>-3.3149171270718258E-2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2"/>
      <c r="DA63" s="79"/>
      <c r="DB63" s="79">
        <f t="shared" ref="DB63:DI63" si="261">DB3/DA3-1</f>
        <v>7.4245821443130744E-2</v>
      </c>
      <c r="DC63" s="79">
        <f t="shared" si="261"/>
        <v>7.2055405341302725E-2</v>
      </c>
      <c r="DD63" s="79">
        <f t="shared" si="261"/>
        <v>7.7300884955752158E-2</v>
      </c>
      <c r="DE63" s="79">
        <f t="shared" si="261"/>
        <v>6.8139811886474666E-2</v>
      </c>
      <c r="DF63" s="79">
        <f t="shared" si="261"/>
        <v>-5.598707990463736E-2</v>
      </c>
      <c r="DG63" s="79">
        <f t="shared" si="261"/>
        <v>2.281059063136448E-2</v>
      </c>
      <c r="DH63" s="79">
        <f t="shared" si="261"/>
        <v>-8.7614496216646964E-3</v>
      </c>
      <c r="DI63" s="79">
        <f t="shared" si="261"/>
        <v>-1.3258336681398197E-2</v>
      </c>
      <c r="DJ63" s="79">
        <v>0.02</v>
      </c>
      <c r="DK63" s="79">
        <v>0</v>
      </c>
      <c r="DL63" s="79">
        <v>-0.1</v>
      </c>
      <c r="DM63" s="79">
        <v>-0.1</v>
      </c>
      <c r="DN63" s="79">
        <v>-0.1</v>
      </c>
      <c r="DO63" s="79">
        <v>-0.1</v>
      </c>
      <c r="DP63" s="79">
        <v>-0.1</v>
      </c>
      <c r="DQ63" s="72"/>
      <c r="DR63" s="72"/>
      <c r="DS63" s="72"/>
      <c r="DT63" s="72"/>
      <c r="DU63" s="72"/>
      <c r="DV63" s="72"/>
      <c r="DW63" s="72"/>
      <c r="DX63" s="72"/>
      <c r="DY63" s="72"/>
      <c r="DZ63" s="72"/>
      <c r="EA63" s="72"/>
      <c r="EB63" s="72"/>
      <c r="EC63" s="72"/>
      <c r="ED63" s="72"/>
      <c r="EE63" s="72"/>
    </row>
    <row r="64" spans="2:210" s="15" customFormat="1">
      <c r="B64" s="30" t="s">
        <v>440</v>
      </c>
      <c r="C64" s="82"/>
      <c r="D64" s="82"/>
      <c r="E64" s="82"/>
      <c r="F64" s="82"/>
      <c r="G64" s="82"/>
      <c r="H64" s="82"/>
      <c r="I64" s="82"/>
      <c r="J64" s="79"/>
      <c r="K64" s="86"/>
      <c r="L64" s="86">
        <f t="shared" ref="L64:AV64" si="262">L7/H7-1</f>
        <v>1.7590909090909093</v>
      </c>
      <c r="M64" s="86">
        <f t="shared" si="262"/>
        <v>1.3076923076923079</v>
      </c>
      <c r="N64" s="79">
        <f t="shared" si="262"/>
        <v>0.72971698113207539</v>
      </c>
      <c r="O64" s="79">
        <f t="shared" si="262"/>
        <v>0.52984496124031</v>
      </c>
      <c r="P64" s="79">
        <f t="shared" si="262"/>
        <v>0.40329489291598009</v>
      </c>
      <c r="Q64" s="79">
        <f t="shared" si="262"/>
        <v>0.37614678899082565</v>
      </c>
      <c r="R64" s="79">
        <f t="shared" si="262"/>
        <v>0.27897463866921202</v>
      </c>
      <c r="S64" s="79">
        <f t="shared" si="262"/>
        <v>0.26931846972384088</v>
      </c>
      <c r="T64" s="79">
        <f t="shared" si="262"/>
        <v>0.37825780699694778</v>
      </c>
      <c r="U64" s="79">
        <f t="shared" si="262"/>
        <v>0.28222222222222215</v>
      </c>
      <c r="V64" s="79">
        <f t="shared" si="262"/>
        <v>0.32835820895522394</v>
      </c>
      <c r="W64" s="79">
        <f t="shared" si="262"/>
        <v>0.21357285429141726</v>
      </c>
      <c r="X64" s="79">
        <f t="shared" si="262"/>
        <v>0.1942078364565587</v>
      </c>
      <c r="Y64" s="79">
        <f t="shared" si="262"/>
        <v>0.19584055459272087</v>
      </c>
      <c r="Z64" s="79">
        <f t="shared" si="262"/>
        <v>0.14125200642054581</v>
      </c>
      <c r="AA64" s="79">
        <f t="shared" si="262"/>
        <v>0.18256578947368429</v>
      </c>
      <c r="AB64" s="79">
        <f t="shared" si="262"/>
        <v>4.707560627674745E-2</v>
      </c>
      <c r="AC64" s="79">
        <f t="shared" si="262"/>
        <v>0.10579710144927534</v>
      </c>
      <c r="AD64" s="79">
        <f t="shared" si="262"/>
        <v>0.1026722925457102</v>
      </c>
      <c r="AE64" s="79">
        <f t="shared" si="262"/>
        <v>5.1460361613351768E-2</v>
      </c>
      <c r="AF64" s="79">
        <f t="shared" si="262"/>
        <v>0.17438692098092634</v>
      </c>
      <c r="AG64" s="79">
        <f t="shared" si="262"/>
        <v>0.11664482306684132</v>
      </c>
      <c r="AH64" s="79">
        <f t="shared" si="262"/>
        <v>8.163265306122458E-2</v>
      </c>
      <c r="AI64" s="79">
        <f t="shared" si="262"/>
        <v>2.7777777777777679E-2</v>
      </c>
      <c r="AJ64" s="79">
        <f t="shared" si="262"/>
        <v>-3.5962877030162432E-2</v>
      </c>
      <c r="AK64" s="79">
        <f t="shared" si="262"/>
        <v>2.2300469483568008E-2</v>
      </c>
      <c r="AL64" s="79">
        <f t="shared" si="262"/>
        <v>3.3018867924528239E-2</v>
      </c>
      <c r="AM64" s="79">
        <f t="shared" si="262"/>
        <v>0.11068211068211076</v>
      </c>
      <c r="AN64" s="79">
        <f t="shared" si="262"/>
        <v>3.6101083032491044E-2</v>
      </c>
      <c r="AO64" s="79">
        <f t="shared" si="262"/>
        <v>5.1664753157290466E-2</v>
      </c>
      <c r="AP64" s="79">
        <f t="shared" si="262"/>
        <v>4.7945205479452024E-2</v>
      </c>
      <c r="AQ64" s="79">
        <f t="shared" si="262"/>
        <v>8.4588644264194768E-2</v>
      </c>
      <c r="AR64" s="79">
        <f t="shared" si="262"/>
        <v>0.17886178861788626</v>
      </c>
      <c r="AS64" s="79">
        <f t="shared" si="262"/>
        <v>0</v>
      </c>
      <c r="AT64" s="79">
        <f t="shared" si="262"/>
        <v>0</v>
      </c>
      <c r="AU64" s="79">
        <f t="shared" si="262"/>
        <v>0</v>
      </c>
      <c r="AV64" s="79">
        <f t="shared" si="262"/>
        <v>0</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2"/>
      <c r="DA64" s="79"/>
      <c r="DB64" s="79"/>
      <c r="DC64" s="79"/>
      <c r="DD64" s="79"/>
      <c r="DE64" s="82"/>
      <c r="DF64" s="79">
        <f>DF7/DE7-1</f>
        <v>0.31524488388135219</v>
      </c>
      <c r="DG64" s="79">
        <f>DG7/DF7-1</f>
        <v>0.18444055944055937</v>
      </c>
      <c r="DH64" s="79">
        <f>DH7/DG7-1</f>
        <v>0.10701107011070121</v>
      </c>
      <c r="DI64" s="79">
        <f>DI7/DH7-1</f>
        <v>0.10600000000000009</v>
      </c>
      <c r="DJ64" s="79">
        <v>0.08</v>
      </c>
      <c r="DK64" s="79">
        <v>0.05</v>
      </c>
      <c r="DL64" s="79">
        <v>0.02</v>
      </c>
      <c r="DM64" s="79">
        <v>0</v>
      </c>
      <c r="DN64" s="79">
        <v>0</v>
      </c>
      <c r="DO64" s="79">
        <v>0</v>
      </c>
      <c r="DP64" s="79"/>
      <c r="DQ64" s="72"/>
      <c r="DR64" s="72"/>
      <c r="DS64" s="72"/>
      <c r="DT64" s="72"/>
      <c r="DU64" s="72"/>
      <c r="DV64" s="72"/>
      <c r="DW64" s="72"/>
      <c r="DX64" s="72"/>
      <c r="DY64" s="72"/>
      <c r="DZ64" s="72"/>
      <c r="EA64" s="72"/>
      <c r="EB64" s="72"/>
      <c r="EC64" s="72"/>
      <c r="ED64" s="72"/>
      <c r="EE64" s="72"/>
    </row>
    <row r="65" spans="2:135" s="15" customFormat="1">
      <c r="B65" s="30" t="s">
        <v>723</v>
      </c>
      <c r="C65" s="82"/>
      <c r="D65" s="82"/>
      <c r="E65" s="82"/>
      <c r="F65" s="82"/>
      <c r="G65" s="79"/>
      <c r="H65" s="79"/>
      <c r="I65" s="79"/>
      <c r="J65" s="79"/>
      <c r="K65" s="79">
        <f t="shared" ref="K65:AV65" si="263">K37/G37-1</f>
        <v>0.80057230904688503</v>
      </c>
      <c r="L65" s="79">
        <f t="shared" si="263"/>
        <v>0.71883408071748889</v>
      </c>
      <c r="M65" s="79">
        <f t="shared" si="263"/>
        <v>0.54421162134046663</v>
      </c>
      <c r="N65" s="79">
        <f t="shared" si="263"/>
        <v>0.38011840157868759</v>
      </c>
      <c r="O65" s="79">
        <f t="shared" si="263"/>
        <v>0.3494498777506112</v>
      </c>
      <c r="P65" s="79">
        <f t="shared" si="263"/>
        <v>0.26830159144273402</v>
      </c>
      <c r="Q65" s="79">
        <f t="shared" si="263"/>
        <v>0.23183524203637784</v>
      </c>
      <c r="R65" s="79">
        <f t="shared" si="263"/>
        <v>0.24128686327077742</v>
      </c>
      <c r="S65" s="79">
        <f t="shared" si="263"/>
        <v>0.2388458576799386</v>
      </c>
      <c r="T65" s="79">
        <f t="shared" si="263"/>
        <v>0.26383346361130555</v>
      </c>
      <c r="U65" s="79">
        <f t="shared" si="263"/>
        <v>0.19023437499999996</v>
      </c>
      <c r="V65" s="79">
        <f t="shared" si="263"/>
        <v>0.14038876889848817</v>
      </c>
      <c r="W65" s="79">
        <f t="shared" si="263"/>
        <v>0.1433272394881171</v>
      </c>
      <c r="X65" s="79">
        <f t="shared" si="263"/>
        <v>0.13639322916666674</v>
      </c>
      <c r="Y65" s="79">
        <f t="shared" si="263"/>
        <v>0.1496553987528717</v>
      </c>
      <c r="Z65" s="79">
        <f t="shared" si="263"/>
        <v>0.17960858585858586</v>
      </c>
      <c r="AA65" s="79">
        <f t="shared" si="263"/>
        <v>0.1400703549728175</v>
      </c>
      <c r="AB65" s="79">
        <f t="shared" si="263"/>
        <v>3.2368948725293611E-2</v>
      </c>
      <c r="AC65" s="79">
        <f t="shared" si="263"/>
        <v>5.9948615472451561E-3</v>
      </c>
      <c r="AD65" s="79">
        <f t="shared" si="263"/>
        <v>-3.184372491303189E-2</v>
      </c>
      <c r="AE65" s="79">
        <f t="shared" si="263"/>
        <v>-7.8541374474053738E-3</v>
      </c>
      <c r="AF65" s="79">
        <f t="shared" si="263"/>
        <v>2.441731409544956E-2</v>
      </c>
      <c r="AG65" s="79">
        <f t="shared" si="263"/>
        <v>7.3779795686719662E-2</v>
      </c>
      <c r="AH65" s="79">
        <f t="shared" si="263"/>
        <v>1.5478164731896005E-2</v>
      </c>
      <c r="AI65" s="79">
        <f t="shared" si="263"/>
        <v>-8.4534916595985332E-2</v>
      </c>
      <c r="AJ65" s="79">
        <f t="shared" si="263"/>
        <v>-1.5709642470205898E-2</v>
      </c>
      <c r="AK65" s="79">
        <f t="shared" si="263"/>
        <v>-1.2684989429175508E-2</v>
      </c>
      <c r="AL65" s="79">
        <f t="shared" si="263"/>
        <v>1.8780620577027785E-2</v>
      </c>
      <c r="AM65" s="79">
        <f t="shared" si="263"/>
        <v>8.9561457689931956E-2</v>
      </c>
      <c r="AN65" s="79">
        <f t="shared" si="263"/>
        <v>-5.778756191524459E-3</v>
      </c>
      <c r="AO65" s="79">
        <f t="shared" si="263"/>
        <v>6.1563169164882137E-3</v>
      </c>
      <c r="AP65" s="79">
        <f t="shared" si="263"/>
        <v>4.5418113812449867E-3</v>
      </c>
      <c r="AQ65" s="79">
        <f t="shared" si="263"/>
        <v>2.5510204081632626E-2</v>
      </c>
      <c r="AR65" s="79">
        <f t="shared" si="263"/>
        <v>7.4453362856351957E-2</v>
      </c>
      <c r="AS65" s="79">
        <f t="shared" si="263"/>
        <v>6.7039106145250216E-3</v>
      </c>
      <c r="AT65" s="79">
        <f t="shared" si="263"/>
        <v>-3.2446808510637748E-3</v>
      </c>
      <c r="AU65" s="79">
        <f t="shared" si="263"/>
        <v>-1.0433941404090707E-2</v>
      </c>
      <c r="AV65" s="79">
        <f t="shared" si="263"/>
        <v>7.4961360123647625E-2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2"/>
      <c r="DA65" s="79"/>
      <c r="DB65" s="79"/>
      <c r="DC65" s="79"/>
      <c r="DD65" s="79"/>
      <c r="DE65" s="82"/>
      <c r="DF65" s="79">
        <f t="shared" ref="DF65:DO65" si="264">DF37/DE37-1</f>
        <v>0.20494075824871261</v>
      </c>
      <c r="DG65" s="79">
        <f t="shared" si="264"/>
        <v>0.1527200133089337</v>
      </c>
      <c r="DH65" s="79">
        <f t="shared" si="264"/>
        <v>3.268869966806176E-2</v>
      </c>
      <c r="DI65" s="79">
        <f t="shared" si="264"/>
        <v>2.6273495912235267E-2</v>
      </c>
      <c r="DJ65" s="79">
        <f t="shared" si="264"/>
        <v>-2.2877374548920804E-2</v>
      </c>
      <c r="DK65" s="79">
        <f t="shared" si="264"/>
        <v>2.1531600585324995E-2</v>
      </c>
      <c r="DL65" s="79">
        <f t="shared" si="264"/>
        <v>3.635743519781709E-2</v>
      </c>
      <c r="DM65" s="79">
        <f t="shared" si="264"/>
        <v>-9.0188902784177016E-2</v>
      </c>
      <c r="DN65" s="79">
        <f t="shared" si="264"/>
        <v>6.6007114353428653E-2</v>
      </c>
      <c r="DO65" s="79">
        <f t="shared" si="264"/>
        <v>-5.7664602635308926E-2</v>
      </c>
      <c r="DP65" s="79"/>
      <c r="DQ65" s="72"/>
      <c r="DR65" s="72"/>
      <c r="DS65" s="72"/>
      <c r="DT65" s="72"/>
      <c r="DU65" s="72"/>
      <c r="DV65" s="72"/>
      <c r="DW65" s="72"/>
      <c r="DX65" s="72"/>
      <c r="DY65" s="72"/>
      <c r="DZ65" s="72"/>
      <c r="EA65" s="72"/>
      <c r="EB65" s="72"/>
      <c r="EC65" s="72"/>
      <c r="ED65" s="72"/>
      <c r="EE65" s="72"/>
    </row>
    <row r="66" spans="2:135" s="15" customFormat="1">
      <c r="B66" s="30" t="s">
        <v>725</v>
      </c>
      <c r="C66" s="82"/>
      <c r="D66" s="82"/>
      <c r="E66" s="82"/>
      <c r="F66" s="82"/>
      <c r="G66" s="82"/>
      <c r="H66" s="82"/>
      <c r="I66" s="82"/>
      <c r="J66" s="82"/>
      <c r="K66" s="82"/>
      <c r="L66" s="82"/>
      <c r="M66" s="79">
        <f t="shared" ref="M66:AV66" si="265">M38/I38-1</f>
        <v>-0.15309446254071657</v>
      </c>
      <c r="N66" s="79">
        <f t="shared" si="265"/>
        <v>-0.2484429065743945</v>
      </c>
      <c r="O66" s="79">
        <f t="shared" si="265"/>
        <v>7.901037509976061E-2</v>
      </c>
      <c r="P66" s="79">
        <f t="shared" si="265"/>
        <v>0.23515248796147681</v>
      </c>
      <c r="Q66" s="79">
        <f t="shared" si="265"/>
        <v>0.17692307692307696</v>
      </c>
      <c r="R66" s="79">
        <f t="shared" si="265"/>
        <v>0.20626151012891358</v>
      </c>
      <c r="S66" s="79">
        <f t="shared" si="265"/>
        <v>-0.2751479289940828</v>
      </c>
      <c r="T66" s="79">
        <f t="shared" si="265"/>
        <v>-0.35022742040285904</v>
      </c>
      <c r="U66" s="79">
        <f t="shared" si="265"/>
        <v>-0.30065359477124187</v>
      </c>
      <c r="V66" s="79">
        <f t="shared" si="265"/>
        <v>-0.2137404580152672</v>
      </c>
      <c r="W66" s="79">
        <f t="shared" si="265"/>
        <v>-8.1632653061224469E-2</v>
      </c>
      <c r="X66" s="79">
        <f t="shared" si="265"/>
        <v>0.12999999999999989</v>
      </c>
      <c r="Y66" s="79">
        <f t="shared" si="265"/>
        <v>1.8691588785046731E-2</v>
      </c>
      <c r="Z66" s="79">
        <f t="shared" si="265"/>
        <v>-4.8543689320388328E-2</v>
      </c>
      <c r="AA66" s="79">
        <f t="shared" si="265"/>
        <v>0.35555555555555562</v>
      </c>
      <c r="AB66" s="79">
        <f t="shared" si="265"/>
        <v>9.7345132743362761E-2</v>
      </c>
      <c r="AC66" s="79">
        <f t="shared" si="265"/>
        <v>-0.20183486238532111</v>
      </c>
      <c r="AD66" s="79">
        <f t="shared" si="265"/>
        <v>0.29591836734693877</v>
      </c>
      <c r="AE66" s="79">
        <f t="shared" si="265"/>
        <v>-0.37704918032786883</v>
      </c>
      <c r="AF66" s="79">
        <f t="shared" si="265"/>
        <v>-0.41935483870967738</v>
      </c>
      <c r="AG66" s="79">
        <f t="shared" si="265"/>
        <v>4.5977011494252817E-2</v>
      </c>
      <c r="AH66" s="79">
        <f t="shared" si="265"/>
        <v>-0.39370078740157477</v>
      </c>
      <c r="AI66" s="79">
        <f t="shared" si="265"/>
        <v>-7.8947368421052655E-2</v>
      </c>
      <c r="AJ66" s="79">
        <f t="shared" si="265"/>
        <v>9.7222222222222321E-2</v>
      </c>
      <c r="AK66" s="79">
        <f t="shared" si="265"/>
        <v>-0.1648351648351648</v>
      </c>
      <c r="AL66" s="79">
        <f t="shared" si="265"/>
        <v>-0.1428571428571429</v>
      </c>
      <c r="AM66" s="79">
        <f t="shared" si="265"/>
        <v>-8.5714285714285743E-2</v>
      </c>
      <c r="AN66" s="79">
        <f t="shared" si="265"/>
        <v>1.4177215189873418</v>
      </c>
      <c r="AO66" s="79">
        <f t="shared" si="265"/>
        <v>-0.25</v>
      </c>
      <c r="AP66" s="79">
        <f t="shared" si="265"/>
        <v>0.22727272727272729</v>
      </c>
      <c r="AQ66" s="79">
        <f t="shared" si="265"/>
        <v>0.375</v>
      </c>
      <c r="AR66" s="79">
        <f t="shared" si="265"/>
        <v>-0.59685863874345557</v>
      </c>
      <c r="AS66" s="79">
        <f t="shared" si="265"/>
        <v>0.35087719298245612</v>
      </c>
      <c r="AT66" s="79">
        <f t="shared" si="265"/>
        <v>-4.9382716049382713E-2</v>
      </c>
      <c r="AU66" s="79">
        <f t="shared" si="265"/>
        <v>-0.125</v>
      </c>
      <c r="AV66" s="79">
        <f t="shared" si="265"/>
        <v>2.948051948051948</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2"/>
      <c r="DA66" s="79"/>
      <c r="DB66" s="79"/>
      <c r="DC66" s="79"/>
      <c r="DD66" s="79"/>
      <c r="DE66" s="82"/>
      <c r="DF66" s="79">
        <f>DF38/DE38-1</f>
        <v>-0.28808235909963364</v>
      </c>
      <c r="DG66" s="79">
        <f>DG38/DF38-1</f>
        <v>4.9019607843137081E-3</v>
      </c>
      <c r="DH66" s="79">
        <v>0</v>
      </c>
      <c r="DI66" s="79">
        <v>0</v>
      </c>
      <c r="DJ66" s="79">
        <v>0.05</v>
      </c>
      <c r="DK66" s="79">
        <v>0.02</v>
      </c>
      <c r="DL66" s="79">
        <v>0.02</v>
      </c>
      <c r="DM66" s="79">
        <v>0.02</v>
      </c>
      <c r="DN66" s="79">
        <v>0.02</v>
      </c>
      <c r="DO66" s="79">
        <v>0.02</v>
      </c>
      <c r="DP66" s="79"/>
      <c r="DQ66" s="72"/>
      <c r="DR66" s="72"/>
      <c r="DS66" s="72"/>
      <c r="DT66" s="72"/>
      <c r="DU66" s="72"/>
      <c r="DV66" s="72"/>
      <c r="DW66" s="72"/>
      <c r="DX66" s="72"/>
      <c r="DY66" s="72"/>
      <c r="DZ66" s="72"/>
      <c r="EA66" s="72"/>
      <c r="EB66" s="72"/>
      <c r="EC66" s="72"/>
      <c r="ED66" s="92" t="s">
        <v>1113</v>
      </c>
      <c r="EE66" s="72"/>
    </row>
    <row r="67" spans="2:135" s="15" customFormat="1">
      <c r="B67" s="30" t="s">
        <v>1124</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f>+AS19/AO19-1</f>
        <v>3.9000000000000004</v>
      </c>
      <c r="AT67" s="86">
        <f>+AT19/AP19-1</f>
        <v>1.7000000000000002</v>
      </c>
      <c r="AU67" s="86">
        <f>+AU19/AQ19-1</f>
        <v>1.1851851851851851</v>
      </c>
      <c r="AV67" s="86">
        <f>+AV19/AR19-1</f>
        <v>1.7272727272727271</v>
      </c>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62"/>
      <c r="CG67" s="62">
        <f t="shared" ref="CG67:CI67" si="266">+CG19/CC19-1</f>
        <v>0.14550641940085596</v>
      </c>
      <c r="CH67" s="62">
        <f t="shared" si="266"/>
        <v>0.16555407209612816</v>
      </c>
      <c r="CI67" s="62">
        <f t="shared" si="266"/>
        <v>0.12401055408970985</v>
      </c>
      <c r="CJ67" s="62">
        <f>+CJ19/CF19-1</f>
        <v>0.13267813267813278</v>
      </c>
      <c r="CK67" s="62">
        <f t="shared" ref="CK67:CP67" si="267">+CK19/CG19-1</f>
        <v>7.3474470734744779E-2</v>
      </c>
      <c r="CL67" s="62">
        <f t="shared" si="267"/>
        <v>0.13631156930125998</v>
      </c>
      <c r="CM67" s="62">
        <f t="shared" si="267"/>
        <v>8.8028169014084501E-2</v>
      </c>
      <c r="CN67" s="62">
        <f t="shared" si="267"/>
        <v>0.11496746203904551</v>
      </c>
      <c r="CO67" s="62">
        <f t="shared" si="267"/>
        <v>0.14385150812064973</v>
      </c>
      <c r="CP67" s="62">
        <f t="shared" si="267"/>
        <v>0.11592741935483875</v>
      </c>
      <c r="CQ67" s="62"/>
      <c r="CR67" s="62"/>
      <c r="CS67" s="62"/>
      <c r="CT67" s="62"/>
      <c r="CU67" s="62"/>
      <c r="CV67" s="62"/>
      <c r="CW67" s="62"/>
      <c r="CX67" s="72"/>
      <c r="CY67" s="72"/>
      <c r="CZ67" s="72"/>
      <c r="DA67" s="79"/>
      <c r="DB67" s="79"/>
      <c r="DC67" s="79"/>
      <c r="DD67" s="79"/>
      <c r="DE67" s="82"/>
      <c r="DF67" s="79"/>
      <c r="DG67" s="79"/>
      <c r="DH67" s="79"/>
      <c r="DI67" s="79"/>
      <c r="DJ67" s="79"/>
      <c r="DK67" s="79">
        <v>0.9</v>
      </c>
      <c r="DL67" s="79">
        <v>0.7</v>
      </c>
      <c r="DM67" s="79">
        <v>0.5</v>
      </c>
      <c r="DN67" s="79">
        <v>0.3</v>
      </c>
      <c r="DO67" s="79">
        <v>0.1</v>
      </c>
      <c r="DP67" s="79"/>
      <c r="DQ67" s="72"/>
      <c r="DR67" s="72"/>
      <c r="DS67" s="72"/>
      <c r="DT67" s="72"/>
      <c r="DU67" s="72"/>
      <c r="DV67" s="72"/>
      <c r="DW67" s="72"/>
      <c r="DX67" s="72"/>
      <c r="DY67" s="72"/>
      <c r="DZ67" s="72"/>
      <c r="EA67" s="72"/>
      <c r="EB67" s="72"/>
      <c r="EC67" s="72"/>
      <c r="ED67" s="37" t="s">
        <v>1115</v>
      </c>
      <c r="EE67" s="72"/>
    </row>
    <row r="68" spans="2:135" s="15" customFormat="1">
      <c r="B68" s="30" t="s">
        <v>949</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9"/>
      <c r="DB68" s="79"/>
      <c r="DC68" s="79"/>
      <c r="DD68" s="79"/>
      <c r="DE68" s="82"/>
      <c r="DF68" s="79"/>
      <c r="DG68" s="79"/>
      <c r="DH68" s="86">
        <f>DH18/DG18-1</f>
        <v>3.3589743589743586</v>
      </c>
      <c r="DI68" s="79">
        <v>0.1</v>
      </c>
      <c r="DJ68" s="79">
        <v>0.05</v>
      </c>
      <c r="DK68" s="79">
        <v>0.05</v>
      </c>
      <c r="DL68" s="79">
        <v>0.05</v>
      </c>
      <c r="DM68" s="79">
        <v>0.05</v>
      </c>
      <c r="DN68" s="79"/>
      <c r="DO68" s="79"/>
      <c r="DP68" s="79"/>
      <c r="DQ68" s="72"/>
      <c r="DR68" s="72"/>
      <c r="DS68" s="72"/>
      <c r="DT68" s="72"/>
      <c r="DU68" s="72"/>
      <c r="DV68" s="72"/>
      <c r="DW68" s="72"/>
      <c r="DX68" s="72"/>
      <c r="DY68" s="72"/>
      <c r="DZ68" s="72"/>
      <c r="EA68" s="72"/>
      <c r="EB68" s="72"/>
      <c r="EC68" s="72"/>
      <c r="ED68" s="37" t="s">
        <v>1116</v>
      </c>
      <c r="EE68" s="72"/>
    </row>
    <row r="69" spans="2:135" s="15" customFormat="1">
      <c r="B69" s="30" t="s">
        <v>1132</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+AT20/AP20-1</f>
        <v>9.375</v>
      </c>
      <c r="AU69" s="86">
        <f>+AU20/AQ20-1</f>
        <v>1.0952380952380953</v>
      </c>
      <c r="AV69" s="86">
        <f>+AV20/AR20-1</f>
        <v>1.452054794520548</v>
      </c>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62">
        <f t="shared" ref="CG69:CI69" si="268">+CG20/CC20-1</f>
        <v>7.4844074844074848E-2</v>
      </c>
      <c r="CH69" s="62">
        <f t="shared" si="268"/>
        <v>8.5657370517928211E-2</v>
      </c>
      <c r="CI69" s="62">
        <f t="shared" si="268"/>
        <v>7.2649572649572614E-2</v>
      </c>
      <c r="CJ69" s="62">
        <f>+CJ20/CF20-1</f>
        <v>9.2213114754098324E-2</v>
      </c>
      <c r="CK69" s="62">
        <f t="shared" ref="CK69:CP69" si="269">+CK20/CG20-1</f>
        <v>-4.2553191489361653E-2</v>
      </c>
      <c r="CL69" s="62">
        <f t="shared" si="269"/>
        <v>-0.11192660550458711</v>
      </c>
      <c r="CM69" s="62">
        <f t="shared" si="269"/>
        <v>6.7729083665338585E-2</v>
      </c>
      <c r="CN69" s="62">
        <f t="shared" si="269"/>
        <v>-5.6285178236398226E-3</v>
      </c>
      <c r="CO69" s="62">
        <f t="shared" si="269"/>
        <v>4.8484848484848575E-2</v>
      </c>
      <c r="CP69" s="62">
        <f t="shared" si="269"/>
        <v>8.8842975206611552E-2</v>
      </c>
      <c r="CQ69" s="62"/>
      <c r="CR69" s="62"/>
      <c r="CS69" s="62"/>
      <c r="CT69" s="62"/>
      <c r="CU69" s="62"/>
      <c r="CV69" s="62"/>
      <c r="CW69" s="62"/>
      <c r="CX69" s="72"/>
      <c r="CY69" s="72"/>
      <c r="CZ69" s="72"/>
      <c r="DA69" s="79"/>
      <c r="DB69" s="79"/>
      <c r="DC69" s="79"/>
      <c r="DD69" s="79"/>
      <c r="DE69" s="82"/>
      <c r="DF69" s="79"/>
      <c r="DG69" s="79"/>
      <c r="DH69" s="79"/>
      <c r="DI69" s="79"/>
      <c r="DJ69" s="79"/>
      <c r="DK69" s="79"/>
      <c r="DL69" s="79"/>
      <c r="DM69" s="79"/>
      <c r="DN69" s="79"/>
      <c r="DO69" s="79"/>
      <c r="DP69" s="79"/>
      <c r="DQ69" s="72"/>
      <c r="DR69" s="72"/>
      <c r="DS69" s="72"/>
      <c r="DT69" s="72"/>
      <c r="DU69" s="72"/>
      <c r="DV69" s="72"/>
      <c r="DW69" s="72"/>
      <c r="DX69" s="72"/>
      <c r="DY69" s="72"/>
      <c r="DZ69" s="72"/>
      <c r="EA69" s="72"/>
      <c r="EB69" s="72"/>
      <c r="EC69" s="72"/>
      <c r="ED69" s="37" t="s">
        <v>1117</v>
      </c>
      <c r="EE69" s="72"/>
    </row>
    <row r="70" spans="2:135" s="15" customFormat="1">
      <c r="B70" s="30" t="s">
        <v>27</v>
      </c>
      <c r="C70" s="82"/>
      <c r="D70" s="82"/>
      <c r="E70" s="82"/>
      <c r="F70" s="82"/>
      <c r="G70" s="82"/>
      <c r="H70" s="82"/>
      <c r="I70" s="82"/>
      <c r="J70" s="82"/>
      <c r="K70" s="82"/>
      <c r="L70" s="82"/>
      <c r="M70" s="79"/>
      <c r="N70" s="79"/>
      <c r="O70" s="79"/>
      <c r="P70" s="79"/>
      <c r="Q70" s="79"/>
      <c r="R70" s="79"/>
      <c r="S70" s="79"/>
      <c r="T70" s="86">
        <f t="shared" ref="T70:AV70" si="270">T16/P16-1</f>
        <v>10.612903225806452</v>
      </c>
      <c r="U70" s="86">
        <f t="shared" si="270"/>
        <v>3.2</v>
      </c>
      <c r="V70" s="86">
        <f t="shared" si="270"/>
        <v>1.6842105263157894</v>
      </c>
      <c r="W70" s="86">
        <f t="shared" si="270"/>
        <v>1.2592592592592591</v>
      </c>
      <c r="X70" s="86">
        <f t="shared" si="270"/>
        <v>1.1944444444444446</v>
      </c>
      <c r="Y70" s="79">
        <f t="shared" si="270"/>
        <v>0.97619047619047628</v>
      </c>
      <c r="Z70" s="79">
        <f t="shared" si="270"/>
        <v>0.92156862745098045</v>
      </c>
      <c r="AA70" s="79">
        <f t="shared" si="270"/>
        <v>0.72131147540983598</v>
      </c>
      <c r="AB70" s="79">
        <f t="shared" si="270"/>
        <v>0.36708860759493667</v>
      </c>
      <c r="AC70" s="79">
        <f t="shared" si="270"/>
        <v>0.46987951807228923</v>
      </c>
      <c r="AD70" s="79">
        <f t="shared" si="270"/>
        <v>0.30612244897959173</v>
      </c>
      <c r="AE70" s="79">
        <f t="shared" si="270"/>
        <v>0.26666666666666661</v>
      </c>
      <c r="AF70" s="79">
        <f t="shared" si="270"/>
        <v>0.38888888888888884</v>
      </c>
      <c r="AG70" s="79">
        <f t="shared" si="270"/>
        <v>0.31967213114754101</v>
      </c>
      <c r="AH70" s="79">
        <f t="shared" si="270"/>
        <v>0.1953125</v>
      </c>
      <c r="AI70" s="79">
        <f t="shared" si="270"/>
        <v>0.11278195488721798</v>
      </c>
      <c r="AJ70" s="79">
        <f t="shared" si="270"/>
        <v>0.11333333333333329</v>
      </c>
      <c r="AK70" s="79">
        <f t="shared" si="270"/>
        <v>2.4844720496894457E-2</v>
      </c>
      <c r="AL70" s="79">
        <f t="shared" si="270"/>
        <v>0.11764705882352944</v>
      </c>
      <c r="AM70" s="79">
        <f t="shared" si="270"/>
        <v>0.20945945945945943</v>
      </c>
      <c r="AN70" s="79">
        <f t="shared" si="270"/>
        <v>2.9940119760478945E-2</v>
      </c>
      <c r="AO70" s="79">
        <f t="shared" si="270"/>
        <v>6.0606060606060552E-2</v>
      </c>
      <c r="AP70" s="79">
        <f t="shared" si="270"/>
        <v>9.9415204678362512E-2</v>
      </c>
      <c r="AQ70" s="79">
        <f t="shared" si="270"/>
        <v>4.4692737430167551E-2</v>
      </c>
      <c r="AR70" s="79">
        <f t="shared" si="270"/>
        <v>0.15697674418604657</v>
      </c>
      <c r="AS70" s="79">
        <f t="shared" si="270"/>
        <v>0.13714285714285723</v>
      </c>
      <c r="AT70" s="79">
        <f t="shared" si="270"/>
        <v>5.8510638297872397E-2</v>
      </c>
      <c r="AU70" s="79">
        <f t="shared" si="270"/>
        <v>6.4171122994652441E-2</v>
      </c>
      <c r="AV70" s="79">
        <f t="shared" si="270"/>
        <v>0.16582914572864316</v>
      </c>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2"/>
      <c r="DA70" s="79"/>
      <c r="DB70" s="79"/>
      <c r="DC70" s="79"/>
      <c r="DD70" s="79"/>
      <c r="DE70" s="82"/>
      <c r="DF70" s="79"/>
      <c r="DG70" s="79"/>
      <c r="DH70" s="79">
        <f>DH16/DG16-1</f>
        <v>0.44236760124610597</v>
      </c>
      <c r="DI70" s="79">
        <v>0.2</v>
      </c>
      <c r="DJ70" s="79">
        <v>0.15</v>
      </c>
      <c r="DK70" s="79">
        <v>0.1</v>
      </c>
      <c r="DL70" s="79">
        <v>0.08</v>
      </c>
      <c r="DM70" s="79">
        <v>0.02</v>
      </c>
      <c r="DN70" s="79">
        <v>0</v>
      </c>
      <c r="DO70" s="79">
        <v>0</v>
      </c>
      <c r="DP70" s="79"/>
      <c r="DQ70" s="72"/>
      <c r="DR70" s="72"/>
      <c r="DS70" s="72"/>
      <c r="DT70" s="72"/>
      <c r="DU70" s="72"/>
      <c r="DV70" s="72"/>
      <c r="DW70" s="72"/>
      <c r="DX70" s="72"/>
      <c r="DY70" s="72"/>
      <c r="DZ70" s="72"/>
      <c r="EA70" s="72"/>
      <c r="EB70" s="72"/>
      <c r="EC70" s="72"/>
      <c r="ED70" s="37" t="s">
        <v>1118</v>
      </c>
      <c r="EE70" s="72"/>
    </row>
    <row r="71" spans="2:135" s="15" customFormat="1">
      <c r="B71" s="30" t="s">
        <v>285</v>
      </c>
      <c r="C71" s="82"/>
      <c r="D71" s="82"/>
      <c r="E71" s="82"/>
      <c r="F71" s="82"/>
      <c r="G71" s="82"/>
      <c r="H71" s="82"/>
      <c r="I71" s="82"/>
      <c r="J71" s="82"/>
      <c r="K71" s="82"/>
      <c r="L71" s="82"/>
      <c r="M71" s="79"/>
      <c r="N71" s="79"/>
      <c r="O71" s="79">
        <f t="shared" ref="O71:X72" si="271">O42/K42-1</f>
        <v>0.26727166276346592</v>
      </c>
      <c r="P71" s="79">
        <f t="shared" si="271"/>
        <v>0.19708788351534046</v>
      </c>
      <c r="Q71" s="79">
        <f t="shared" si="271"/>
        <v>0.23750000000000004</v>
      </c>
      <c r="R71" s="79">
        <f t="shared" si="271"/>
        <v>0.22877930476960384</v>
      </c>
      <c r="S71" s="79">
        <f t="shared" si="271"/>
        <v>0.20351120351120366</v>
      </c>
      <c r="T71" s="79">
        <f t="shared" si="271"/>
        <v>0.22502172024326672</v>
      </c>
      <c r="U71" s="79">
        <f t="shared" si="271"/>
        <v>0.12929292929292924</v>
      </c>
      <c r="V71" s="79">
        <f t="shared" si="271"/>
        <v>8.2236842105263053E-2</v>
      </c>
      <c r="W71" s="79">
        <f t="shared" si="271"/>
        <v>0.19769673704414581</v>
      </c>
      <c r="X71" s="79">
        <f t="shared" si="271"/>
        <v>0.29255319148936176</v>
      </c>
      <c r="Y71" s="79">
        <f t="shared" ref="Y71:AH72" si="272">Y42/U42-1</f>
        <v>0.49373881932021457</v>
      </c>
      <c r="Z71" s="79">
        <f t="shared" si="272"/>
        <v>0.5243161094224924</v>
      </c>
      <c r="AA71" s="79">
        <f t="shared" si="272"/>
        <v>0.28685897435897445</v>
      </c>
      <c r="AB71" s="79">
        <f t="shared" si="272"/>
        <v>6.5843621399176877E-2</v>
      </c>
      <c r="AC71" s="79">
        <f t="shared" si="272"/>
        <v>-0.16287425149700596</v>
      </c>
      <c r="AD71" s="79">
        <f t="shared" si="272"/>
        <v>-0.21734795613160518</v>
      </c>
      <c r="AE71" s="79">
        <f t="shared" si="272"/>
        <v>-0.17683686176836866</v>
      </c>
      <c r="AF71" s="79">
        <f t="shared" si="272"/>
        <v>2.5740025740026429E-3</v>
      </c>
      <c r="AG71" s="79">
        <f t="shared" si="272"/>
        <v>1.4306151645206988E-3</v>
      </c>
      <c r="AH71" s="79">
        <f t="shared" si="272"/>
        <v>-1.9108280254777066E-2</v>
      </c>
      <c r="AI71" s="79">
        <f t="shared" ref="AI71:AR72" si="273">AI42/AE42-1</f>
        <v>-8.4720121028744377E-2</v>
      </c>
      <c r="AJ71" s="79">
        <f t="shared" si="273"/>
        <v>-0.15661103979460844</v>
      </c>
      <c r="AK71" s="79">
        <f t="shared" si="273"/>
        <v>-0.12428571428571433</v>
      </c>
      <c r="AL71" s="79">
        <f t="shared" si="273"/>
        <v>0.12207792207792201</v>
      </c>
      <c r="AM71" s="79">
        <f t="shared" si="273"/>
        <v>1.983471074380172E-2</v>
      </c>
      <c r="AN71" s="79">
        <f t="shared" si="273"/>
        <v>-2.2831050228310557E-2</v>
      </c>
      <c r="AO71" s="79">
        <f t="shared" si="273"/>
        <v>0.12398042414355626</v>
      </c>
      <c r="AP71" s="79">
        <f t="shared" si="273"/>
        <v>-4.513888888888884E-2</v>
      </c>
      <c r="AQ71" s="79">
        <f t="shared" si="273"/>
        <v>0.13938411669367912</v>
      </c>
      <c r="AR71" s="79">
        <f t="shared" si="273"/>
        <v>0.25856697819314634</v>
      </c>
      <c r="AS71" s="79">
        <f t="shared" ref="AS71:AV72" si="274">AS42/AO42-1</f>
        <v>-1</v>
      </c>
      <c r="AT71" s="79">
        <f t="shared" si="274"/>
        <v>0</v>
      </c>
      <c r="AU71" s="79">
        <f t="shared" si="274"/>
        <v>-1</v>
      </c>
      <c r="AV71" s="79">
        <f t="shared" si="274"/>
        <v>2.2277227722772297E-2</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2"/>
      <c r="DA71" s="79"/>
      <c r="DB71" s="79"/>
      <c r="DC71" s="79"/>
      <c r="DD71" s="79"/>
      <c r="DE71" s="82"/>
      <c r="DF71" s="79">
        <f t="shared" ref="DF71:DO71" si="275">DF42/DE42-1</f>
        <v>0.15313329659870756</v>
      </c>
      <c r="DG71" s="79">
        <f t="shared" si="275"/>
        <v>0.38618592528236317</v>
      </c>
      <c r="DH71" s="79">
        <f t="shared" si="275"/>
        <v>-3.9799435913506764E-2</v>
      </c>
      <c r="DI71" s="79">
        <f t="shared" si="275"/>
        <v>-5.0261096605744071E-2</v>
      </c>
      <c r="DJ71" s="79">
        <f t="shared" si="275"/>
        <v>-5.8762886597938158E-2</v>
      </c>
      <c r="DK71" s="79">
        <f t="shared" si="275"/>
        <v>1.241328952172327E-2</v>
      </c>
      <c r="DL71" s="79">
        <f t="shared" si="275"/>
        <v>-0.15759105661738193</v>
      </c>
      <c r="DM71" s="79">
        <f t="shared" si="275"/>
        <v>-1</v>
      </c>
      <c r="DN71" s="79" t="e">
        <f t="shared" si="275"/>
        <v>#DIV/0!</v>
      </c>
      <c r="DO71" s="79" t="e">
        <f t="shared" si="275"/>
        <v>#DIV/0!</v>
      </c>
      <c r="DP71" s="79"/>
      <c r="DQ71" s="72"/>
      <c r="DR71" s="72"/>
      <c r="DS71" s="72"/>
      <c r="DT71" s="72"/>
      <c r="DU71" s="72"/>
      <c r="DV71" s="72"/>
      <c r="DW71" s="72"/>
      <c r="DX71" s="72"/>
      <c r="DY71" s="72"/>
      <c r="DZ71" s="72"/>
      <c r="EA71" s="72"/>
      <c r="EB71" s="72"/>
      <c r="EC71" s="72"/>
      <c r="ED71" s="72"/>
      <c r="EE71" s="72"/>
    </row>
    <row r="72" spans="2:135" s="30" customFormat="1">
      <c r="B72" s="30" t="s">
        <v>724</v>
      </c>
      <c r="C72" s="82"/>
      <c r="D72" s="82"/>
      <c r="E72" s="82"/>
      <c r="F72" s="82"/>
      <c r="G72" s="82"/>
      <c r="H72" s="82"/>
      <c r="I72" s="82"/>
      <c r="J72" s="82"/>
      <c r="K72" s="82"/>
      <c r="L72" s="82"/>
      <c r="M72" s="82"/>
      <c r="N72" s="82"/>
      <c r="O72" s="79">
        <f t="shared" si="271"/>
        <v>0.36545115783870119</v>
      </c>
      <c r="P72" s="79">
        <f t="shared" si="271"/>
        <v>0.34102857142857146</v>
      </c>
      <c r="Q72" s="79">
        <f t="shared" si="271"/>
        <v>0.35567890691716464</v>
      </c>
      <c r="R72" s="79">
        <f t="shared" si="271"/>
        <v>0.32886564236678661</v>
      </c>
      <c r="S72" s="79">
        <f t="shared" si="271"/>
        <v>0.12475633528265107</v>
      </c>
      <c r="T72" s="79">
        <f t="shared" si="271"/>
        <v>0.10107380262485077</v>
      </c>
      <c r="U72" s="79">
        <f t="shared" si="271"/>
        <v>3.3070866141732269E-2</v>
      </c>
      <c r="V72" s="79">
        <f t="shared" si="271"/>
        <v>0.12300123001230023</v>
      </c>
      <c r="W72" s="79">
        <f t="shared" si="271"/>
        <v>0.12998266897746968</v>
      </c>
      <c r="X72" s="79">
        <f t="shared" si="271"/>
        <v>0.23684210526315796</v>
      </c>
      <c r="Y72" s="79">
        <f t="shared" si="272"/>
        <v>0.19207317073170738</v>
      </c>
      <c r="Z72" s="79">
        <f t="shared" si="272"/>
        <v>9.6385542168674787E-2</v>
      </c>
      <c r="AA72" s="79">
        <f t="shared" si="272"/>
        <v>0.14723926380368102</v>
      </c>
      <c r="AB72" s="79">
        <f t="shared" si="272"/>
        <v>5.1314142678347885E-2</v>
      </c>
      <c r="AC72" s="79">
        <f t="shared" si="272"/>
        <v>2.8132992327365658E-2</v>
      </c>
      <c r="AD72" s="79">
        <f t="shared" si="272"/>
        <v>-1.098901098901095E-2</v>
      </c>
      <c r="AE72" s="79">
        <f t="shared" si="272"/>
        <v>0.15240641711229941</v>
      </c>
      <c r="AF72" s="79">
        <f t="shared" si="272"/>
        <v>6.4285714285714279E-2</v>
      </c>
      <c r="AG72" s="79">
        <f t="shared" si="272"/>
        <v>0.10696517412935314</v>
      </c>
      <c r="AH72" s="79">
        <f t="shared" si="272"/>
        <v>7.2727272727272751E-2</v>
      </c>
      <c r="AI72" s="79">
        <f t="shared" si="273"/>
        <v>-0.10208816705336432</v>
      </c>
      <c r="AJ72" s="79">
        <f t="shared" si="273"/>
        <v>-3.3557046979866278E-3</v>
      </c>
      <c r="AK72" s="79">
        <f t="shared" si="273"/>
        <v>2.5842696629213568E-2</v>
      </c>
      <c r="AL72" s="79">
        <f t="shared" si="273"/>
        <v>9.1337099811676037E-2</v>
      </c>
      <c r="AM72" s="79">
        <f t="shared" si="273"/>
        <v>0.12790697674418605</v>
      </c>
      <c r="AN72" s="79">
        <f t="shared" si="273"/>
        <v>8.6419753086419693E-2</v>
      </c>
      <c r="AO72" s="79">
        <f t="shared" si="273"/>
        <v>3.1763417305586072E-2</v>
      </c>
      <c r="AP72" s="79">
        <f t="shared" si="273"/>
        <v>-1.4667817083692802E-2</v>
      </c>
      <c r="AQ72" s="79">
        <f t="shared" si="273"/>
        <v>0.15807560137457055</v>
      </c>
      <c r="AR72" s="79">
        <f t="shared" si="273"/>
        <v>0.14772727272727271</v>
      </c>
      <c r="AS72" s="79">
        <f t="shared" si="274"/>
        <v>0</v>
      </c>
      <c r="AT72" s="79">
        <f t="shared" si="274"/>
        <v>0</v>
      </c>
      <c r="AU72" s="79">
        <f t="shared" si="274"/>
        <v>-1</v>
      </c>
      <c r="AV72" s="79">
        <f t="shared" si="274"/>
        <v>0.10531053105310528</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82"/>
      <c r="DA72" s="79"/>
      <c r="DB72" s="79"/>
      <c r="DC72" s="79"/>
      <c r="DD72" s="79"/>
      <c r="DE72" s="79"/>
      <c r="DF72" s="79">
        <f t="shared" ref="DF72:DO72" si="276">DF43/DE43-1</f>
        <v>9.5890410958904271E-2</v>
      </c>
      <c r="DG72" s="79">
        <f t="shared" si="276"/>
        <v>0.15830945558739251</v>
      </c>
      <c r="DH72" s="79">
        <f t="shared" si="276"/>
        <v>4.5763760049474245E-2</v>
      </c>
      <c r="DI72" s="79">
        <f t="shared" si="276"/>
        <v>9.6392667060910764E-2</v>
      </c>
      <c r="DJ72" s="79">
        <f t="shared" si="276"/>
        <v>7.8209277238403541E-3</v>
      </c>
      <c r="DK72" s="79">
        <f t="shared" si="276"/>
        <v>5.030773347605022E-2</v>
      </c>
      <c r="DL72" s="79">
        <f t="shared" si="276"/>
        <v>7.1592356687897984E-2</v>
      </c>
      <c r="DM72" s="79">
        <f t="shared" si="276"/>
        <v>-0.31042113647170722</v>
      </c>
      <c r="DN72" s="79">
        <f t="shared" si="276"/>
        <v>9.0923406048341482E-2</v>
      </c>
      <c r="DO72" s="79">
        <f t="shared" si="276"/>
        <v>-1.0999276550868742E-2</v>
      </c>
      <c r="DP72" s="79"/>
      <c r="DQ72" s="82"/>
      <c r="DR72" s="82"/>
      <c r="DS72" s="82"/>
      <c r="DT72" s="82"/>
      <c r="DU72" s="82"/>
      <c r="DV72" s="82"/>
      <c r="DW72" s="82"/>
      <c r="DX72" s="82"/>
      <c r="DY72" s="82"/>
      <c r="DZ72" s="82"/>
      <c r="EA72" s="82"/>
      <c r="EB72" s="82"/>
      <c r="EC72" s="82"/>
      <c r="ED72" s="82"/>
      <c r="EE72" s="82"/>
    </row>
    <row r="73" spans="2:135" s="31" customFormat="1">
      <c r="B73" s="35" t="s">
        <v>315</v>
      </c>
      <c r="C73" s="83"/>
      <c r="D73" s="83"/>
      <c r="E73" s="83"/>
      <c r="F73" s="83"/>
      <c r="G73" s="83"/>
      <c r="H73" s="83"/>
      <c r="I73" s="83"/>
      <c r="J73" s="83"/>
      <c r="K73" s="83"/>
      <c r="L73" s="83"/>
      <c r="M73" s="83"/>
      <c r="N73" s="83"/>
      <c r="O73" s="84">
        <f t="shared" ref="O73:AV73" si="277">O50/K50-1</f>
        <v>0.36147677969895819</v>
      </c>
      <c r="P73" s="84">
        <f t="shared" si="277"/>
        <v>0.26366592863905236</v>
      </c>
      <c r="Q73" s="84">
        <f t="shared" si="277"/>
        <v>0.19920583406513725</v>
      </c>
      <c r="R73" s="84">
        <f t="shared" si="277"/>
        <v>0.25649748940883166</v>
      </c>
      <c r="S73" s="84">
        <f t="shared" si="277"/>
        <v>0.26098805716094198</v>
      </c>
      <c r="T73" s="84">
        <f t="shared" si="277"/>
        <v>0.42989635090305955</v>
      </c>
      <c r="U73" s="84">
        <f t="shared" si="277"/>
        <v>0.34436590760448138</v>
      </c>
      <c r="V73" s="84">
        <f t="shared" si="277"/>
        <v>0.29504888391944051</v>
      </c>
      <c r="W73" s="84">
        <f t="shared" si="277"/>
        <v>0.26615353345172132</v>
      </c>
      <c r="X73" s="84">
        <f t="shared" si="277"/>
        <v>0.18401716796132006</v>
      </c>
      <c r="Y73" s="84">
        <f t="shared" si="277"/>
        <v>0.22042568681954688</v>
      </c>
      <c r="Z73" s="84">
        <f t="shared" si="277"/>
        <v>0.20834556126192205</v>
      </c>
      <c r="AA73" s="84">
        <f t="shared" si="277"/>
        <v>0.19483373786783953</v>
      </c>
      <c r="AB73" s="84">
        <f t="shared" si="277"/>
        <v>6.8629204160169266E-2</v>
      </c>
      <c r="AC73" s="84">
        <f t="shared" si="277"/>
        <v>4.0180473781186832E-2</v>
      </c>
      <c r="AD73" s="84">
        <f t="shared" si="277"/>
        <v>0.10544247098905291</v>
      </c>
      <c r="AE73" s="84">
        <f t="shared" si="277"/>
        <v>3.025902697084959E-2</v>
      </c>
      <c r="AF73" s="84">
        <f t="shared" si="277"/>
        <v>2.3290879812619014E-2</v>
      </c>
      <c r="AG73" s="84">
        <f t="shared" si="277"/>
        <v>0.13462529562220249</v>
      </c>
      <c r="AH73" s="84">
        <f t="shared" si="277"/>
        <v>6.229902422797573E-2</v>
      </c>
      <c r="AI73" s="84">
        <f t="shared" si="277"/>
        <v>-3.2576286591516235E-2</v>
      </c>
      <c r="AJ73" s="84">
        <f t="shared" si="277"/>
        <v>0.12840702604482113</v>
      </c>
      <c r="AK73" s="84">
        <f t="shared" si="277"/>
        <v>0.20829102606726635</v>
      </c>
      <c r="AL73" s="84">
        <f t="shared" si="277"/>
        <v>-6.6136961444867026E-3</v>
      </c>
      <c r="AM73" s="84">
        <f t="shared" si="277"/>
        <v>0.20141158183921348</v>
      </c>
      <c r="AN73" s="84">
        <f t="shared" si="277"/>
        <v>6.6000740621172227E-2</v>
      </c>
      <c r="AO73" s="84">
        <f t="shared" si="277"/>
        <v>-8.1998005911049332E-2</v>
      </c>
      <c r="AP73" s="84">
        <f t="shared" si="277"/>
        <v>0.10793754776722353</v>
      </c>
      <c r="AQ73" s="84">
        <f t="shared" si="277"/>
        <v>3.138712782553843E-2</v>
      </c>
      <c r="AR73" s="84">
        <f t="shared" si="277"/>
        <v>-2.9067795789046169E-3</v>
      </c>
      <c r="AS73" s="84">
        <f t="shared" si="277"/>
        <v>0.46849687281361962</v>
      </c>
      <c r="AT73" s="84">
        <f t="shared" si="277"/>
        <v>-5.6697867020254367E-2</v>
      </c>
      <c r="AU73" s="84">
        <f t="shared" si="277"/>
        <v>-1</v>
      </c>
      <c r="AV73" s="84">
        <f t="shared" si="277"/>
        <v>0.24368004693785217</v>
      </c>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5"/>
      <c r="DA73" s="84"/>
      <c r="DB73" s="84"/>
      <c r="DC73" s="84"/>
      <c r="DD73" s="84"/>
      <c r="DE73" s="84">
        <f t="shared" ref="DE73:DO73" si="278">DE50/DD50-1</f>
        <v>0.26227331912878804</v>
      </c>
      <c r="DF73" s="84">
        <f t="shared" si="278"/>
        <v>0.33203283397740702</v>
      </c>
      <c r="DG73" s="84">
        <f t="shared" si="278"/>
        <v>0.21813114811207313</v>
      </c>
      <c r="DH73" s="84">
        <f t="shared" si="278"/>
        <v>0.11102054056558952</v>
      </c>
      <c r="DI73" s="84">
        <f t="shared" si="278"/>
        <v>5.1191925834915386E-2</v>
      </c>
      <c r="DJ73" s="84">
        <f t="shared" si="278"/>
        <v>-2.884494008493832E-2</v>
      </c>
      <c r="DK73" s="84">
        <f t="shared" si="278"/>
        <v>0.17834468950199178</v>
      </c>
      <c r="DL73" s="84">
        <f t="shared" si="278"/>
        <v>9.8012030761164937E-2</v>
      </c>
      <c r="DM73" s="84">
        <f t="shared" si="278"/>
        <v>0.38470214727242302</v>
      </c>
      <c r="DN73" s="84">
        <f t="shared" si="278"/>
        <v>7.5308909389051104E-2</v>
      </c>
      <c r="DO73" s="84">
        <f t="shared" si="278"/>
        <v>-5.0852734997906324E-2</v>
      </c>
      <c r="DP73" s="84"/>
      <c r="DQ73" s="85"/>
      <c r="DR73" s="85"/>
      <c r="DS73" s="85"/>
      <c r="DT73" s="85"/>
      <c r="DU73" s="85"/>
      <c r="DV73" s="85"/>
      <c r="DW73" s="85"/>
      <c r="DX73" s="85"/>
      <c r="DY73" s="85"/>
      <c r="DZ73" s="85"/>
      <c r="EA73" s="85"/>
      <c r="EB73" s="85"/>
      <c r="EC73" s="85"/>
      <c r="ED73" s="85"/>
      <c r="EE73" s="85"/>
    </row>
    <row r="75" spans="2:135">
      <c r="B75" s="4" t="s">
        <v>458</v>
      </c>
      <c r="X75" s="67">
        <v>965</v>
      </c>
    </row>
    <row r="76" spans="2:135">
      <c r="B76" s="4" t="s">
        <v>459</v>
      </c>
      <c r="X76" s="67">
        <v>634</v>
      </c>
    </row>
    <row r="77" spans="2:135">
      <c r="B77" s="4" t="s">
        <v>460</v>
      </c>
      <c r="X77" s="67">
        <v>668</v>
      </c>
    </row>
    <row r="78" spans="2:135">
      <c r="B78" s="4" t="s">
        <v>461</v>
      </c>
      <c r="X78" s="67">
        <v>302</v>
      </c>
    </row>
    <row r="79" spans="2:135">
      <c r="B79" s="4" t="s">
        <v>771</v>
      </c>
      <c r="X79" s="67">
        <v>694</v>
      </c>
    </row>
    <row r="80" spans="2:135">
      <c r="B80" s="4" t="s">
        <v>472</v>
      </c>
      <c r="X80" s="71">
        <v>3470</v>
      </c>
      <c r="AN80" s="67">
        <v>3740.5</v>
      </c>
    </row>
    <row r="81" spans="2:140">
      <c r="B81" s="4" t="s">
        <v>473</v>
      </c>
      <c r="X81" s="62">
        <v>0.84</v>
      </c>
    </row>
    <row r="82" spans="2:140">
      <c r="B82" s="4" t="s">
        <v>606</v>
      </c>
      <c r="X82" s="71">
        <v>721</v>
      </c>
    </row>
    <row r="83" spans="2:140">
      <c r="B83" s="4" t="s">
        <v>607</v>
      </c>
      <c r="X83" s="71">
        <v>708</v>
      </c>
    </row>
    <row r="84" spans="2:140">
      <c r="B84" s="4" t="s">
        <v>608</v>
      </c>
      <c r="X84" s="62">
        <v>0.24</v>
      </c>
    </row>
    <row r="85" spans="2:140">
      <c r="B85" s="4" t="s">
        <v>1046</v>
      </c>
      <c r="X85" s="71">
        <v>0.91</v>
      </c>
    </row>
    <row r="86" spans="2:140">
      <c r="B86" s="4" t="s">
        <v>1047</v>
      </c>
      <c r="X86" s="71">
        <v>0.94</v>
      </c>
    </row>
    <row r="88" spans="2:140">
      <c r="B88" s="4" t="s">
        <v>380</v>
      </c>
      <c r="F88" s="67">
        <f>F89+F90-F103-F106-F107</f>
        <v>2339.2999999999997</v>
      </c>
      <c r="I88" s="67">
        <f t="shared" ref="I88:AB88" si="279">I89+I90-I103-I106-I107</f>
        <v>879.5</v>
      </c>
      <c r="J88" s="67">
        <f t="shared" si="279"/>
        <v>1616.1999999999998</v>
      </c>
      <c r="K88" s="67">
        <f t="shared" si="279"/>
        <v>1701.3000000000002</v>
      </c>
      <c r="L88" s="67">
        <f t="shared" si="279"/>
        <v>1493.3000000000002</v>
      </c>
      <c r="M88" s="67">
        <f t="shared" si="279"/>
        <v>1953.1999999999998</v>
      </c>
      <c r="N88" s="67">
        <f t="shared" si="279"/>
        <v>2043</v>
      </c>
      <c r="O88" s="67">
        <f t="shared" si="279"/>
        <v>1421.5000000000005</v>
      </c>
      <c r="P88" s="67">
        <f t="shared" si="279"/>
        <v>1166.1000000000004</v>
      </c>
      <c r="Q88" s="67">
        <f t="shared" si="279"/>
        <v>734</v>
      </c>
      <c r="R88" s="67">
        <f t="shared" si="279"/>
        <v>698</v>
      </c>
      <c r="S88" s="67">
        <f t="shared" si="279"/>
        <v>93</v>
      </c>
      <c r="T88" s="67">
        <f t="shared" si="279"/>
        <v>493</v>
      </c>
      <c r="U88" s="67">
        <f t="shared" si="279"/>
        <v>1599</v>
      </c>
      <c r="V88" s="67">
        <f t="shared" si="279"/>
        <v>1298</v>
      </c>
      <c r="W88" s="67">
        <f t="shared" si="279"/>
        <v>-1814</v>
      </c>
      <c r="X88" s="67">
        <f t="shared" si="279"/>
        <v>-4030</v>
      </c>
      <c r="Y88" s="67">
        <f t="shared" si="279"/>
        <v>-3225</v>
      </c>
      <c r="Z88" s="67">
        <f t="shared" si="279"/>
        <v>-2735</v>
      </c>
      <c r="AA88" s="67">
        <f t="shared" si="279"/>
        <v>-2477</v>
      </c>
      <c r="AB88" s="67">
        <f t="shared" si="279"/>
        <v>-5906</v>
      </c>
      <c r="AG88" s="67">
        <v>-1419</v>
      </c>
      <c r="AH88" s="67">
        <f>AG88+AH49</f>
        <v>-295</v>
      </c>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f>+CQ89-CQ107</f>
        <v>-54312</v>
      </c>
      <c r="CR88" s="67">
        <f>+CR89-CR107</f>
        <v>-53344</v>
      </c>
      <c r="CS88" s="67"/>
      <c r="CT88" s="67"/>
      <c r="CU88" s="67"/>
      <c r="CV88" s="67"/>
      <c r="CW88" s="67"/>
      <c r="CX88" s="67"/>
      <c r="CY88" s="67"/>
      <c r="DI88" s="67">
        <f>AH88</f>
        <v>-295</v>
      </c>
      <c r="DJ88" s="67">
        <f t="shared" ref="DJ88:DT88" si="280">DI88+DJ49</f>
        <v>4404.91</v>
      </c>
      <c r="DK88" s="67">
        <f t="shared" si="280"/>
        <v>9428.91</v>
      </c>
      <c r="DL88" s="67">
        <f t="shared" si="280"/>
        <v>14776.685999999998</v>
      </c>
      <c r="DM88" s="67">
        <f t="shared" si="280"/>
        <v>22102.606556399995</v>
      </c>
      <c r="DN88" s="67">
        <f t="shared" si="280"/>
        <v>29895.116667555551</v>
      </c>
      <c r="DO88" s="67">
        <f t="shared" si="280"/>
        <v>37210.56725377214</v>
      </c>
      <c r="DP88" s="67">
        <f t="shared" si="280"/>
        <v>44029.498636254291</v>
      </c>
      <c r="DQ88" s="67">
        <f t="shared" si="280"/>
        <v>50751.377990752146</v>
      </c>
      <c r="DR88" s="67">
        <f t="shared" si="280"/>
        <v>49220.044566822922</v>
      </c>
      <c r="DS88" s="67">
        <f t="shared" si="280"/>
        <v>49220.044566822922</v>
      </c>
      <c r="DT88" s="67">
        <f t="shared" si="280"/>
        <v>49220.044566822922</v>
      </c>
      <c r="DZ88" s="71">
        <v>0</v>
      </c>
      <c r="EA88" s="67">
        <f>+DZ88+EA49</f>
        <v>18645.194273919995</v>
      </c>
      <c r="EB88" s="67">
        <f>+EA88+EB49</f>
        <v>37874.00432473376</v>
      </c>
      <c r="EC88" s="67">
        <f t="shared" ref="EC88:EJ88" si="281">+EB88+EC49</f>
        <v>57119.870581970827</v>
      </c>
      <c r="ED88" s="67">
        <f t="shared" si="281"/>
        <v>76008.230964853341</v>
      </c>
      <c r="EE88" s="67">
        <f t="shared" si="281"/>
        <v>91774.80393338576</v>
      </c>
      <c r="EF88" s="67">
        <f t="shared" si="281"/>
        <v>106179.54339281024</v>
      </c>
      <c r="EG88" s="67">
        <f t="shared" si="281"/>
        <v>119991.73316914582</v>
      </c>
      <c r="EH88" s="67">
        <f t="shared" si="281"/>
        <v>133643.13272906575</v>
      </c>
      <c r="EI88" s="67">
        <f t="shared" si="281"/>
        <v>147364.24547655269</v>
      </c>
      <c r="EJ88" s="67">
        <f t="shared" si="281"/>
        <v>156775.58808512727</v>
      </c>
    </row>
    <row r="89" spans="2:140">
      <c r="B89" s="4" t="s">
        <v>62</v>
      </c>
      <c r="F89" s="67">
        <v>689.1</v>
      </c>
      <c r="I89" s="67">
        <v>1158.7</v>
      </c>
      <c r="J89" s="67">
        <v>4663.8999999999996</v>
      </c>
      <c r="K89" s="67">
        <v>4757</v>
      </c>
      <c r="L89" s="67">
        <v>1851.7</v>
      </c>
      <c r="M89" s="67">
        <v>5025</v>
      </c>
      <c r="N89" s="67">
        <v>5123</v>
      </c>
      <c r="O89" s="67">
        <v>4509.1000000000004</v>
      </c>
      <c r="P89" s="67">
        <f>4261.8</f>
        <v>4261.8</v>
      </c>
      <c r="Q89" s="67">
        <v>986</v>
      </c>
      <c r="R89" s="67">
        <v>1526</v>
      </c>
      <c r="S89" s="67">
        <v>1183</v>
      </c>
      <c r="T89" s="67">
        <v>1621</v>
      </c>
      <c r="U89" s="67">
        <v>2151</v>
      </c>
      <c r="V89" s="67">
        <v>1840</v>
      </c>
      <c r="W89" s="67">
        <f>1747+2100</f>
        <v>3847</v>
      </c>
      <c r="X89" s="67">
        <v>1947</v>
      </c>
      <c r="Y89" s="67">
        <v>1291</v>
      </c>
      <c r="Z89" s="67">
        <v>1283</v>
      </c>
      <c r="AA89" s="67">
        <v>1067</v>
      </c>
      <c r="AB89" s="67">
        <v>5306</v>
      </c>
      <c r="AM89" s="67">
        <v>2266</v>
      </c>
      <c r="CQ89" s="67">
        <v>9708</v>
      </c>
      <c r="CR89" s="67">
        <v>9301</v>
      </c>
    </row>
    <row r="90" spans="2:140">
      <c r="B90" s="4" t="s">
        <v>63</v>
      </c>
      <c r="F90" s="67">
        <v>1973.1</v>
      </c>
      <c r="I90" s="67">
        <v>2883.5</v>
      </c>
      <c r="J90" s="67"/>
      <c r="K90" s="67"/>
      <c r="L90" s="67">
        <v>2812.2</v>
      </c>
      <c r="M90" s="67"/>
      <c r="N90" s="67"/>
      <c r="O90" s="67"/>
      <c r="P90" s="67"/>
      <c r="Q90" s="67">
        <v>2852</v>
      </c>
      <c r="R90" s="67">
        <v>4282</v>
      </c>
      <c r="S90" s="67">
        <v>2852</v>
      </c>
      <c r="T90" s="67">
        <v>2819</v>
      </c>
      <c r="U90" s="67">
        <v>3400</v>
      </c>
      <c r="V90" s="67">
        <v>3415</v>
      </c>
      <c r="W90" s="67">
        <v>3300</v>
      </c>
      <c r="X90" s="67">
        <v>3023</v>
      </c>
      <c r="Y90" s="67">
        <v>4490</v>
      </c>
      <c r="Z90" s="67">
        <v>4994</v>
      </c>
      <c r="AA90" s="67">
        <v>3770</v>
      </c>
      <c r="AM90" s="67">
        <v>11851</v>
      </c>
      <c r="CQ90" s="67">
        <v>0</v>
      </c>
      <c r="CR90" s="67">
        <v>0</v>
      </c>
    </row>
    <row r="91" spans="2:140">
      <c r="B91" s="4" t="s">
        <v>64</v>
      </c>
      <c r="F91" s="67">
        <v>497.2</v>
      </c>
      <c r="I91" s="67">
        <v>622.20000000000005</v>
      </c>
      <c r="J91" s="67">
        <v>752.4</v>
      </c>
      <c r="K91" s="67">
        <v>845.2</v>
      </c>
      <c r="L91" s="67">
        <v>752.4</v>
      </c>
      <c r="M91" s="67">
        <v>1001.4</v>
      </c>
      <c r="N91" s="67">
        <v>1008</v>
      </c>
      <c r="O91" s="67">
        <v>1195.2</v>
      </c>
      <c r="P91" s="67">
        <v>1281.2</v>
      </c>
      <c r="Q91" s="67">
        <v>1413</v>
      </c>
      <c r="R91" s="67">
        <v>1461</v>
      </c>
      <c r="S91" s="67">
        <v>1584</v>
      </c>
      <c r="T91" s="67">
        <v>1707</v>
      </c>
      <c r="U91" s="67">
        <v>1664</v>
      </c>
      <c r="V91" s="67">
        <v>1769</v>
      </c>
      <c r="W91" s="67">
        <v>1794</v>
      </c>
      <c r="X91" s="67">
        <v>2018</v>
      </c>
      <c r="Y91" s="67">
        <v>2124</v>
      </c>
      <c r="Z91" s="67">
        <v>2124</v>
      </c>
      <c r="AA91" s="67">
        <v>2157</v>
      </c>
      <c r="AM91" s="67">
        <v>2271</v>
      </c>
      <c r="CQ91" s="67">
        <v>6776</v>
      </c>
      <c r="CR91" s="67">
        <v>6934</v>
      </c>
    </row>
    <row r="92" spans="2:140" s="14" customFormat="1">
      <c r="B92" s="14" t="s">
        <v>371</v>
      </c>
      <c r="C92" s="89"/>
      <c r="D92" s="89"/>
      <c r="E92" s="89"/>
      <c r="F92" s="75">
        <f>(F91/F39)*91.25</f>
        <v>47.161642411642411</v>
      </c>
      <c r="G92" s="89"/>
      <c r="H92" s="89"/>
      <c r="I92" s="75">
        <f t="shared" ref="I92:AA92" si="282">(I91/I39)*91.25</f>
        <v>37.868171813512973</v>
      </c>
      <c r="J92" s="75">
        <f t="shared" si="282"/>
        <v>38.874639035162218</v>
      </c>
      <c r="K92" s="75">
        <f t="shared" si="282"/>
        <v>43.788394935558969</v>
      </c>
      <c r="L92" s="75">
        <f t="shared" si="282"/>
        <v>33.637009455685664</v>
      </c>
      <c r="M92" s="75">
        <f t="shared" si="282"/>
        <v>41.381102255230509</v>
      </c>
      <c r="N92" s="75">
        <f t="shared" si="282"/>
        <v>39.197136282280752</v>
      </c>
      <c r="O92" s="75">
        <f t="shared" si="282"/>
        <v>46.550002134107309</v>
      </c>
      <c r="P92" s="75">
        <f t="shared" si="282"/>
        <v>45.233111506616112</v>
      </c>
      <c r="Q92" s="75">
        <f t="shared" si="282"/>
        <v>47.525340950976783</v>
      </c>
      <c r="R92" s="75">
        <f t="shared" si="282"/>
        <v>45.828893090409075</v>
      </c>
      <c r="S92" s="75">
        <f t="shared" si="282"/>
        <v>51.020120014119314</v>
      </c>
      <c r="T92" s="75">
        <f t="shared" si="282"/>
        <v>49.105848045397231</v>
      </c>
      <c r="U92" s="75">
        <f t="shared" si="282"/>
        <v>48.142041851616987</v>
      </c>
      <c r="V92" s="75">
        <f t="shared" si="282"/>
        <v>49.34920513604402</v>
      </c>
      <c r="W92" s="75">
        <f t="shared" si="282"/>
        <v>50.886695679204223</v>
      </c>
      <c r="X92" s="75">
        <f t="shared" si="282"/>
        <v>51.093923418423977</v>
      </c>
      <c r="Y92" s="75">
        <f t="shared" si="282"/>
        <v>53.658637873754152</v>
      </c>
      <c r="Z92" s="75">
        <f t="shared" si="282"/>
        <v>50.53846153846154</v>
      </c>
      <c r="AA92" s="75">
        <f t="shared" si="282"/>
        <v>53.383848657445078</v>
      </c>
      <c r="AB92" s="89"/>
      <c r="AC92" s="89"/>
      <c r="AD92" s="89"/>
      <c r="AE92" s="89"/>
      <c r="AF92" s="89"/>
      <c r="AG92" s="89"/>
      <c r="AH92" s="89"/>
      <c r="AI92" s="89"/>
      <c r="AJ92" s="89"/>
      <c r="AK92" s="89"/>
      <c r="AL92" s="89"/>
      <c r="AM92" s="75">
        <f>(AM91/AM39)*91.25</f>
        <v>57.691745545657014</v>
      </c>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75"/>
      <c r="CR92" s="75"/>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c r="DZ92" s="89"/>
      <c r="EA92" s="89"/>
      <c r="EB92" s="89"/>
      <c r="EC92" s="89"/>
      <c r="ED92" s="89"/>
      <c r="EE92" s="89"/>
    </row>
    <row r="93" spans="2:140">
      <c r="B93" s="4" t="s">
        <v>364</v>
      </c>
      <c r="F93" s="67">
        <v>355.6</v>
      </c>
      <c r="I93" s="67">
        <v>526.5</v>
      </c>
      <c r="J93" s="67">
        <v>544.9</v>
      </c>
      <c r="K93" s="67">
        <v>582.70000000000005</v>
      </c>
      <c r="L93" s="67">
        <v>544.9</v>
      </c>
      <c r="M93" s="67">
        <v>684.8</v>
      </c>
      <c r="N93" s="67">
        <v>713</v>
      </c>
      <c r="O93" s="67">
        <v>736.7</v>
      </c>
      <c r="P93" s="67">
        <v>725.1</v>
      </c>
      <c r="Q93" s="67">
        <v>716</v>
      </c>
      <c r="R93" s="67">
        <v>888</v>
      </c>
      <c r="S93" s="67">
        <v>932</v>
      </c>
      <c r="T93" s="67">
        <v>984</v>
      </c>
      <c r="U93" s="67">
        <v>1059</v>
      </c>
      <c r="V93" s="67">
        <v>1258</v>
      </c>
      <c r="W93" s="67">
        <v>1273</v>
      </c>
      <c r="X93" s="67">
        <v>1520</v>
      </c>
      <c r="Y93" s="67">
        <v>1711</v>
      </c>
      <c r="Z93" s="67">
        <v>1903</v>
      </c>
      <c r="AA93" s="67">
        <v>2115</v>
      </c>
      <c r="AM93" s="74">
        <v>2202</v>
      </c>
      <c r="CQ93" s="67">
        <v>8724</v>
      </c>
      <c r="CR93" s="67">
        <v>7995</v>
      </c>
    </row>
    <row r="94" spans="2:140">
      <c r="B94" s="4" t="s">
        <v>365</v>
      </c>
      <c r="F94" s="67">
        <v>343.6</v>
      </c>
      <c r="I94" s="67">
        <v>633.5</v>
      </c>
      <c r="J94" s="67">
        <v>442.3</v>
      </c>
      <c r="K94" s="67">
        <v>471</v>
      </c>
      <c r="L94" s="67">
        <v>442.3</v>
      </c>
      <c r="M94" s="67">
        <v>582.79999999999995</v>
      </c>
      <c r="N94" s="67">
        <v>558</v>
      </c>
      <c r="O94" s="67">
        <v>494.4</v>
      </c>
      <c r="P94" s="67">
        <v>568</v>
      </c>
      <c r="Q94" s="67">
        <v>808</v>
      </c>
      <c r="R94" s="67">
        <v>1013</v>
      </c>
      <c r="S94" s="67">
        <v>873</v>
      </c>
      <c r="T94" s="67">
        <v>894</v>
      </c>
      <c r="U94" s="67">
        <v>919</v>
      </c>
      <c r="V94" s="67">
        <v>953</v>
      </c>
      <c r="W94" s="67">
        <v>943</v>
      </c>
      <c r="X94" s="67">
        <v>995</v>
      </c>
      <c r="Y94" s="67">
        <v>1040</v>
      </c>
      <c r="Z94" s="67">
        <v>1408</v>
      </c>
      <c r="AA94" s="67">
        <v>1418</v>
      </c>
      <c r="AM94" s="67">
        <v>1219</v>
      </c>
      <c r="CQ94" s="67">
        <v>2821</v>
      </c>
      <c r="CR94" s="67">
        <v>2976</v>
      </c>
    </row>
    <row r="95" spans="2:140">
      <c r="B95" s="4" t="s">
        <v>366</v>
      </c>
      <c r="F95" s="67">
        <f>F89+F90+F91+F93+F94</f>
        <v>3858.5999999999995</v>
      </c>
      <c r="I95" s="67">
        <f t="shared" ref="I95:AA95" si="283">I89+I90+I91+I93+I94</f>
        <v>5824.4</v>
      </c>
      <c r="J95" s="67">
        <f t="shared" si="283"/>
        <v>6403.4999999999991</v>
      </c>
      <c r="K95" s="67">
        <f t="shared" si="283"/>
        <v>6655.9</v>
      </c>
      <c r="L95" s="67">
        <f t="shared" si="283"/>
        <v>6403.4999999999991</v>
      </c>
      <c r="M95" s="67">
        <f t="shared" si="283"/>
        <v>7294</v>
      </c>
      <c r="N95" s="67">
        <f t="shared" si="283"/>
        <v>7402</v>
      </c>
      <c r="O95" s="67">
        <f t="shared" si="283"/>
        <v>6935.4</v>
      </c>
      <c r="P95" s="67">
        <f t="shared" si="283"/>
        <v>6836.1</v>
      </c>
      <c r="Q95" s="67">
        <f t="shared" si="283"/>
        <v>6775</v>
      </c>
      <c r="R95" s="67">
        <f t="shared" si="283"/>
        <v>9170</v>
      </c>
      <c r="S95" s="67">
        <f t="shared" si="283"/>
        <v>7424</v>
      </c>
      <c r="T95" s="67">
        <f t="shared" si="283"/>
        <v>8025</v>
      </c>
      <c r="U95" s="67">
        <f t="shared" si="283"/>
        <v>9193</v>
      </c>
      <c r="V95" s="67">
        <f t="shared" si="283"/>
        <v>9235</v>
      </c>
      <c r="W95" s="67">
        <f t="shared" si="283"/>
        <v>11157</v>
      </c>
      <c r="X95" s="67">
        <f t="shared" si="283"/>
        <v>9503</v>
      </c>
      <c r="Y95" s="67">
        <f t="shared" si="283"/>
        <v>10656</v>
      </c>
      <c r="Z95" s="67">
        <f t="shared" si="283"/>
        <v>11712</v>
      </c>
      <c r="AA95" s="67">
        <f t="shared" si="283"/>
        <v>10527</v>
      </c>
      <c r="AM95" s="67">
        <f>AM89+AM90+AM91+AM93+AM94</f>
        <v>19809</v>
      </c>
      <c r="CQ95" s="67"/>
      <c r="CR95" s="67"/>
    </row>
    <row r="96" spans="2:140">
      <c r="B96" s="4" t="s">
        <v>367</v>
      </c>
      <c r="F96" s="67">
        <v>1946.1</v>
      </c>
      <c r="I96" s="67">
        <v>2666.2</v>
      </c>
      <c r="J96" s="67">
        <v>2813.5</v>
      </c>
      <c r="K96" s="67">
        <v>2954.2</v>
      </c>
      <c r="L96" s="67">
        <v>2813.5</v>
      </c>
      <c r="M96" s="67">
        <v>3456.7</v>
      </c>
      <c r="N96" s="67">
        <v>3799</v>
      </c>
      <c r="O96" s="67">
        <v>4086.3</v>
      </c>
      <c r="P96" s="67">
        <v>4351.2</v>
      </c>
      <c r="Q96" s="67">
        <v>4549</v>
      </c>
      <c r="R96" s="67">
        <v>4712</v>
      </c>
      <c r="S96" s="67">
        <v>4790</v>
      </c>
      <c r="T96" s="67">
        <v>4863</v>
      </c>
      <c r="U96" s="67">
        <v>4894</v>
      </c>
      <c r="V96" s="67">
        <v>5038</v>
      </c>
      <c r="W96" s="67">
        <v>5122</v>
      </c>
      <c r="X96" s="67">
        <v>5438</v>
      </c>
      <c r="Y96" s="67">
        <v>5673</v>
      </c>
      <c r="Z96" s="67">
        <v>5921</v>
      </c>
      <c r="AA96" s="67">
        <v>6027</v>
      </c>
      <c r="AM96" s="67">
        <v>5619</v>
      </c>
      <c r="CQ96" s="67">
        <v>6002</v>
      </c>
      <c r="CR96" s="67">
        <v>6097</v>
      </c>
    </row>
    <row r="97" spans="2:96">
      <c r="B97" s="4" t="s">
        <v>368</v>
      </c>
      <c r="F97" s="67">
        <f>34.1+97.2</f>
        <v>131.30000000000001</v>
      </c>
      <c r="I97" s="67">
        <f>4904.6+9817.2</f>
        <v>14721.800000000001</v>
      </c>
      <c r="J97" s="67">
        <f>4801.9+9871.1</f>
        <v>14673</v>
      </c>
      <c r="K97" s="67">
        <f>4715.5+9873.5</f>
        <v>14589</v>
      </c>
      <c r="L97" s="67">
        <f>4801.9+9871.1</f>
        <v>14673</v>
      </c>
      <c r="M97" s="67">
        <f>4542.1+9870.7</f>
        <v>14412.800000000001</v>
      </c>
      <c r="N97" s="67">
        <f>4288+9820</f>
        <v>14108</v>
      </c>
      <c r="O97" s="67">
        <f>4408+9707</f>
        <v>14115</v>
      </c>
      <c r="P97" s="67">
        <f>4338.8+9700.4</f>
        <v>14039.2</v>
      </c>
      <c r="Q97" s="67">
        <f>4278+10437</f>
        <v>14715</v>
      </c>
      <c r="R97" s="67">
        <f>4033+10525</f>
        <v>14558</v>
      </c>
      <c r="S97" s="67">
        <f>3965+10519</f>
        <v>14484</v>
      </c>
      <c r="T97" s="67">
        <f>3872+10519</f>
        <v>14391</v>
      </c>
      <c r="U97" s="67">
        <f>3779+10496</f>
        <v>14275</v>
      </c>
      <c r="V97" s="67">
        <f>3742+10495</f>
        <v>14237</v>
      </c>
      <c r="W97" s="67">
        <f>3646+10492</f>
        <v>14138</v>
      </c>
      <c r="X97" s="67">
        <f>3965+11210</f>
        <v>15175</v>
      </c>
      <c r="Y97" s="67">
        <f>3819+11206</f>
        <v>15025</v>
      </c>
      <c r="Z97" s="67">
        <f>3747+11302</f>
        <v>15049</v>
      </c>
      <c r="AA97" s="67">
        <f>3643+11269</f>
        <v>14912</v>
      </c>
      <c r="AM97" s="67">
        <f>2462+11335</f>
        <v>13797</v>
      </c>
      <c r="CQ97" s="67">
        <f>31372+18570</f>
        <v>49942</v>
      </c>
      <c r="CR97" s="67">
        <f>30172+18616</f>
        <v>48788</v>
      </c>
    </row>
    <row r="98" spans="2:96">
      <c r="B98" s="4" t="s">
        <v>369</v>
      </c>
      <c r="F98" s="67">
        <v>507.1</v>
      </c>
      <c r="I98" s="67">
        <v>528.70000000000005</v>
      </c>
      <c r="J98" s="67">
        <v>566.29999999999995</v>
      </c>
      <c r="K98" s="67">
        <v>530.4</v>
      </c>
      <c r="L98" s="67">
        <v>566.29999999999995</v>
      </c>
      <c r="M98" s="67">
        <v>705.3</v>
      </c>
      <c r="N98" s="67">
        <v>804</v>
      </c>
      <c r="O98" s="67">
        <v>842.7</v>
      </c>
      <c r="P98" s="67">
        <v>833.5</v>
      </c>
      <c r="Q98" s="67">
        <v>772</v>
      </c>
      <c r="R98" s="67">
        <v>781</v>
      </c>
      <c r="S98" s="67">
        <v>722</v>
      </c>
      <c r="T98" s="67">
        <v>759</v>
      </c>
      <c r="U98" s="67">
        <v>770</v>
      </c>
      <c r="V98" s="67">
        <v>787</v>
      </c>
      <c r="W98" s="67">
        <v>898</v>
      </c>
      <c r="X98" s="67">
        <v>1172</v>
      </c>
      <c r="Y98" s="67">
        <v>1232</v>
      </c>
      <c r="Z98" s="67">
        <v>1106</v>
      </c>
      <c r="AA98" s="67">
        <v>1104</v>
      </c>
      <c r="AM98" s="67">
        <v>1141</v>
      </c>
      <c r="CQ98" s="67">
        <v>9007</v>
      </c>
      <c r="CR98" s="67">
        <v>8816</v>
      </c>
    </row>
    <row r="99" spans="2:96">
      <c r="B99" s="4" t="s">
        <v>370</v>
      </c>
      <c r="F99" s="67">
        <f>SUM(F95:F98)</f>
        <v>6443.0999999999995</v>
      </c>
      <c r="I99" s="67">
        <f t="shared" ref="I99:AA99" si="284">SUM(I95:I98)</f>
        <v>23741.100000000002</v>
      </c>
      <c r="J99" s="67">
        <f t="shared" si="284"/>
        <v>24456.3</v>
      </c>
      <c r="K99" s="67">
        <f t="shared" si="284"/>
        <v>24729.5</v>
      </c>
      <c r="L99" s="67">
        <f t="shared" si="284"/>
        <v>24456.3</v>
      </c>
      <c r="M99" s="67">
        <f t="shared" si="284"/>
        <v>25868.799999999999</v>
      </c>
      <c r="N99" s="67">
        <f t="shared" si="284"/>
        <v>26113</v>
      </c>
      <c r="O99" s="67">
        <f t="shared" si="284"/>
        <v>25979.4</v>
      </c>
      <c r="P99" s="67">
        <f t="shared" si="284"/>
        <v>26060</v>
      </c>
      <c r="Q99" s="67">
        <f t="shared" si="284"/>
        <v>26811</v>
      </c>
      <c r="R99" s="67">
        <f t="shared" si="284"/>
        <v>29221</v>
      </c>
      <c r="S99" s="67">
        <f t="shared" si="284"/>
        <v>27420</v>
      </c>
      <c r="T99" s="67">
        <f t="shared" si="284"/>
        <v>28038</v>
      </c>
      <c r="U99" s="67">
        <f t="shared" si="284"/>
        <v>29132</v>
      </c>
      <c r="V99" s="67">
        <f t="shared" si="284"/>
        <v>29297</v>
      </c>
      <c r="W99" s="67">
        <f t="shared" si="284"/>
        <v>31315</v>
      </c>
      <c r="X99" s="67">
        <f t="shared" si="284"/>
        <v>31288</v>
      </c>
      <c r="Y99" s="67">
        <f t="shared" si="284"/>
        <v>32586</v>
      </c>
      <c r="Z99" s="67">
        <f t="shared" si="284"/>
        <v>33788</v>
      </c>
      <c r="AA99" s="67">
        <f t="shared" si="284"/>
        <v>32570</v>
      </c>
      <c r="AM99" s="67">
        <f>SUM(AM95:AM98)</f>
        <v>40366</v>
      </c>
      <c r="CQ99" s="73">
        <f>SUM(CQ89:CQ98)</f>
        <v>92980</v>
      </c>
      <c r="CR99" s="73">
        <f>SUM(CR89:CR98)</f>
        <v>90907</v>
      </c>
    </row>
    <row r="100" spans="2:96">
      <c r="AM100" s="67"/>
      <c r="CQ100" s="67"/>
      <c r="CR100" s="67"/>
    </row>
    <row r="101" spans="2:96">
      <c r="B101" s="4" t="s">
        <v>372</v>
      </c>
      <c r="F101" s="67">
        <v>136.69999999999999</v>
      </c>
      <c r="I101" s="67">
        <v>197.7</v>
      </c>
      <c r="J101" s="67">
        <v>1529</v>
      </c>
      <c r="K101" s="67">
        <v>1584.8</v>
      </c>
      <c r="L101" s="67">
        <v>254.6</v>
      </c>
      <c r="M101" s="67"/>
      <c r="N101" s="67"/>
      <c r="O101" s="67"/>
      <c r="P101" s="67"/>
      <c r="Q101" s="67">
        <v>337</v>
      </c>
      <c r="R101" s="67">
        <v>507</v>
      </c>
      <c r="S101" s="67">
        <v>549</v>
      </c>
      <c r="T101" s="67">
        <v>503</v>
      </c>
      <c r="U101" s="67">
        <v>497</v>
      </c>
      <c r="V101" s="67">
        <v>596</v>
      </c>
      <c r="W101" s="67">
        <v>442</v>
      </c>
      <c r="X101" s="67">
        <v>668</v>
      </c>
      <c r="Y101" s="67">
        <v>569</v>
      </c>
      <c r="Z101" s="67">
        <v>555</v>
      </c>
      <c r="AA101" s="67">
        <v>601</v>
      </c>
      <c r="AM101" s="67">
        <v>882</v>
      </c>
      <c r="CQ101" s="67">
        <v>1628</v>
      </c>
      <c r="CR101" s="67">
        <v>2267</v>
      </c>
    </row>
    <row r="102" spans="2:96">
      <c r="B102" s="4" t="s">
        <v>373</v>
      </c>
      <c r="F102" s="67">
        <v>766.3</v>
      </c>
      <c r="I102" s="67">
        <v>1150.3</v>
      </c>
      <c r="J102" s="67">
        <v>1593.4</v>
      </c>
      <c r="K102" s="67">
        <v>1585.6</v>
      </c>
      <c r="L102" s="67">
        <v>1151.7</v>
      </c>
      <c r="M102" s="67">
        <v>1548.3</v>
      </c>
      <c r="N102" s="67">
        <v>2456</v>
      </c>
      <c r="O102" s="67">
        <v>1888.5</v>
      </c>
      <c r="P102" s="67">
        <v>2098.6999999999998</v>
      </c>
      <c r="Q102" s="67">
        <v>1950</v>
      </c>
      <c r="R102" s="67">
        <v>2477</v>
      </c>
      <c r="S102" s="67">
        <v>2485</v>
      </c>
      <c r="T102" s="67">
        <v>2675</v>
      </c>
      <c r="U102" s="67">
        <v>2855</v>
      </c>
      <c r="V102" s="67">
        <v>2999</v>
      </c>
      <c r="W102" s="67">
        <v>3178</v>
      </c>
      <c r="X102" s="67">
        <v>3477</v>
      </c>
      <c r="Y102" s="67">
        <v>3946</v>
      </c>
      <c r="Z102" s="67">
        <v>4589</v>
      </c>
      <c r="AA102" s="67">
        <v>3906</v>
      </c>
      <c r="AM102" s="67">
        <v>3302</v>
      </c>
      <c r="CQ102" s="67">
        <v>14127</v>
      </c>
      <c r="CR102" s="67">
        <v>13722</v>
      </c>
    </row>
    <row r="103" spans="2:96">
      <c r="B103" s="4" t="s">
        <v>374</v>
      </c>
      <c r="F103" s="67">
        <v>99.9</v>
      </c>
      <c r="I103" s="67">
        <f>100+23</f>
        <v>123</v>
      </c>
      <c r="J103" s="67"/>
      <c r="K103" s="67"/>
      <c r="L103" s="67">
        <v>122.9</v>
      </c>
      <c r="M103" s="67">
        <v>0</v>
      </c>
      <c r="N103" s="67">
        <v>0</v>
      </c>
      <c r="O103" s="67">
        <v>2887.6</v>
      </c>
      <c r="P103" s="67">
        <v>2895.7</v>
      </c>
      <c r="Q103" s="67">
        <v>2904</v>
      </c>
      <c r="R103" s="67">
        <v>1173</v>
      </c>
      <c r="S103" s="67">
        <v>1744</v>
      </c>
      <c r="T103" s="67">
        <v>1749</v>
      </c>
      <c r="U103" s="67">
        <v>1754</v>
      </c>
      <c r="V103" s="67">
        <v>0</v>
      </c>
      <c r="W103" s="67">
        <v>1763</v>
      </c>
      <c r="X103" s="67">
        <v>1768</v>
      </c>
      <c r="Y103" s="67">
        <v>1773</v>
      </c>
      <c r="Z103" s="67">
        <f>1698+100</f>
        <v>1798</v>
      </c>
      <c r="AA103" s="67">
        <v>100</v>
      </c>
      <c r="AM103" s="67">
        <v>2378</v>
      </c>
      <c r="CQ103" s="67">
        <v>0</v>
      </c>
      <c r="CR103" s="67">
        <v>0</v>
      </c>
    </row>
    <row r="104" spans="2:96">
      <c r="B104" s="4" t="s">
        <v>375</v>
      </c>
      <c r="F104" s="67">
        <f>SUM(F101:F103)</f>
        <v>1002.9</v>
      </c>
      <c r="I104" s="67">
        <f t="shared" ref="I104:AA104" si="285">SUM(I101:I103)</f>
        <v>1471</v>
      </c>
      <c r="J104" s="67">
        <f t="shared" si="285"/>
        <v>3122.4</v>
      </c>
      <c r="K104" s="67">
        <f t="shared" si="285"/>
        <v>3170.3999999999996</v>
      </c>
      <c r="L104" s="67">
        <f t="shared" si="285"/>
        <v>1529.2</v>
      </c>
      <c r="M104" s="67">
        <f t="shared" si="285"/>
        <v>1548.3</v>
      </c>
      <c r="N104" s="67">
        <f t="shared" si="285"/>
        <v>2456</v>
      </c>
      <c r="O104" s="67">
        <f t="shared" si="285"/>
        <v>4776.1000000000004</v>
      </c>
      <c r="P104" s="67">
        <f t="shared" si="285"/>
        <v>4994.3999999999996</v>
      </c>
      <c r="Q104" s="67">
        <f t="shared" si="285"/>
        <v>5191</v>
      </c>
      <c r="R104" s="67">
        <f t="shared" si="285"/>
        <v>4157</v>
      </c>
      <c r="S104" s="67">
        <f t="shared" si="285"/>
        <v>4778</v>
      </c>
      <c r="T104" s="67">
        <f t="shared" si="285"/>
        <v>4927</v>
      </c>
      <c r="U104" s="67">
        <f t="shared" si="285"/>
        <v>5106</v>
      </c>
      <c r="V104" s="67">
        <f t="shared" si="285"/>
        <v>3595</v>
      </c>
      <c r="W104" s="67">
        <f t="shared" si="285"/>
        <v>5383</v>
      </c>
      <c r="X104" s="67">
        <f t="shared" si="285"/>
        <v>5913</v>
      </c>
      <c r="Y104" s="67">
        <f t="shared" si="285"/>
        <v>6288</v>
      </c>
      <c r="Z104" s="67">
        <f t="shared" si="285"/>
        <v>6942</v>
      </c>
      <c r="AA104" s="67">
        <f t="shared" si="285"/>
        <v>4607</v>
      </c>
      <c r="AM104" s="67">
        <f>SUM(AM101:AM103)</f>
        <v>6562</v>
      </c>
      <c r="CQ104" s="67">
        <v>0</v>
      </c>
      <c r="CR104" s="67">
        <v>0</v>
      </c>
    </row>
    <row r="105" spans="2:96">
      <c r="B105" s="4" t="s">
        <v>376</v>
      </c>
      <c r="F105" s="67"/>
      <c r="I105" s="67">
        <v>1565.6</v>
      </c>
      <c r="J105" s="67"/>
      <c r="K105" s="67"/>
      <c r="L105" s="67">
        <v>1593.4</v>
      </c>
      <c r="M105" s="67">
        <v>1791.4</v>
      </c>
      <c r="N105" s="67">
        <v>1146</v>
      </c>
      <c r="O105" s="67">
        <v>1432</v>
      </c>
      <c r="P105" s="67">
        <v>1454.8</v>
      </c>
      <c r="Q105" s="67">
        <v>1484</v>
      </c>
      <c r="R105" s="67">
        <v>1294</v>
      </c>
      <c r="S105" s="67">
        <v>1280</v>
      </c>
      <c r="T105" s="67">
        <v>1209</v>
      </c>
      <c r="U105" s="67">
        <v>1180</v>
      </c>
      <c r="V105" s="67">
        <v>1163</v>
      </c>
      <c r="W105" s="67">
        <v>1160</v>
      </c>
      <c r="X105" s="67">
        <v>1064</v>
      </c>
      <c r="Y105" s="67">
        <v>1079</v>
      </c>
      <c r="Z105" s="67">
        <v>367</v>
      </c>
      <c r="AA105" s="67">
        <v>466</v>
      </c>
      <c r="AM105" s="67">
        <v>0</v>
      </c>
      <c r="CQ105" s="67">
        <f>1862+3964</f>
        <v>5826</v>
      </c>
      <c r="CR105" s="67">
        <f>1780+2205</f>
        <v>3985</v>
      </c>
    </row>
    <row r="106" spans="2:96">
      <c r="B106" s="4" t="s">
        <v>374</v>
      </c>
      <c r="F106" s="67"/>
      <c r="I106" s="67"/>
      <c r="J106" s="67"/>
      <c r="K106" s="67"/>
      <c r="L106" s="67"/>
      <c r="M106" s="67"/>
      <c r="N106" s="67"/>
      <c r="O106" s="67">
        <v>200</v>
      </c>
      <c r="P106" s="67">
        <v>200</v>
      </c>
      <c r="Q106" s="67"/>
      <c r="R106" s="67">
        <v>1739</v>
      </c>
      <c r="S106" s="67">
        <v>0</v>
      </c>
      <c r="T106" s="67">
        <v>0</v>
      </c>
      <c r="U106" s="67">
        <v>0</v>
      </c>
      <c r="V106" s="67">
        <v>1759</v>
      </c>
      <c r="W106" s="67">
        <v>5000</v>
      </c>
      <c r="X106" s="67">
        <v>5000</v>
      </c>
      <c r="Y106" s="67">
        <v>5000</v>
      </c>
      <c r="Z106" s="67">
        <v>5080</v>
      </c>
      <c r="AA106" s="67">
        <v>5080</v>
      </c>
      <c r="AB106" s="67">
        <v>5080</v>
      </c>
      <c r="AM106" s="67">
        <v>2201</v>
      </c>
      <c r="CQ106" s="67">
        <v>0</v>
      </c>
      <c r="CR106" s="67">
        <v>0</v>
      </c>
    </row>
    <row r="107" spans="2:96">
      <c r="B107" s="4" t="s">
        <v>377</v>
      </c>
      <c r="F107" s="67">
        <v>223</v>
      </c>
      <c r="I107" s="67">
        <v>3039.7</v>
      </c>
      <c r="J107" s="67">
        <v>3047.7</v>
      </c>
      <c r="K107" s="67">
        <v>3055.7</v>
      </c>
      <c r="L107" s="67">
        <v>3047.7</v>
      </c>
      <c r="M107" s="67">
        <v>3071.8</v>
      </c>
      <c r="N107" s="67">
        <v>3080</v>
      </c>
      <c r="O107" s="67"/>
      <c r="P107" s="67"/>
      <c r="Q107" s="67">
        <v>200</v>
      </c>
      <c r="R107" s="67">
        <v>2198</v>
      </c>
      <c r="S107" s="67">
        <v>2198</v>
      </c>
      <c r="T107" s="67">
        <v>2198</v>
      </c>
      <c r="U107" s="67">
        <v>2198</v>
      </c>
      <c r="V107" s="67">
        <v>2198</v>
      </c>
      <c r="W107" s="67">
        <v>2198</v>
      </c>
      <c r="X107" s="67">
        <v>2232</v>
      </c>
      <c r="Y107" s="67">
        <v>2233</v>
      </c>
      <c r="Z107" s="67">
        <v>2134</v>
      </c>
      <c r="AA107" s="67">
        <v>2134</v>
      </c>
      <c r="AB107" s="67">
        <v>6132</v>
      </c>
      <c r="AM107" s="67">
        <v>7085</v>
      </c>
      <c r="CQ107" s="67">
        <f>3959+60061</f>
        <v>64020</v>
      </c>
      <c r="CR107" s="67">
        <f>57117+5528</f>
        <v>62645</v>
      </c>
    </row>
    <row r="108" spans="2:96">
      <c r="B108" s="4" t="s">
        <v>378</v>
      </c>
      <c r="F108" s="67"/>
      <c r="I108" s="67"/>
      <c r="J108" s="67"/>
      <c r="K108" s="67"/>
      <c r="L108" s="67"/>
      <c r="M108" s="67"/>
      <c r="N108" s="67">
        <v>42</v>
      </c>
      <c r="O108" s="67"/>
      <c r="P108" s="67"/>
      <c r="Q108" s="67">
        <v>128</v>
      </c>
      <c r="R108" s="67">
        <v>128</v>
      </c>
      <c r="S108" s="67">
        <v>124</v>
      </c>
      <c r="T108" s="67">
        <v>123</v>
      </c>
      <c r="U108" s="67">
        <v>118</v>
      </c>
      <c r="V108" s="67">
        <v>131</v>
      </c>
      <c r="W108" s="67">
        <v>183</v>
      </c>
      <c r="X108" s="67">
        <v>240</v>
      </c>
      <c r="Y108" s="67">
        <v>265</v>
      </c>
      <c r="Z108" s="67">
        <v>301</v>
      </c>
      <c r="AA108" s="67">
        <v>568</v>
      </c>
      <c r="AM108" s="67">
        <v>2179</v>
      </c>
      <c r="CQ108" s="67">
        <v>2357</v>
      </c>
      <c r="CR108" s="67">
        <v>2363</v>
      </c>
    </row>
    <row r="109" spans="2:96">
      <c r="B109" s="4" t="s">
        <v>379</v>
      </c>
      <c r="F109" s="67">
        <f>SUM(F104:F108)</f>
        <v>1225.9000000000001</v>
      </c>
      <c r="I109" s="67">
        <f t="shared" ref="I109:AA109" si="286">SUM(I104:I108)</f>
        <v>6076.2999999999993</v>
      </c>
      <c r="J109" s="67">
        <f t="shared" si="286"/>
        <v>6170.1</v>
      </c>
      <c r="K109" s="67">
        <f t="shared" si="286"/>
        <v>6226.0999999999995</v>
      </c>
      <c r="L109" s="67">
        <f t="shared" si="286"/>
        <v>6170.3</v>
      </c>
      <c r="M109" s="67">
        <f t="shared" si="286"/>
        <v>6411.5</v>
      </c>
      <c r="N109" s="67">
        <f t="shared" si="286"/>
        <v>6724</v>
      </c>
      <c r="O109" s="67">
        <f t="shared" si="286"/>
        <v>6408.1</v>
      </c>
      <c r="P109" s="67">
        <f t="shared" si="286"/>
        <v>6649.2</v>
      </c>
      <c r="Q109" s="67">
        <f t="shared" si="286"/>
        <v>7003</v>
      </c>
      <c r="R109" s="67">
        <f t="shared" si="286"/>
        <v>9516</v>
      </c>
      <c r="S109" s="67">
        <f t="shared" si="286"/>
        <v>8380</v>
      </c>
      <c r="T109" s="67">
        <f t="shared" si="286"/>
        <v>8457</v>
      </c>
      <c r="U109" s="67">
        <f t="shared" si="286"/>
        <v>8602</v>
      </c>
      <c r="V109" s="67">
        <f t="shared" si="286"/>
        <v>8846</v>
      </c>
      <c r="W109" s="67">
        <f t="shared" si="286"/>
        <v>13924</v>
      </c>
      <c r="X109" s="67">
        <f t="shared" si="286"/>
        <v>14449</v>
      </c>
      <c r="Y109" s="67">
        <f t="shared" si="286"/>
        <v>14865</v>
      </c>
      <c r="Z109" s="67">
        <f>SUM(Z104:Z108)</f>
        <v>14824</v>
      </c>
      <c r="AA109" s="67">
        <f t="shared" si="286"/>
        <v>12855</v>
      </c>
      <c r="AM109" s="67">
        <f>SUM(AM104:AM108)</f>
        <v>18027</v>
      </c>
      <c r="CQ109" s="67"/>
      <c r="CR109" s="67"/>
    </row>
    <row r="110" spans="2:96">
      <c r="B110" s="4" t="s">
        <v>381</v>
      </c>
      <c r="F110" s="67">
        <v>5217.2</v>
      </c>
      <c r="I110" s="67">
        <v>17664.8</v>
      </c>
      <c r="J110" s="67">
        <v>18286</v>
      </c>
      <c r="K110" s="67">
        <v>18503.400000000001</v>
      </c>
      <c r="L110" s="67">
        <v>18286</v>
      </c>
      <c r="M110" s="67">
        <v>19457.3</v>
      </c>
      <c r="N110" s="67">
        <v>19389</v>
      </c>
      <c r="O110" s="67">
        <v>19571.3</v>
      </c>
      <c r="P110" s="67">
        <v>19410.8</v>
      </c>
      <c r="Q110" s="67">
        <v>19808</v>
      </c>
      <c r="R110" s="67">
        <v>19705</v>
      </c>
      <c r="S110" s="67">
        <v>19040</v>
      </c>
      <c r="T110" s="67">
        <v>19581</v>
      </c>
      <c r="U110" s="67">
        <v>20530</v>
      </c>
      <c r="V110" s="67">
        <v>20451</v>
      </c>
      <c r="W110" s="67">
        <v>17391</v>
      </c>
      <c r="X110" s="67">
        <v>16839</v>
      </c>
      <c r="Y110" s="67">
        <v>17721</v>
      </c>
      <c r="Z110" s="67">
        <v>18964</v>
      </c>
      <c r="AA110" s="67">
        <v>19715</v>
      </c>
      <c r="AM110" s="67">
        <v>22339</v>
      </c>
      <c r="CQ110" s="67">
        <v>5022</v>
      </c>
      <c r="CR110" s="67">
        <v>5925</v>
      </c>
    </row>
    <row r="111" spans="2:96">
      <c r="B111" s="16" t="s">
        <v>1097</v>
      </c>
      <c r="F111" s="67">
        <f>F110+F109</f>
        <v>6443.1</v>
      </c>
      <c r="I111" s="67">
        <f t="shared" ref="I111:AA111" si="287">I110+I109</f>
        <v>23741.1</v>
      </c>
      <c r="J111" s="67">
        <f t="shared" si="287"/>
        <v>24456.1</v>
      </c>
      <c r="K111" s="67">
        <f t="shared" si="287"/>
        <v>24729.5</v>
      </c>
      <c r="L111" s="67">
        <f t="shared" si="287"/>
        <v>24456.3</v>
      </c>
      <c r="M111" s="67">
        <f t="shared" si="287"/>
        <v>25868.799999999999</v>
      </c>
      <c r="N111" s="67">
        <f t="shared" si="287"/>
        <v>26113</v>
      </c>
      <c r="O111" s="67">
        <f t="shared" si="287"/>
        <v>25979.4</v>
      </c>
      <c r="P111" s="67">
        <f t="shared" si="287"/>
        <v>26060</v>
      </c>
      <c r="Q111" s="67">
        <f t="shared" si="287"/>
        <v>26811</v>
      </c>
      <c r="R111" s="67">
        <f t="shared" si="287"/>
        <v>29221</v>
      </c>
      <c r="S111" s="67">
        <f t="shared" si="287"/>
        <v>27420</v>
      </c>
      <c r="T111" s="67">
        <f t="shared" si="287"/>
        <v>28038</v>
      </c>
      <c r="U111" s="67">
        <f t="shared" si="287"/>
        <v>29132</v>
      </c>
      <c r="V111" s="67">
        <f t="shared" si="287"/>
        <v>29297</v>
      </c>
      <c r="W111" s="67">
        <f t="shared" si="287"/>
        <v>31315</v>
      </c>
      <c r="X111" s="67">
        <f t="shared" si="287"/>
        <v>31288</v>
      </c>
      <c r="Y111" s="67">
        <f t="shared" si="287"/>
        <v>32586</v>
      </c>
      <c r="Z111" s="67">
        <f t="shared" si="287"/>
        <v>33788</v>
      </c>
      <c r="AA111" s="67">
        <f t="shared" si="287"/>
        <v>32570</v>
      </c>
      <c r="AM111" s="67">
        <f>AM110+AM109</f>
        <v>40366</v>
      </c>
      <c r="CQ111" s="67">
        <f>SUM(CQ101:CQ110)</f>
        <v>92980</v>
      </c>
      <c r="CR111" s="67">
        <f>SUM(CR101:CR110)</f>
        <v>90907</v>
      </c>
    </row>
    <row r="112" spans="2:96">
      <c r="X112" s="67"/>
      <c r="Y112" s="67"/>
    </row>
    <row r="113" spans="2:110">
      <c r="B113" s="4" t="s">
        <v>382</v>
      </c>
      <c r="E113" s="67">
        <f>954.7-D113-C113</f>
        <v>954.7</v>
      </c>
      <c r="F113" s="67">
        <f>1480.2-E113-D113-C113</f>
        <v>525.5</v>
      </c>
      <c r="G113" s="67">
        <v>486.9</v>
      </c>
      <c r="H113" s="67">
        <f>1124.6-G113</f>
        <v>637.69999999999993</v>
      </c>
      <c r="I113" s="67">
        <f>1428.7-H113-G113</f>
        <v>304.10000000000014</v>
      </c>
      <c r="J113" s="67">
        <f>2248.8-I113-H113-G113</f>
        <v>820.1</v>
      </c>
      <c r="K113" s="67">
        <v>780.8</v>
      </c>
      <c r="L113" s="67">
        <f>1720.5-K113</f>
        <v>939.7</v>
      </c>
      <c r="M113" s="67">
        <f>2369-L113-K113</f>
        <v>648.5</v>
      </c>
      <c r="N113" s="67">
        <f>3566.6-M113-L113-K113</f>
        <v>1197.5999999999999</v>
      </c>
      <c r="O113" s="67">
        <v>399</v>
      </c>
      <c r="P113" s="67">
        <f>1514-O113</f>
        <v>1115</v>
      </c>
      <c r="Q113" s="67">
        <f>2587-P113-O113</f>
        <v>1073</v>
      </c>
      <c r="R113" s="67">
        <f>3697-Q113-P113-O113</f>
        <v>1110</v>
      </c>
      <c r="S113" s="67">
        <v>1123</v>
      </c>
      <c r="T113" s="67">
        <f>2340-S113</f>
        <v>1217</v>
      </c>
      <c r="U113" s="67">
        <f>3782-T113-S113</f>
        <v>1442</v>
      </c>
      <c r="V113" s="67">
        <f>4911-U113-T113-S113</f>
        <v>1129</v>
      </c>
      <c r="W113" s="67">
        <v>1183</v>
      </c>
      <c r="X113" s="67">
        <f>2574-W113</f>
        <v>1391</v>
      </c>
      <c r="Y113" s="67">
        <f>4147-X113-W113</f>
        <v>1573</v>
      </c>
      <c r="Z113" s="67"/>
      <c r="AA113" s="67">
        <v>893</v>
      </c>
      <c r="AM113" s="71">
        <v>913</v>
      </c>
    </row>
    <row r="114" spans="2:110">
      <c r="B114" s="4" t="s">
        <v>383</v>
      </c>
      <c r="E114" s="67">
        <f t="shared" ref="E114:AA114" si="288">E49</f>
        <v>140.80000000000001</v>
      </c>
      <c r="F114" s="67">
        <f t="shared" si="288"/>
        <v>0</v>
      </c>
      <c r="G114" s="67">
        <f t="shared" si="288"/>
        <v>342.60000000000008</v>
      </c>
      <c r="H114" s="67">
        <f t="shared" si="288"/>
        <v>417.49999999999994</v>
      </c>
      <c r="I114" s="67">
        <f t="shared" si="288"/>
        <v>436.7999999999999</v>
      </c>
      <c r="J114" s="67">
        <f t="shared" si="288"/>
        <v>471.70000000000027</v>
      </c>
      <c r="K114" s="67">
        <f t="shared" si="288"/>
        <v>563.20000000000016</v>
      </c>
      <c r="L114" s="67">
        <f t="shared" si="288"/>
        <v>658.39999999999986</v>
      </c>
      <c r="M114" s="67">
        <f t="shared" si="288"/>
        <v>714.29999999999973</v>
      </c>
      <c r="N114" s="67">
        <f t="shared" si="288"/>
        <v>614.79999999999995</v>
      </c>
      <c r="O114" s="67">
        <f t="shared" si="288"/>
        <v>756.89999999999941</v>
      </c>
      <c r="P114" s="67">
        <f t="shared" si="288"/>
        <v>813.89999999999986</v>
      </c>
      <c r="Q114" s="67">
        <f t="shared" si="288"/>
        <v>838.8</v>
      </c>
      <c r="R114" s="67">
        <f t="shared" si="288"/>
        <v>755.2</v>
      </c>
      <c r="S114" s="67">
        <f t="shared" si="288"/>
        <v>924</v>
      </c>
      <c r="T114" s="67">
        <f t="shared" si="288"/>
        <v>1104</v>
      </c>
      <c r="U114" s="67">
        <f t="shared" si="288"/>
        <v>1067</v>
      </c>
      <c r="V114" s="67">
        <f t="shared" si="288"/>
        <v>928</v>
      </c>
      <c r="W114" s="67">
        <f t="shared" si="288"/>
        <v>1101</v>
      </c>
      <c r="X114" s="67">
        <f t="shared" si="288"/>
        <v>1235</v>
      </c>
      <c r="Y114" s="67">
        <f t="shared" si="288"/>
        <v>1224</v>
      </c>
      <c r="Z114" s="67">
        <f t="shared" si="288"/>
        <v>1060</v>
      </c>
      <c r="AA114" s="67">
        <f t="shared" si="288"/>
        <v>1270</v>
      </c>
      <c r="AM114" s="67">
        <f>AM49</f>
        <v>1282</v>
      </c>
    </row>
    <row r="115" spans="2:110">
      <c r="B115" s="16" t="s">
        <v>1098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M115" s="67">
        <v>252</v>
      </c>
    </row>
    <row r="116" spans="2:110">
      <c r="AM116" s="71">
        <v>-94</v>
      </c>
    </row>
    <row r="117" spans="2:110">
      <c r="B117" s="4" t="s">
        <v>384</v>
      </c>
      <c r="W117" s="71">
        <f>29+37</f>
        <v>66</v>
      </c>
      <c r="X117" s="71">
        <f>1+28+24</f>
        <v>53</v>
      </c>
      <c r="Y117" s="71">
        <f>4+21+25</f>
        <v>50</v>
      </c>
    </row>
    <row r="119" spans="2:110">
      <c r="B119" s="4" t="s">
        <v>385</v>
      </c>
      <c r="DC119" s="67">
        <v>2084</v>
      </c>
      <c r="DD119" s="67">
        <v>2686</v>
      </c>
      <c r="DE119" s="67">
        <v>3406</v>
      </c>
      <c r="DF119" s="67">
        <v>4760</v>
      </c>
    </row>
    <row r="120" spans="2:110">
      <c r="B120" s="4" t="s">
        <v>386</v>
      </c>
      <c r="DC120" s="67">
        <v>989</v>
      </c>
      <c r="DD120" s="67">
        <v>1596</v>
      </c>
      <c r="DE120" s="67">
        <v>1683</v>
      </c>
      <c r="DF120" s="67">
        <v>2370</v>
      </c>
    </row>
    <row r="121" spans="2:110">
      <c r="B121" s="4" t="s">
        <v>387</v>
      </c>
      <c r="DC121" s="67">
        <v>844</v>
      </c>
      <c r="DD121" s="67">
        <v>1340</v>
      </c>
      <c r="DE121" s="67">
        <v>1809</v>
      </c>
      <c r="DF121" s="67">
        <v>2140</v>
      </c>
    </row>
    <row r="122" spans="2:110">
      <c r="B122" s="4" t="s">
        <v>389</v>
      </c>
      <c r="DC122" s="67"/>
      <c r="DD122" s="67">
        <v>1359</v>
      </c>
      <c r="DE122" s="67">
        <v>2592</v>
      </c>
      <c r="DF122" s="67">
        <v>3794</v>
      </c>
    </row>
    <row r="123" spans="2:110">
      <c r="DD123" s="67"/>
      <c r="DE123" s="67"/>
      <c r="DF123" s="67"/>
    </row>
    <row r="125" spans="2:110">
      <c r="B125" s="4" t="s">
        <v>388</v>
      </c>
      <c r="DC125" s="67">
        <v>10100</v>
      </c>
      <c r="DD125" s="67">
        <v>12900</v>
      </c>
      <c r="DE125" s="67">
        <v>14400</v>
      </c>
      <c r="DF125" s="67">
        <v>16500</v>
      </c>
    </row>
    <row r="126" spans="2:110">
      <c r="B126" s="4" t="s">
        <v>446</v>
      </c>
      <c r="DC126" s="67">
        <v>3400</v>
      </c>
      <c r="DD126" s="67">
        <v>4700</v>
      </c>
      <c r="DE126" s="67">
        <v>5600</v>
      </c>
      <c r="DF126" s="67">
        <v>6500</v>
      </c>
    </row>
    <row r="127" spans="2:110">
      <c r="B127" s="4" t="s">
        <v>447</v>
      </c>
      <c r="DC127" s="67">
        <v>2200</v>
      </c>
      <c r="DD127" s="67">
        <v>2600</v>
      </c>
      <c r="DE127" s="67">
        <v>2700</v>
      </c>
      <c r="DF127" s="67">
        <v>3000</v>
      </c>
    </row>
    <row r="129" spans="2:27">
      <c r="B129" s="4" t="s">
        <v>525</v>
      </c>
      <c r="K129" s="80">
        <f t="shared" ref="K129:AA129" si="289">K53</f>
        <v>0.84193493442343725</v>
      </c>
      <c r="L129" s="80">
        <f t="shared" si="289"/>
        <v>0.8411640781931311</v>
      </c>
      <c r="M129" s="80">
        <f t="shared" si="289"/>
        <v>0.84783986957703106</v>
      </c>
      <c r="N129" s="80">
        <f t="shared" si="289"/>
        <v>0.8365720617062985</v>
      </c>
      <c r="O129" s="80">
        <f t="shared" si="289"/>
        <v>0.84143582739340128</v>
      </c>
      <c r="P129" s="80">
        <f t="shared" si="289"/>
        <v>0.83169542675849262</v>
      </c>
      <c r="Q129" s="80">
        <f t="shared" si="289"/>
        <v>0.83523774419461849</v>
      </c>
      <c r="R129" s="80">
        <f t="shared" si="289"/>
        <v>0.83636988655895494</v>
      </c>
      <c r="S129" s="80">
        <f t="shared" si="289"/>
        <v>0.82739145781856693</v>
      </c>
      <c r="T129" s="80">
        <f t="shared" si="289"/>
        <v>0.83291298865069352</v>
      </c>
      <c r="U129" s="80">
        <f t="shared" si="289"/>
        <v>0.83988585922637915</v>
      </c>
      <c r="V129" s="80">
        <f t="shared" si="289"/>
        <v>0.84377866095995113</v>
      </c>
      <c r="W129" s="80">
        <f t="shared" si="289"/>
        <v>0.82841156356854218</v>
      </c>
      <c r="X129" s="80">
        <f t="shared" si="289"/>
        <v>0.86348501664816868</v>
      </c>
      <c r="Y129" s="80">
        <f t="shared" si="289"/>
        <v>0.86572535991140642</v>
      </c>
      <c r="Z129" s="80">
        <f t="shared" si="289"/>
        <v>0.85632333767926994</v>
      </c>
      <c r="AA129" s="80">
        <f t="shared" si="289"/>
        <v>0.84838622186059132</v>
      </c>
    </row>
    <row r="130" spans="2:27">
      <c r="B130" s="14" t="s">
        <v>1011</v>
      </c>
      <c r="K130" s="87">
        <f>K133+K136+K139+K142+K145</f>
        <v>0.82697041957644934</v>
      </c>
      <c r="L130" s="87">
        <f>L133+L136+L139+L142+L145</f>
        <v>0.83118465533290853</v>
      </c>
      <c r="M130" s="87">
        <f>M133+M136+M139+M142+M145</f>
        <v>0.83268906801920117</v>
      </c>
      <c r="N130" s="87">
        <f>N133+N136+N139+N142+N145</f>
        <v>0.83712477627205317</v>
      </c>
      <c r="O130" s="87">
        <f t="shared" ref="O130:AA130" si="290">O133+O136+O139+O142+O145</f>
        <v>0.83289726407443776</v>
      </c>
      <c r="P130" s="87">
        <f t="shared" si="290"/>
        <v>0.83182117155459245</v>
      </c>
      <c r="Q130" s="87">
        <f t="shared" si="290"/>
        <v>0.8328179137486178</v>
      </c>
      <c r="R130" s="87">
        <f t="shared" si="290"/>
        <v>0.83671983499484348</v>
      </c>
      <c r="S130" s="87">
        <f t="shared" si="290"/>
        <v>0.83914719378750435</v>
      </c>
      <c r="T130" s="87">
        <f t="shared" si="290"/>
        <v>0.84101576292559899</v>
      </c>
      <c r="U130" s="87">
        <f t="shared" si="290"/>
        <v>0.83964013950538996</v>
      </c>
      <c r="V130" s="87">
        <f t="shared" si="290"/>
        <v>0.84082788138184039</v>
      </c>
      <c r="W130" s="87">
        <f t="shared" si="290"/>
        <v>0.84216195212931289</v>
      </c>
      <c r="X130" s="87">
        <f t="shared" si="290"/>
        <v>0.8605649278579357</v>
      </c>
      <c r="Y130" s="87">
        <f t="shared" si="290"/>
        <v>0.86576550387596896</v>
      </c>
      <c r="Z130" s="87">
        <f t="shared" si="290"/>
        <v>0.86224250325945251</v>
      </c>
      <c r="AA130" s="87">
        <f t="shared" si="290"/>
        <v>0.85791971792785471</v>
      </c>
    </row>
    <row r="131" spans="2:27">
      <c r="B131" s="4" t="s">
        <v>1012</v>
      </c>
      <c r="K131" s="62">
        <f t="shared" ref="K131:AA131" si="291">K5/K39</f>
        <v>0.45528870720490555</v>
      </c>
      <c r="L131" s="62">
        <f t="shared" si="291"/>
        <v>0.46974670520797607</v>
      </c>
      <c r="M131" s="62">
        <f t="shared" si="291"/>
        <v>0.4819309845122724</v>
      </c>
      <c r="N131" s="62">
        <f t="shared" si="291"/>
        <v>0.49160487513849821</v>
      </c>
      <c r="O131" s="62">
        <f t="shared" si="291"/>
        <v>0.48358871484058225</v>
      </c>
      <c r="P131" s="62">
        <f t="shared" si="291"/>
        <v>0.48347906832778764</v>
      </c>
      <c r="Q131" s="62">
        <f t="shared" si="291"/>
        <v>0.47511979358643569</v>
      </c>
      <c r="R131" s="62">
        <f t="shared" si="291"/>
        <v>0.48195256101753181</v>
      </c>
      <c r="S131" s="62">
        <f t="shared" si="291"/>
        <v>0.46099541122484999</v>
      </c>
      <c r="T131" s="62">
        <f t="shared" si="291"/>
        <v>0.46784363177805799</v>
      </c>
      <c r="U131" s="62">
        <f t="shared" si="291"/>
        <v>0.45624603677869374</v>
      </c>
      <c r="V131" s="62">
        <f t="shared" si="291"/>
        <v>0.4582696423112198</v>
      </c>
      <c r="W131" s="62">
        <f t="shared" si="291"/>
        <v>0.46534037923531241</v>
      </c>
      <c r="X131" s="62">
        <f t="shared" si="291"/>
        <v>0.462819089900111</v>
      </c>
      <c r="Y131" s="62">
        <f t="shared" si="291"/>
        <v>0.47065337763012183</v>
      </c>
      <c r="Z131" s="62">
        <f t="shared" si="291"/>
        <v>0.46075619295958281</v>
      </c>
      <c r="AA131" s="62">
        <f t="shared" si="291"/>
        <v>0.44616219148359099</v>
      </c>
    </row>
    <row r="132" spans="2:27">
      <c r="B132" s="4" t="s">
        <v>1013</v>
      </c>
      <c r="K132" s="79">
        <v>0.87</v>
      </c>
      <c r="L132" s="79">
        <v>0.87</v>
      </c>
      <c r="M132" s="79">
        <v>0.87</v>
      </c>
      <c r="N132" s="79">
        <v>0.87</v>
      </c>
      <c r="O132" s="79">
        <v>0.87</v>
      </c>
      <c r="P132" s="79">
        <v>0.87</v>
      </c>
      <c r="Q132" s="79">
        <f>P132+0.001</f>
        <v>0.871</v>
      </c>
      <c r="R132" s="79">
        <f t="shared" ref="R132:X132" si="292">Q132+0.001</f>
        <v>0.872</v>
      </c>
      <c r="S132" s="79">
        <f t="shared" si="292"/>
        <v>0.873</v>
      </c>
      <c r="T132" s="79">
        <f t="shared" si="292"/>
        <v>0.874</v>
      </c>
      <c r="U132" s="79">
        <f t="shared" si="292"/>
        <v>0.875</v>
      </c>
      <c r="V132" s="79">
        <f t="shared" si="292"/>
        <v>0.876</v>
      </c>
      <c r="W132" s="79">
        <f t="shared" si="292"/>
        <v>0.877</v>
      </c>
      <c r="X132" s="79">
        <f t="shared" si="292"/>
        <v>0.878</v>
      </c>
      <c r="Y132" s="79">
        <v>0.9</v>
      </c>
      <c r="Z132" s="79">
        <v>0.9</v>
      </c>
      <c r="AA132" s="79">
        <v>0.9</v>
      </c>
    </row>
    <row r="133" spans="2:27">
      <c r="B133" s="4" t="s">
        <v>182</v>
      </c>
      <c r="K133" s="88">
        <f>K132*K131</f>
        <v>0.39610117526826782</v>
      </c>
      <c r="L133" s="88">
        <f>L132*L131</f>
        <v>0.40867963353093917</v>
      </c>
      <c r="M133" s="88">
        <f>M132*M131</f>
        <v>0.41927995652567701</v>
      </c>
      <c r="N133" s="88">
        <f>N132*N131</f>
        <v>0.42769624137049345</v>
      </c>
      <c r="O133" s="88">
        <f t="shared" ref="O133:X133" si="293">O132*O131</f>
        <v>0.42072218191130656</v>
      </c>
      <c r="P133" s="88">
        <f t="shared" si="293"/>
        <v>0.42062678944517523</v>
      </c>
      <c r="Q133" s="88">
        <f t="shared" si="293"/>
        <v>0.41382934021378548</v>
      </c>
      <c r="R133" s="88">
        <f t="shared" si="293"/>
        <v>0.42026263320728774</v>
      </c>
      <c r="S133" s="88">
        <f t="shared" si="293"/>
        <v>0.40244899399929407</v>
      </c>
      <c r="T133" s="88">
        <f t="shared" si="293"/>
        <v>0.40889533417402268</v>
      </c>
      <c r="U133" s="88">
        <f t="shared" si="293"/>
        <v>0.39921528218135705</v>
      </c>
      <c r="V133" s="88">
        <f t="shared" si="293"/>
        <v>0.40144420666462854</v>
      </c>
      <c r="W133" s="88">
        <f t="shared" si="293"/>
        <v>0.408103512589369</v>
      </c>
      <c r="X133" s="88">
        <f t="shared" si="293"/>
        <v>0.40635516093229745</v>
      </c>
      <c r="Y133" s="88">
        <f>Y132*Y131</f>
        <v>0.42358803986710963</v>
      </c>
      <c r="Z133" s="88">
        <f>Z132*Z131</f>
        <v>0.41468057366362454</v>
      </c>
      <c r="AA133" s="88">
        <f>AA132*AA131</f>
        <v>0.40154597233523187</v>
      </c>
    </row>
    <row r="134" spans="2:27">
      <c r="B134" s="4" t="s">
        <v>180</v>
      </c>
      <c r="K134" s="62">
        <f t="shared" ref="K134:AA134" si="294">(K6+K7)/K39</f>
        <v>0.30772724691988873</v>
      </c>
      <c r="L134" s="62">
        <f t="shared" si="294"/>
        <v>0.31076380383126745</v>
      </c>
      <c r="M134" s="62">
        <f t="shared" si="294"/>
        <v>0.29752739788062676</v>
      </c>
      <c r="N134" s="62">
        <f t="shared" si="294"/>
        <v>0.29357368107048498</v>
      </c>
      <c r="O134" s="62">
        <f t="shared" si="294"/>
        <v>0.28328140338896246</v>
      </c>
      <c r="P134" s="62">
        <f t="shared" si="294"/>
        <v>0.27899868451597926</v>
      </c>
      <c r="Q134" s="62">
        <f t="shared" si="294"/>
        <v>0.27718392922963508</v>
      </c>
      <c r="R134" s="62">
        <f t="shared" si="294"/>
        <v>0.26744585768305257</v>
      </c>
      <c r="S134" s="62">
        <f t="shared" si="294"/>
        <v>0.2806212495587716</v>
      </c>
      <c r="T134" s="62">
        <f t="shared" si="294"/>
        <v>0.28341740226986128</v>
      </c>
      <c r="U134" s="62">
        <f t="shared" si="294"/>
        <v>0.27964489537095749</v>
      </c>
      <c r="V134" s="62">
        <f t="shared" si="294"/>
        <v>0.28370528890247632</v>
      </c>
      <c r="W134" s="62">
        <f t="shared" si="294"/>
        <v>0.27852036058439539</v>
      </c>
      <c r="X134" s="62">
        <f t="shared" si="294"/>
        <v>0.27885682574916759</v>
      </c>
      <c r="Y134" s="62">
        <f t="shared" si="294"/>
        <v>0.27630121816168329</v>
      </c>
      <c r="Z134" s="62">
        <f t="shared" si="294"/>
        <v>0.26701434159061277</v>
      </c>
      <c r="AA134" s="62">
        <f t="shared" si="294"/>
        <v>0.27610523460808245</v>
      </c>
    </row>
    <row r="135" spans="2:27">
      <c r="B135" s="4" t="s">
        <v>181</v>
      </c>
      <c r="K135" s="62">
        <v>0.85</v>
      </c>
      <c r="L135" s="62">
        <v>0.85</v>
      </c>
      <c r="M135" s="62">
        <v>0.85</v>
      </c>
      <c r="N135" s="62">
        <v>0.85</v>
      </c>
      <c r="O135" s="62">
        <v>0.85</v>
      </c>
      <c r="P135" s="62">
        <v>0.85</v>
      </c>
      <c r="Q135" s="62">
        <v>0.85</v>
      </c>
      <c r="R135" s="62">
        <v>0.85</v>
      </c>
      <c r="S135" s="62">
        <v>0.85</v>
      </c>
      <c r="T135" s="62">
        <v>0.85</v>
      </c>
      <c r="U135" s="62">
        <v>0.85</v>
      </c>
      <c r="V135" s="62">
        <v>0.85</v>
      </c>
      <c r="W135" s="62">
        <v>0.85</v>
      </c>
      <c r="X135" s="62">
        <v>0.92</v>
      </c>
      <c r="Y135" s="62">
        <v>0.9</v>
      </c>
      <c r="Z135" s="62">
        <v>0.9</v>
      </c>
      <c r="AA135" s="62">
        <v>0.9</v>
      </c>
    </row>
    <row r="136" spans="2:27">
      <c r="B136" s="4" t="s">
        <v>183</v>
      </c>
      <c r="K136" s="88">
        <f>K135*K134</f>
        <v>0.2615681598819054</v>
      </c>
      <c r="L136" s="88">
        <f>L135*L134</f>
        <v>0.2641492332565773</v>
      </c>
      <c r="M136" s="88">
        <f>M135*M134</f>
        <v>0.25289828819853272</v>
      </c>
      <c r="N136" s="88">
        <f>N135*N134</f>
        <v>0.24953762890991224</v>
      </c>
      <c r="O136" s="88">
        <f>O135*O134</f>
        <v>0.24078919288061809</v>
      </c>
      <c r="P136" s="88">
        <f t="shared" ref="P136:X136" si="295">P135*P134</f>
        <v>0.23714888183858235</v>
      </c>
      <c r="Q136" s="88">
        <f t="shared" si="295"/>
        <v>0.2356063398451898</v>
      </c>
      <c r="R136" s="88">
        <f t="shared" si="295"/>
        <v>0.22732897903059468</v>
      </c>
      <c r="S136" s="88">
        <f t="shared" si="295"/>
        <v>0.23852806212495586</v>
      </c>
      <c r="T136" s="88">
        <f t="shared" si="295"/>
        <v>0.24090479192938208</v>
      </c>
      <c r="U136" s="88">
        <f t="shared" si="295"/>
        <v>0.23769816106531386</v>
      </c>
      <c r="V136" s="88">
        <f t="shared" si="295"/>
        <v>0.24114949556710485</v>
      </c>
      <c r="W136" s="88">
        <f t="shared" si="295"/>
        <v>0.23674230649673608</v>
      </c>
      <c r="X136" s="88">
        <f t="shared" si="295"/>
        <v>0.25654827968923422</v>
      </c>
      <c r="Y136" s="88">
        <f>Y135*Y134</f>
        <v>0.24867109634551496</v>
      </c>
      <c r="Z136" s="88">
        <f>Z135*Z134</f>
        <v>0.24031290743155151</v>
      </c>
      <c r="AA136" s="88">
        <f>AA135*AA134</f>
        <v>0.2484947111472742</v>
      </c>
    </row>
    <row r="137" spans="2:27">
      <c r="B137" s="4" t="s">
        <v>646</v>
      </c>
      <c r="K137" s="62">
        <f t="shared" ref="K137:AA137" si="296">K8/K39</f>
        <v>0.1555669108045194</v>
      </c>
      <c r="L137" s="62">
        <f t="shared" si="296"/>
        <v>0.14893929743765616</v>
      </c>
      <c r="M137" s="62">
        <f t="shared" si="296"/>
        <v>0.1548772756090934</v>
      </c>
      <c r="N137" s="62">
        <f t="shared" si="296"/>
        <v>0.16193641864825706</v>
      </c>
      <c r="O137" s="62">
        <f t="shared" si="296"/>
        <v>0.16944811985146616</v>
      </c>
      <c r="P137" s="62">
        <f t="shared" si="296"/>
        <v>0.17039387139209161</v>
      </c>
      <c r="Q137" s="62">
        <f t="shared" si="296"/>
        <v>0.18282344268337633</v>
      </c>
      <c r="R137" s="62">
        <f t="shared" si="296"/>
        <v>0.19491234101065658</v>
      </c>
      <c r="S137" s="62">
        <f t="shared" si="296"/>
        <v>0.20896576067772679</v>
      </c>
      <c r="T137" s="62">
        <f t="shared" si="296"/>
        <v>0.20145018915510718</v>
      </c>
      <c r="U137" s="62">
        <f t="shared" si="296"/>
        <v>0.21179454660748256</v>
      </c>
      <c r="V137" s="62">
        <f t="shared" si="296"/>
        <v>0.20605319474166922</v>
      </c>
      <c r="W137" s="62">
        <f t="shared" si="296"/>
        <v>0.20453838980416536</v>
      </c>
      <c r="X137" s="62">
        <f t="shared" si="296"/>
        <v>0.20088790233074361</v>
      </c>
      <c r="Y137" s="62">
        <f t="shared" si="296"/>
        <v>0.1951827242524917</v>
      </c>
      <c r="Z137" s="62">
        <f t="shared" si="296"/>
        <v>0.20651890482398957</v>
      </c>
      <c r="AA137" s="62">
        <f t="shared" si="296"/>
        <v>0.19799294819636562</v>
      </c>
    </row>
    <row r="138" spans="2:27">
      <c r="B138" s="4" t="s">
        <v>647</v>
      </c>
      <c r="K138" s="79">
        <v>0.82</v>
      </c>
      <c r="L138" s="79">
        <v>0.82</v>
      </c>
      <c r="M138" s="79">
        <v>0.82</v>
      </c>
      <c r="N138" s="79">
        <v>0.82</v>
      </c>
      <c r="O138" s="79">
        <v>0.82</v>
      </c>
      <c r="P138" s="79">
        <v>0.82</v>
      </c>
      <c r="Q138" s="79">
        <f>P138+0.001</f>
        <v>0.82099999999999995</v>
      </c>
      <c r="R138" s="79">
        <f t="shared" ref="R138:Y138" si="297">Q138+0.001</f>
        <v>0.82199999999999995</v>
      </c>
      <c r="S138" s="79">
        <f t="shared" si="297"/>
        <v>0.82299999999999995</v>
      </c>
      <c r="T138" s="79">
        <f t="shared" si="297"/>
        <v>0.82399999999999995</v>
      </c>
      <c r="U138" s="79">
        <f t="shared" si="297"/>
        <v>0.82499999999999996</v>
      </c>
      <c r="V138" s="79">
        <f t="shared" si="297"/>
        <v>0.82599999999999996</v>
      </c>
      <c r="W138" s="79">
        <f t="shared" si="297"/>
        <v>0.82699999999999996</v>
      </c>
      <c r="X138" s="79">
        <f t="shared" si="297"/>
        <v>0.82799999999999996</v>
      </c>
      <c r="Y138" s="79">
        <f t="shared" si="297"/>
        <v>0.82899999999999996</v>
      </c>
      <c r="Z138" s="79">
        <v>0.82499999999999996</v>
      </c>
      <c r="AA138" s="79">
        <v>0.82499999999999996</v>
      </c>
    </row>
    <row r="139" spans="2:27">
      <c r="B139" s="4" t="s">
        <v>648</v>
      </c>
      <c r="K139" s="88">
        <f>K138*K137</f>
        <v>0.12756486685970589</v>
      </c>
      <c r="L139" s="88">
        <f>L138*L137</f>
        <v>0.12213022389887804</v>
      </c>
      <c r="M139" s="88">
        <f>M138*M137</f>
        <v>0.12699936599945658</v>
      </c>
      <c r="N139" s="88">
        <f>N138*N137</f>
        <v>0.13278786329157077</v>
      </c>
      <c r="O139" s="88">
        <f>O138*O137</f>
        <v>0.13894745827820223</v>
      </c>
      <c r="P139" s="88">
        <f t="shared" ref="P139:X139" si="298">P138*P137</f>
        <v>0.13972297454151511</v>
      </c>
      <c r="Q139" s="88">
        <f t="shared" si="298"/>
        <v>0.15009804644305197</v>
      </c>
      <c r="R139" s="88">
        <f t="shared" si="298"/>
        <v>0.1602179443107597</v>
      </c>
      <c r="S139" s="88">
        <f t="shared" si="298"/>
        <v>0.17197882103776915</v>
      </c>
      <c r="T139" s="88">
        <f t="shared" si="298"/>
        <v>0.1659949558638083</v>
      </c>
      <c r="U139" s="88">
        <f t="shared" si="298"/>
        <v>0.1747305009511731</v>
      </c>
      <c r="V139" s="88">
        <f t="shared" si="298"/>
        <v>0.17019993885661877</v>
      </c>
      <c r="W139" s="88">
        <f t="shared" si="298"/>
        <v>0.16915324836804474</v>
      </c>
      <c r="X139" s="88">
        <f t="shared" si="298"/>
        <v>0.16633518312985571</v>
      </c>
      <c r="Y139" s="88">
        <f>Y138*Y137</f>
        <v>0.16180647840531562</v>
      </c>
      <c r="Z139" s="88">
        <f>Z138*Z137</f>
        <v>0.17037809647979138</v>
      </c>
      <c r="AA139" s="88">
        <f>AA138*AA137</f>
        <v>0.16334418226200162</v>
      </c>
    </row>
    <row r="140" spans="2:27">
      <c r="B140" s="4" t="s">
        <v>652</v>
      </c>
      <c r="K140" s="62">
        <f t="shared" ref="K140:AA140" si="299">(K15+K16+K18)/K39</f>
        <v>1.0276500312269348E-2</v>
      </c>
      <c r="L140" s="62">
        <f t="shared" si="299"/>
        <v>9.5046788496398991E-3</v>
      </c>
      <c r="M140" s="62">
        <f t="shared" si="299"/>
        <v>6.7928629653111134E-3</v>
      </c>
      <c r="N140" s="62">
        <f t="shared" si="299"/>
        <v>6.6053012869683797E-3</v>
      </c>
      <c r="O140" s="62">
        <f t="shared" si="299"/>
        <v>5.9755004481625348E-3</v>
      </c>
      <c r="P140" s="62">
        <f t="shared" si="299"/>
        <v>7.5833784724909084E-3</v>
      </c>
      <c r="Q140" s="62">
        <f t="shared" si="299"/>
        <v>8.4776999631404355E-3</v>
      </c>
      <c r="R140" s="62">
        <f t="shared" si="299"/>
        <v>1.0656583018219319E-2</v>
      </c>
      <c r="S140" s="62">
        <f t="shared" si="299"/>
        <v>1.4825273561595482E-2</v>
      </c>
      <c r="T140" s="62">
        <f t="shared" si="299"/>
        <v>1.5762925598991173E-2</v>
      </c>
      <c r="U140" s="62">
        <f t="shared" si="299"/>
        <v>1.8389346861128725E-2</v>
      </c>
      <c r="V140" s="62">
        <f t="shared" si="299"/>
        <v>2.0483032711708957E-2</v>
      </c>
      <c r="W140" s="62">
        <f t="shared" si="299"/>
        <v>2.3624494870997825E-2</v>
      </c>
      <c r="X140" s="62">
        <f t="shared" si="299"/>
        <v>2.6082130965593784E-2</v>
      </c>
      <c r="Y140" s="62">
        <f t="shared" si="299"/>
        <v>2.768549280177187E-2</v>
      </c>
      <c r="Z140" s="62">
        <f t="shared" si="299"/>
        <v>4.0156453715775753E-2</v>
      </c>
      <c r="AA140" s="62">
        <f t="shared" si="299"/>
        <v>4.6650393273664228E-2</v>
      </c>
    </row>
    <row r="141" spans="2:27">
      <c r="B141" s="4" t="s">
        <v>653</v>
      </c>
      <c r="K141" s="86">
        <v>0.6</v>
      </c>
      <c r="L141" s="86">
        <v>0.6</v>
      </c>
      <c r="M141" s="86">
        <v>0.6</v>
      </c>
      <c r="N141" s="86">
        <v>0.6</v>
      </c>
      <c r="O141" s="86">
        <v>0.6</v>
      </c>
      <c r="P141" s="86">
        <v>0.6</v>
      </c>
      <c r="Q141" s="86">
        <v>0.6</v>
      </c>
      <c r="R141" s="86">
        <v>0.6</v>
      </c>
      <c r="S141" s="86">
        <v>0.6</v>
      </c>
      <c r="T141" s="86">
        <v>0.6</v>
      </c>
      <c r="U141" s="86">
        <v>0.6</v>
      </c>
      <c r="V141" s="86">
        <v>0.6</v>
      </c>
      <c r="W141" s="86">
        <v>0.6</v>
      </c>
      <c r="X141" s="86">
        <v>0.6</v>
      </c>
      <c r="Y141" s="86">
        <v>0.6</v>
      </c>
      <c r="Z141" s="86">
        <v>0.6</v>
      </c>
      <c r="AA141" s="86">
        <v>0.6</v>
      </c>
    </row>
    <row r="142" spans="2:27">
      <c r="B142" s="4" t="s">
        <v>654</v>
      </c>
      <c r="K142" s="88">
        <f>K141*K140</f>
        <v>6.1659001873616091E-3</v>
      </c>
      <c r="L142" s="88">
        <f>L141*L140</f>
        <v>5.7028073097839397E-3</v>
      </c>
      <c r="M142" s="88">
        <f>M141*M140</f>
        <v>4.0757177791866678E-3</v>
      </c>
      <c r="N142" s="88">
        <f>N141*N140</f>
        <v>3.9631807721810276E-3</v>
      </c>
      <c r="O142" s="88">
        <f>O141*O140</f>
        <v>3.5853002688975206E-3</v>
      </c>
      <c r="P142" s="88">
        <f t="shared" ref="P142:X142" si="300">P141*P140</f>
        <v>4.5500270834945445E-3</v>
      </c>
      <c r="Q142" s="88">
        <f t="shared" si="300"/>
        <v>5.0866199778842611E-3</v>
      </c>
      <c r="R142" s="88">
        <f t="shared" si="300"/>
        <v>6.3939498109315913E-3</v>
      </c>
      <c r="S142" s="88">
        <f t="shared" si="300"/>
        <v>8.8951641369572881E-3</v>
      </c>
      <c r="T142" s="88">
        <f t="shared" si="300"/>
        <v>9.4577553593947032E-3</v>
      </c>
      <c r="U142" s="88">
        <f t="shared" si="300"/>
        <v>1.1033608116677234E-2</v>
      </c>
      <c r="V142" s="88">
        <f t="shared" si="300"/>
        <v>1.2289819627025375E-2</v>
      </c>
      <c r="W142" s="88">
        <f t="shared" si="300"/>
        <v>1.4174696922598694E-2</v>
      </c>
      <c r="X142" s="88">
        <f t="shared" si="300"/>
        <v>1.564927857935627E-2</v>
      </c>
      <c r="Y142" s="88">
        <f>Y141*Y140</f>
        <v>1.6611295681063121E-2</v>
      </c>
      <c r="Z142" s="88">
        <f>Z141*Z140</f>
        <v>2.4093872229465452E-2</v>
      </c>
      <c r="AA142" s="88">
        <f>AA141*AA140</f>
        <v>2.7990235964198536E-2</v>
      </c>
    </row>
    <row r="143" spans="2:27">
      <c r="B143" s="4" t="s">
        <v>651</v>
      </c>
      <c r="K143" s="62">
        <f t="shared" ref="K143:AA143" si="301">K38/K39</f>
        <v>7.1140634758417073E-2</v>
      </c>
      <c r="L143" s="62">
        <f t="shared" si="301"/>
        <v>6.1045514673460387E-2</v>
      </c>
      <c r="M143" s="62">
        <f t="shared" si="301"/>
        <v>5.8871479032696315E-2</v>
      </c>
      <c r="N143" s="62">
        <f t="shared" si="301"/>
        <v>4.6279723855791356E-2</v>
      </c>
      <c r="O143" s="62">
        <f t="shared" si="301"/>
        <v>5.7706261470826754E-2</v>
      </c>
      <c r="P143" s="62">
        <f t="shared" si="301"/>
        <v>5.9544997291650553E-2</v>
      </c>
      <c r="Q143" s="62">
        <f t="shared" si="301"/>
        <v>5.6395134537412461E-2</v>
      </c>
      <c r="R143" s="62">
        <f t="shared" si="301"/>
        <v>4.5032657270539705E-2</v>
      </c>
      <c r="S143" s="62">
        <f t="shared" si="301"/>
        <v>3.4592304977056121E-2</v>
      </c>
      <c r="T143" s="62">
        <f t="shared" si="301"/>
        <v>3.1525851197982346E-2</v>
      </c>
      <c r="U143" s="62">
        <f t="shared" si="301"/>
        <v>3.3925174381737477E-2</v>
      </c>
      <c r="V143" s="62">
        <f t="shared" si="301"/>
        <v>3.1488841332925711E-2</v>
      </c>
      <c r="W143" s="62">
        <f t="shared" si="301"/>
        <v>2.7976375505129002E-2</v>
      </c>
      <c r="X143" s="62">
        <f t="shared" si="301"/>
        <v>3.1354051054384019E-2</v>
      </c>
      <c r="Y143" s="62">
        <f t="shared" si="301"/>
        <v>3.0177187153931341E-2</v>
      </c>
      <c r="Z143" s="62">
        <f t="shared" si="301"/>
        <v>2.5554106910039114E-2</v>
      </c>
      <c r="AA143" s="62">
        <f t="shared" si="301"/>
        <v>3.3089232438296722E-2</v>
      </c>
    </row>
    <row r="144" spans="2:27">
      <c r="B144" s="4" t="s">
        <v>747</v>
      </c>
      <c r="K144" s="86">
        <v>0.5</v>
      </c>
      <c r="L144" s="86">
        <v>0.5</v>
      </c>
      <c r="M144" s="86">
        <v>0.5</v>
      </c>
      <c r="N144" s="86">
        <v>0.5</v>
      </c>
      <c r="O144" s="86">
        <v>0.5</v>
      </c>
      <c r="P144" s="86">
        <v>0.5</v>
      </c>
      <c r="Q144" s="86">
        <v>0.5</v>
      </c>
      <c r="R144" s="86">
        <v>0.5</v>
      </c>
      <c r="S144" s="86">
        <v>0.5</v>
      </c>
      <c r="T144" s="86">
        <v>0.5</v>
      </c>
      <c r="U144" s="86">
        <v>0.5</v>
      </c>
      <c r="V144" s="86">
        <v>0.5</v>
      </c>
      <c r="W144" s="86">
        <v>0.5</v>
      </c>
      <c r="X144" s="86">
        <v>0.5</v>
      </c>
      <c r="Y144" s="86">
        <v>0.5</v>
      </c>
      <c r="Z144" s="86">
        <v>0.5</v>
      </c>
      <c r="AA144" s="86">
        <v>0.5</v>
      </c>
    </row>
    <row r="145" spans="2:27">
      <c r="B145" s="4" t="s">
        <v>649</v>
      </c>
      <c r="K145" s="62">
        <f>K144*K143</f>
        <v>3.5570317379208537E-2</v>
      </c>
      <c r="L145" s="62">
        <f>L144*L143</f>
        <v>3.0522757336730193E-2</v>
      </c>
      <c r="M145" s="62">
        <f>M144*M143</f>
        <v>2.9435739516348158E-2</v>
      </c>
      <c r="N145" s="62">
        <f>N144*N143</f>
        <v>2.3139861927895678E-2</v>
      </c>
      <c r="O145" s="62">
        <f>O144*O143</f>
        <v>2.8853130735413377E-2</v>
      </c>
      <c r="P145" s="62">
        <f t="shared" ref="P145:Z145" si="302">P144*P143</f>
        <v>2.9772498645825277E-2</v>
      </c>
      <c r="Q145" s="62">
        <f t="shared" si="302"/>
        <v>2.8197567268706231E-2</v>
      </c>
      <c r="R145" s="62">
        <f t="shared" si="302"/>
        <v>2.2516328635269853E-2</v>
      </c>
      <c r="S145" s="62">
        <f t="shared" si="302"/>
        <v>1.729615248852806E-2</v>
      </c>
      <c r="T145" s="62">
        <f t="shared" si="302"/>
        <v>1.5762925598991173E-2</v>
      </c>
      <c r="U145" s="62">
        <f t="shared" si="302"/>
        <v>1.6962587190868739E-2</v>
      </c>
      <c r="V145" s="62">
        <f t="shared" si="302"/>
        <v>1.5744420666462856E-2</v>
      </c>
      <c r="W145" s="62">
        <f t="shared" si="302"/>
        <v>1.3988187752564501E-2</v>
      </c>
      <c r="X145" s="62">
        <f t="shared" si="302"/>
        <v>1.5677025527192009E-2</v>
      </c>
      <c r="Y145" s="62">
        <f t="shared" si="302"/>
        <v>1.5088593576965671E-2</v>
      </c>
      <c r="Z145" s="62">
        <f t="shared" si="302"/>
        <v>1.2777053455019557E-2</v>
      </c>
      <c r="AA145" s="62">
        <f>AA144*AA143</f>
        <v>1.6544616219148361E-2</v>
      </c>
    </row>
    <row r="158" spans="2:27">
      <c r="D158" s="90">
        <f>EM55/Main!J3</f>
        <v>231.80873445983195</v>
      </c>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557</v>
      </c>
    </row>
    <row r="4" spans="1:10">
      <c r="B4" t="s">
        <v>558</v>
      </c>
    </row>
    <row r="5" spans="1:10">
      <c r="B5" t="s">
        <v>559</v>
      </c>
    </row>
    <row r="7" spans="1:10" s="4" customFormat="1">
      <c r="C7" s="5" t="s">
        <v>220</v>
      </c>
      <c r="D7" s="4" t="s">
        <v>230</v>
      </c>
      <c r="E7" s="4" t="s">
        <v>812</v>
      </c>
      <c r="F7" s="6">
        <v>2</v>
      </c>
      <c r="G7" s="6" t="s">
        <v>221</v>
      </c>
      <c r="H7" s="6"/>
      <c r="I7" s="24"/>
      <c r="J7" s="4" t="s">
        <v>869</v>
      </c>
    </row>
    <row r="8" spans="1:10" s="4" customFormat="1">
      <c r="C8" s="5" t="s">
        <v>220</v>
      </c>
      <c r="D8" s="4" t="s">
        <v>231</v>
      </c>
      <c r="E8" s="4" t="s">
        <v>812</v>
      </c>
      <c r="F8" s="6">
        <v>2</v>
      </c>
      <c r="G8" s="6"/>
      <c r="H8" s="6"/>
      <c r="I8" s="24"/>
    </row>
    <row r="10" spans="1:10">
      <c r="B10" t="s">
        <v>65</v>
      </c>
      <c r="C10" t="s">
        <v>255</v>
      </c>
      <c r="D10" t="s">
        <v>179</v>
      </c>
    </row>
    <row r="11" spans="1:10">
      <c r="B11" t="s">
        <v>69</v>
      </c>
    </row>
    <row r="12" spans="1:10">
      <c r="B12" t="s">
        <v>68</v>
      </c>
    </row>
    <row r="13" spans="1:10">
      <c r="B13" t="s">
        <v>754</v>
      </c>
    </row>
    <row r="14" spans="1:10">
      <c r="B14" t="s">
        <v>1042</v>
      </c>
    </row>
    <row r="15" spans="1:10">
      <c r="B15" t="s">
        <v>1043</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477</v>
      </c>
    </row>
    <row r="4" spans="1:3">
      <c r="B4" s="4" t="s">
        <v>288</v>
      </c>
      <c r="C4" s="4" t="s">
        <v>56</v>
      </c>
    </row>
    <row r="5" spans="1:3">
      <c r="B5" s="4" t="s">
        <v>3</v>
      </c>
      <c r="C5" s="4" t="s">
        <v>886</v>
      </c>
    </row>
    <row r="6" spans="1:3">
      <c r="C6" s="4" t="s">
        <v>887</v>
      </c>
    </row>
    <row r="7" spans="1:3">
      <c r="B7" s="4" t="s">
        <v>811</v>
      </c>
      <c r="C7" s="4" t="s">
        <v>488</v>
      </c>
    </row>
    <row r="8" spans="1:3">
      <c r="B8" s="4" t="s">
        <v>444</v>
      </c>
      <c r="C8" s="4" t="s">
        <v>236</v>
      </c>
    </row>
    <row r="9" spans="1:3">
      <c r="C9" s="4" t="s">
        <v>237</v>
      </c>
    </row>
    <row r="10" spans="1:3">
      <c r="C10" s="4" t="s">
        <v>913</v>
      </c>
    </row>
    <row r="11" spans="1:3">
      <c r="B11" s="4" t="s">
        <v>456</v>
      </c>
      <c r="C11" s="4" t="s">
        <v>914</v>
      </c>
    </row>
    <row r="12" spans="1:3">
      <c r="C12" s="4" t="s">
        <v>915</v>
      </c>
    </row>
    <row r="13" spans="1:3">
      <c r="B13" s="4" t="s">
        <v>323</v>
      </c>
    </row>
    <row r="14" spans="1:3">
      <c r="C14" s="4" t="s">
        <v>916</v>
      </c>
    </row>
    <row r="16" spans="1:3">
      <c r="C16" s="4" t="s">
        <v>57</v>
      </c>
    </row>
    <row r="18" spans="2:2">
      <c r="B18" s="4" t="s">
        <v>331</v>
      </c>
    </row>
    <row r="19" spans="2:2">
      <c r="B19" s="4" t="s">
        <v>332</v>
      </c>
    </row>
    <row r="23" spans="2:2">
      <c r="B23" s="4" t="s">
        <v>417</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287</v>
      </c>
      <c r="C2" t="s">
        <v>355</v>
      </c>
    </row>
    <row r="3" spans="1:11">
      <c r="B3" t="s">
        <v>288</v>
      </c>
      <c r="C3" t="s">
        <v>512</v>
      </c>
    </row>
    <row r="4" spans="1:11">
      <c r="B4" t="s">
        <v>811</v>
      </c>
      <c r="C4" t="s">
        <v>28</v>
      </c>
    </row>
    <row r="5" spans="1:11">
      <c r="B5" t="s">
        <v>323</v>
      </c>
      <c r="J5" s="101"/>
      <c r="K5" s="101"/>
    </row>
    <row r="6" spans="1:11">
      <c r="C6" s="48" t="s">
        <v>513</v>
      </c>
    </row>
    <row r="7" spans="1:11">
      <c r="C7" t="s">
        <v>515</v>
      </c>
    </row>
    <row r="9" spans="1:11">
      <c r="C9" s="48" t="s">
        <v>514</v>
      </c>
    </row>
    <row r="10" spans="1:11">
      <c r="C10" s="53" t="s">
        <v>516</v>
      </c>
    </row>
    <row r="11" spans="1:11">
      <c r="C11" s="53"/>
    </row>
    <row r="12" spans="1:11">
      <c r="C12" t="s">
        <v>295</v>
      </c>
    </row>
    <row r="15" spans="1:11">
      <c r="B15" t="s">
        <v>497</v>
      </c>
    </row>
    <row r="16" spans="1:11">
      <c r="B16" t="s">
        <v>498</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19"/>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1210</v>
      </c>
      <c r="C2" t="s">
        <v>1222</v>
      </c>
    </row>
    <row r="3" spans="1:3">
      <c r="B3" t="s">
        <v>1219</v>
      </c>
      <c r="C3" t="s">
        <v>1220</v>
      </c>
    </row>
    <row r="4" spans="1:3">
      <c r="B4" t="s">
        <v>3</v>
      </c>
      <c r="C4" t="s">
        <v>1221</v>
      </c>
    </row>
    <row r="5" spans="1:3">
      <c r="B5" t="s">
        <v>323</v>
      </c>
    </row>
    <row r="6" spans="1:3">
      <c r="B6" s="102"/>
      <c r="C6" s="48" t="s">
        <v>1228</v>
      </c>
    </row>
    <row r="8" spans="1:3">
      <c r="C8" s="48" t="s">
        <v>1226</v>
      </c>
    </row>
    <row r="9" spans="1:3">
      <c r="C9" s="102" t="s">
        <v>1225</v>
      </c>
    </row>
    <row r="12" spans="1:3">
      <c r="C12" s="48" t="s">
        <v>1224</v>
      </c>
    </row>
    <row r="14" spans="1:3">
      <c r="C14" s="48" t="s">
        <v>1227</v>
      </c>
    </row>
    <row r="16" spans="1:3">
      <c r="C16" s="48" t="s">
        <v>1229</v>
      </c>
    </row>
    <row r="17" spans="3:3">
      <c r="C17" s="102" t="s">
        <v>1230</v>
      </c>
    </row>
    <row r="18" spans="3:3">
      <c r="C18" s="102" t="s">
        <v>1231</v>
      </c>
    </row>
    <row r="19" spans="3:3">
      <c r="C19" s="102" t="s">
        <v>1232</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1003</v>
      </c>
      <c r="C4" s="4" t="s">
        <v>1004</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1032</v>
      </c>
    </row>
    <row r="13" spans="1:3">
      <c r="C13" s="4" t="s">
        <v>1033</v>
      </c>
    </row>
    <row r="15" spans="1:3">
      <c r="C15" s="22" t="s">
        <v>522</v>
      </c>
    </row>
    <row r="16" spans="1:3">
      <c r="C16" s="4" t="s">
        <v>948</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603</v>
      </c>
    </row>
    <row r="3" spans="1:3">
      <c r="B3" s="4" t="s">
        <v>288</v>
      </c>
      <c r="C3" s="4" t="s">
        <v>1031</v>
      </c>
    </row>
    <row r="4" spans="1:3">
      <c r="B4" s="4" t="s">
        <v>3</v>
      </c>
      <c r="C4" s="4" t="s">
        <v>1029</v>
      </c>
    </row>
    <row r="5" spans="1:3">
      <c r="B5" s="4" t="s">
        <v>811</v>
      </c>
      <c r="C5" s="4" t="s">
        <v>1030</v>
      </c>
    </row>
    <row r="6" spans="1:3">
      <c r="B6" s="4" t="s">
        <v>7</v>
      </c>
      <c r="C6" s="4" t="s">
        <v>677</v>
      </c>
    </row>
    <row r="7" spans="1:3">
      <c r="B7" s="4" t="s">
        <v>323</v>
      </c>
    </row>
    <row r="9" spans="1:3">
      <c r="B9" s="4" t="s">
        <v>309</v>
      </c>
    </row>
    <row r="11" spans="1:3">
      <c r="C11" s="22" t="s">
        <v>1027</v>
      </c>
    </row>
    <row r="12" spans="1:3">
      <c r="C12" s="4" t="s">
        <v>1028</v>
      </c>
    </row>
    <row r="13" spans="1:3">
      <c r="C13" s="4" t="s">
        <v>784</v>
      </c>
    </row>
    <row r="14" spans="1:3">
      <c r="C14" s="4" t="s">
        <v>785</v>
      </c>
    </row>
    <row r="16" spans="1:3">
      <c r="C16" s="22" t="s">
        <v>162</v>
      </c>
    </row>
    <row r="17" spans="3:4">
      <c r="C17" s="4" t="s">
        <v>163</v>
      </c>
    </row>
    <row r="19" spans="3:4">
      <c r="D19" s="22" t="s">
        <v>307</v>
      </c>
    </row>
    <row r="20" spans="3:4">
      <c r="D20" s="4" t="s">
        <v>308</v>
      </c>
    </row>
    <row r="22" spans="3:4">
      <c r="D22" s="22" t="s">
        <v>311</v>
      </c>
    </row>
    <row r="23" spans="3:4">
      <c r="D23" s="4" t="s">
        <v>860</v>
      </c>
    </row>
    <row r="25" spans="3:4">
      <c r="D25" s="22" t="s">
        <v>858</v>
      </c>
    </row>
    <row r="26" spans="3:4">
      <c r="D26" s="4" t="s">
        <v>859</v>
      </c>
    </row>
    <row r="28" spans="3:4">
      <c r="C28" s="22" t="s">
        <v>861</v>
      </c>
    </row>
    <row r="29" spans="3:4">
      <c r="C29" s="4" t="s">
        <v>862</v>
      </c>
    </row>
    <row r="31" spans="3:4">
      <c r="C31" s="22" t="s">
        <v>863</v>
      </c>
    </row>
    <row r="32" spans="3:4">
      <c r="C32" s="16" t="s">
        <v>864</v>
      </c>
    </row>
    <row r="33" spans="3:4">
      <c r="D33" s="16"/>
    </row>
    <row r="34" spans="3:4">
      <c r="D34" s="22" t="s">
        <v>185</v>
      </c>
    </row>
    <row r="35" spans="3:4">
      <c r="D35" s="4" t="s">
        <v>737</v>
      </c>
    </row>
    <row r="37" spans="3:4">
      <c r="D37" s="22" t="s">
        <v>738</v>
      </c>
    </row>
    <row r="38" spans="3:4">
      <c r="D38" s="16" t="s">
        <v>739</v>
      </c>
    </row>
    <row r="39" spans="3:4">
      <c r="D39" s="16"/>
    </row>
    <row r="40" spans="3:4">
      <c r="D40" s="22" t="s">
        <v>740</v>
      </c>
    </row>
    <row r="41" spans="3:4">
      <c r="D41" s="16" t="s">
        <v>852</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920</v>
      </c>
    </row>
    <row r="62" spans="3:4">
      <c r="C62" s="16" t="s">
        <v>921</v>
      </c>
    </row>
    <row r="63" spans="3:4">
      <c r="D63" s="16"/>
    </row>
    <row r="64" spans="3:4">
      <c r="C64" s="22" t="s">
        <v>922</v>
      </c>
    </row>
    <row r="65" spans="2:4">
      <c r="C65" s="16" t="s">
        <v>251</v>
      </c>
    </row>
    <row r="66" spans="2:4">
      <c r="C66" s="16"/>
    </row>
    <row r="67" spans="2:4">
      <c r="C67" s="22" t="s">
        <v>778</v>
      </c>
    </row>
    <row r="68" spans="2:4">
      <c r="C68" s="16" t="s">
        <v>779</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520</v>
      </c>
    </row>
    <row r="79" spans="2:4">
      <c r="C79" s="4" t="s">
        <v>521</v>
      </c>
    </row>
    <row r="81" spans="3:3">
      <c r="C81" s="22" t="s">
        <v>391</v>
      </c>
    </row>
    <row r="82" spans="3:3">
      <c r="C82" s="4" t="s">
        <v>392</v>
      </c>
    </row>
    <row r="84" spans="3:3">
      <c r="C84" s="22" t="s">
        <v>393</v>
      </c>
    </row>
    <row r="85" spans="3:3">
      <c r="C85" s="4" t="s">
        <v>394</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478</v>
      </c>
    </row>
    <row r="99" spans="3:3">
      <c r="C99" s="22" t="s">
        <v>0</v>
      </c>
    </row>
    <row r="100" spans="3:3">
      <c r="C100" s="4" t="s">
        <v>1</v>
      </c>
    </row>
    <row r="102" spans="3:3">
      <c r="C102" s="22" t="s">
        <v>776</v>
      </c>
    </row>
    <row r="103" spans="3:3">
      <c r="C103" s="4" t="s">
        <v>777</v>
      </c>
    </row>
    <row r="105" spans="3:3">
      <c r="C105" s="22" t="s">
        <v>780</v>
      </c>
    </row>
    <row r="106" spans="3:3">
      <c r="C106" s="4" t="s">
        <v>781</v>
      </c>
    </row>
    <row r="108" spans="3:3">
      <c r="C108" s="22" t="s">
        <v>782</v>
      </c>
    </row>
    <row r="109" spans="3:3">
      <c r="C109" s="4" t="s">
        <v>783</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287</v>
      </c>
      <c r="C2" s="4" t="s">
        <v>602</v>
      </c>
    </row>
    <row r="3" spans="1:3">
      <c r="B3" s="4" t="s">
        <v>288</v>
      </c>
      <c r="C3" s="4" t="s">
        <v>25</v>
      </c>
    </row>
    <row r="4" spans="1:3">
      <c r="B4" s="4" t="s">
        <v>986</v>
      </c>
      <c r="C4" s="4" t="s">
        <v>584</v>
      </c>
    </row>
    <row r="5" spans="1:3">
      <c r="B5" s="4" t="s">
        <v>358</v>
      </c>
      <c r="C5" s="4" t="s">
        <v>585</v>
      </c>
    </row>
    <row r="6" spans="1:3">
      <c r="B6" s="4" t="s">
        <v>3</v>
      </c>
      <c r="C6" s="4" t="s">
        <v>17</v>
      </c>
    </row>
    <row r="7" spans="1:3">
      <c r="B7" s="4" t="s">
        <v>112</v>
      </c>
      <c r="C7" s="4" t="s">
        <v>19</v>
      </c>
    </row>
    <row r="8" spans="1:3">
      <c r="B8" s="4" t="s">
        <v>18</v>
      </c>
      <c r="C8" s="4" t="s">
        <v>475</v>
      </c>
    </row>
    <row r="9" spans="1:3">
      <c r="B9" s="4" t="s">
        <v>732</v>
      </c>
      <c r="C9" s="4" t="s">
        <v>499</v>
      </c>
    </row>
    <row r="10" spans="1:3">
      <c r="B10" s="4" t="s">
        <v>444</v>
      </c>
      <c r="C10" s="4" t="s">
        <v>618</v>
      </c>
    </row>
    <row r="11" spans="1:3">
      <c r="C11" s="4" t="s">
        <v>586</v>
      </c>
    </row>
    <row r="12" spans="1:3">
      <c r="B12" s="4" t="s">
        <v>10</v>
      </c>
      <c r="C12" s="4" t="s">
        <v>24</v>
      </c>
    </row>
    <row r="13" spans="1:3">
      <c r="C13" s="4" t="s">
        <v>26</v>
      </c>
    </row>
    <row r="14" spans="1:3">
      <c r="C14" s="4" t="s">
        <v>415</v>
      </c>
    </row>
    <row r="15" spans="1:3">
      <c r="C15" s="4" t="s">
        <v>474</v>
      </c>
    </row>
    <row r="16" spans="1:3">
      <c r="C16" s="4" t="s">
        <v>476</v>
      </c>
    </row>
    <row r="17" spans="2:6">
      <c r="D17" s="4" t="s">
        <v>1019</v>
      </c>
    </row>
    <row r="18" spans="2:6">
      <c r="B18" s="4" t="s">
        <v>1007</v>
      </c>
      <c r="C18" s="4" t="s">
        <v>293</v>
      </c>
    </row>
    <row r="19" spans="2:6">
      <c r="C19" s="4" t="s">
        <v>22</v>
      </c>
    </row>
    <row r="20" spans="2:6">
      <c r="C20" s="4" t="s">
        <v>768</v>
      </c>
    </row>
    <row r="21" spans="2:6">
      <c r="C21" s="4" t="s">
        <v>23</v>
      </c>
    </row>
    <row r="23" spans="2:6">
      <c r="C23" s="6" t="s">
        <v>769</v>
      </c>
      <c r="D23" s="6" t="s">
        <v>314</v>
      </c>
      <c r="E23" s="6" t="s">
        <v>319</v>
      </c>
      <c r="F23" s="6" t="s">
        <v>770</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601</v>
      </c>
    </row>
    <row r="3" spans="1:3">
      <c r="A3" s="10"/>
    </row>
    <row r="4" spans="1:3">
      <c r="C4" s="14" t="s">
        <v>153</v>
      </c>
    </row>
    <row r="5" spans="1:3">
      <c r="C5" s="14" t="s">
        <v>297</v>
      </c>
    </row>
    <row r="6" spans="1:3">
      <c r="C6" s="16" t="s">
        <v>969</v>
      </c>
    </row>
    <row r="7" spans="1:3">
      <c r="C7" s="14" t="s">
        <v>320</v>
      </c>
    </row>
    <row r="8" spans="1:3">
      <c r="C8" s="14" t="s">
        <v>968</v>
      </c>
    </row>
    <row r="9" spans="1:3">
      <c r="C9" s="14" t="s">
        <v>619</v>
      </c>
    </row>
    <row r="10" spans="1:3">
      <c r="C10" s="16" t="s">
        <v>829</v>
      </c>
    </row>
    <row r="11" spans="1:3">
      <c r="C11" s="16" t="s">
        <v>700</v>
      </c>
    </row>
    <row r="12" spans="1:3">
      <c r="C12" s="14" t="s">
        <v>37</v>
      </c>
    </row>
    <row r="13" spans="1:3">
      <c r="C13" s="16" t="s">
        <v>953</v>
      </c>
    </row>
    <row r="14" spans="1:3">
      <c r="C14" s="10" t="s">
        <v>678</v>
      </c>
    </row>
    <row r="15" spans="1:3">
      <c r="C15" s="16" t="s">
        <v>316</v>
      </c>
    </row>
    <row r="16" spans="1:3">
      <c r="C16" s="16" t="s">
        <v>21</v>
      </c>
    </row>
    <row r="17" spans="1:3">
      <c r="C17" s="16" t="s">
        <v>298</v>
      </c>
    </row>
    <row r="18" spans="1:3">
      <c r="C18" s="16" t="s">
        <v>803</v>
      </c>
    </row>
    <row r="19" spans="1:3">
      <c r="C19" s="16" t="s">
        <v>503</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492</v>
      </c>
    </row>
    <row r="31" spans="1:3">
      <c r="A31" s="10"/>
      <c r="C31" s="4" t="s">
        <v>493</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804</v>
      </c>
    </row>
    <row r="45" spans="2:2" ht="13.5">
      <c r="B45" s="56" t="s">
        <v>805</v>
      </c>
    </row>
    <row r="46" spans="2:2" ht="13.5">
      <c r="B46" s="56" t="s">
        <v>806</v>
      </c>
    </row>
    <row r="47" spans="2:2" ht="13.5">
      <c r="B47" s="56" t="s">
        <v>807</v>
      </c>
    </row>
    <row r="48" spans="2:2" ht="13.5">
      <c r="B48" s="56" t="s">
        <v>246</v>
      </c>
    </row>
    <row r="49" spans="2:2" ht="13.5">
      <c r="B49" s="56" t="s">
        <v>247</v>
      </c>
    </row>
    <row r="50" spans="2:2" ht="13.5">
      <c r="B50" s="56"/>
    </row>
    <row r="51" spans="2:2" ht="13.5">
      <c r="B51" s="56" t="s">
        <v>248</v>
      </c>
    </row>
    <row r="52" spans="2:2" ht="13.5">
      <c r="B52" s="56" t="s">
        <v>249</v>
      </c>
    </row>
    <row r="53" spans="2:2" ht="13.5">
      <c r="B53" s="56" t="s">
        <v>683</v>
      </c>
    </row>
    <row r="54" spans="2:2" ht="13.5">
      <c r="B54" s="56" t="s">
        <v>684</v>
      </c>
    </row>
    <row r="55" spans="2:2" ht="13.5">
      <c r="B55" s="56" t="s">
        <v>685</v>
      </c>
    </row>
    <row r="56" spans="2:2" ht="13.5">
      <c r="B56" s="56" t="s">
        <v>686</v>
      </c>
    </row>
    <row r="57" spans="2:2" ht="13.5">
      <c r="B57" s="56" t="s">
        <v>687</v>
      </c>
    </row>
    <row r="58" spans="2:2" ht="13.5">
      <c r="B58" s="56" t="s">
        <v>688</v>
      </c>
    </row>
    <row r="59" spans="2:2" ht="13.5">
      <c r="B59" s="56"/>
    </row>
    <row r="60" spans="2:2" ht="13.5">
      <c r="B60" s="56" t="s">
        <v>954</v>
      </c>
    </row>
    <row r="61" spans="2:2" ht="13.5">
      <c r="B61" s="56" t="s">
        <v>955</v>
      </c>
    </row>
    <row r="62" spans="2:2" ht="13.5">
      <c r="B62" s="56"/>
    </row>
    <row r="63" spans="2:2" ht="13.5">
      <c r="B63" s="56" t="s">
        <v>956</v>
      </c>
    </row>
    <row r="64" spans="2:2" ht="13.5">
      <c r="B64" s="56" t="s">
        <v>957</v>
      </c>
    </row>
    <row r="65" spans="2:2" ht="13.5">
      <c r="B65" s="56" t="s">
        <v>958</v>
      </c>
    </row>
    <row r="66" spans="2:2" ht="13.5">
      <c r="B66" s="56" t="s">
        <v>959</v>
      </c>
    </row>
    <row r="67" spans="2:2" ht="13.5">
      <c r="B67" s="56" t="s">
        <v>960</v>
      </c>
    </row>
    <row r="68" spans="2:2" ht="13.5">
      <c r="B68" s="56" t="s">
        <v>961</v>
      </c>
    </row>
    <row r="69" spans="2:2" ht="13.5">
      <c r="B69" s="56" t="s">
        <v>962</v>
      </c>
    </row>
    <row r="70" spans="2:2" ht="13.5">
      <c r="B70" s="56" t="s">
        <v>963</v>
      </c>
    </row>
    <row r="71" spans="2:2" ht="13.5">
      <c r="B71" s="56" t="s">
        <v>964</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816</v>
      </c>
    </row>
    <row r="80" spans="2:2" ht="13.5">
      <c r="B80" s="56" t="s">
        <v>817</v>
      </c>
    </row>
    <row r="81" spans="2:2" ht="13.5">
      <c r="B81" s="56"/>
    </row>
    <row r="82" spans="2:2" ht="13.5">
      <c r="B82" s="56" t="s">
        <v>818</v>
      </c>
    </row>
    <row r="83" spans="2:2" ht="13.5">
      <c r="B83" s="56" t="s">
        <v>819</v>
      </c>
    </row>
    <row r="84" spans="2:2" ht="13.5">
      <c r="B84" s="56" t="s">
        <v>820</v>
      </c>
    </row>
    <row r="85" spans="2:2" ht="13.5">
      <c r="B85" s="56" t="s">
        <v>821</v>
      </c>
    </row>
    <row r="86" spans="2:2" ht="13.5">
      <c r="B86" s="56" t="s">
        <v>822</v>
      </c>
    </row>
    <row r="87" spans="2:2" ht="13.5">
      <c r="B87" s="56" t="s">
        <v>704</v>
      </c>
    </row>
    <row r="88" spans="2:2" ht="13.5">
      <c r="B88" s="56" t="s">
        <v>705</v>
      </c>
    </row>
    <row r="89" spans="2:2" ht="13.5">
      <c r="B89" s="56"/>
    </row>
    <row r="90" spans="2:2" ht="13.5">
      <c r="B90" s="56" t="s">
        <v>707</v>
      </c>
    </row>
    <row r="91" spans="2:2" ht="13.5">
      <c r="B91" s="56" t="s">
        <v>708</v>
      </c>
    </row>
    <row r="93" spans="2:2">
      <c r="B93" s="57" t="s">
        <v>709</v>
      </c>
    </row>
    <row r="94" spans="2:2">
      <c r="B94" s="57" t="s">
        <v>710</v>
      </c>
    </row>
    <row r="95" spans="2:2">
      <c r="B95" s="57" t="s">
        <v>711</v>
      </c>
    </row>
    <row r="96" spans="2:2">
      <c r="B96" s="57" t="s">
        <v>712</v>
      </c>
    </row>
    <row r="97" spans="2:2">
      <c r="B97" s="57" t="s">
        <v>709</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B841A15-2A50-4D71-BDCC-63244230A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2024-09-25T18:15:39Z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