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FDA6F07-B35D-4EB7-9AA4-95F51FC615BC}" xr6:coauthVersionLast="47" xr6:coauthVersionMax="47" xr10:uidLastSave="{00000000-0000-0000-0000-000000000000}"/>
  <bookViews>
    <workbookView xWindow="-24255" yWindow="750" windowWidth="23310" windowHeight="18780" activeTab="1" xr2:uid="{6DD32C6D-029E-47B4-8C65-558DF8B757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K34" i="2"/>
  <c r="K38" i="2" s="1"/>
  <c r="K35" i="2"/>
  <c r="K29" i="2"/>
  <c r="E2" i="2"/>
  <c r="F2" i="2"/>
  <c r="G2" i="2"/>
  <c r="G13" i="2"/>
  <c r="G11" i="2"/>
  <c r="G9" i="2"/>
  <c r="G5" i="2"/>
  <c r="K13" i="2"/>
  <c r="K11" i="2"/>
  <c r="K18" i="2"/>
  <c r="K9" i="2"/>
  <c r="K5" i="2"/>
  <c r="D11" i="2"/>
  <c r="D9" i="2"/>
  <c r="D5" i="2"/>
  <c r="H11" i="2"/>
  <c r="H18" i="2"/>
  <c r="H9" i="2"/>
  <c r="H5" i="2"/>
  <c r="I18" i="2"/>
  <c r="J18" i="2"/>
  <c r="E13" i="2"/>
  <c r="E11" i="2"/>
  <c r="E9" i="2"/>
  <c r="E5" i="2"/>
  <c r="I13" i="2"/>
  <c r="I11" i="2"/>
  <c r="I9" i="2"/>
  <c r="I5" i="2"/>
  <c r="F41" i="2"/>
  <c r="J41" i="2"/>
  <c r="F40" i="2"/>
  <c r="J40" i="2"/>
  <c r="J42" i="2" s="1"/>
  <c r="F13" i="2"/>
  <c r="J13" i="2"/>
  <c r="F11" i="2"/>
  <c r="J11" i="2"/>
  <c r="F9" i="2"/>
  <c r="F5" i="2"/>
  <c r="J9" i="2"/>
  <c r="J5" i="2"/>
  <c r="M4" i="1"/>
  <c r="F42" i="2" l="1"/>
  <c r="E10" i="2"/>
  <c r="E12" i="2" s="1"/>
  <c r="E14" i="2" s="1"/>
  <c r="E15" i="2" s="1"/>
  <c r="G10" i="2"/>
  <c r="G12" i="2" s="1"/>
  <c r="G14" i="2" s="1"/>
  <c r="G15" i="2" s="1"/>
  <c r="K10" i="2"/>
  <c r="K12" i="2" s="1"/>
  <c r="K14" i="2" s="1"/>
  <c r="K15" i="2" s="1"/>
  <c r="D10" i="2"/>
  <c r="D12" i="2" s="1"/>
  <c r="D14" i="2" s="1"/>
  <c r="D15" i="2" s="1"/>
  <c r="H10" i="2"/>
  <c r="H12" i="2" s="1"/>
  <c r="H14" i="2" s="1"/>
  <c r="H15" i="2" s="1"/>
  <c r="I10" i="2"/>
  <c r="I12" i="2" s="1"/>
  <c r="I14" i="2" s="1"/>
  <c r="I15" i="2" s="1"/>
  <c r="F10" i="2"/>
  <c r="F12" i="2" s="1"/>
  <c r="F14" i="2" s="1"/>
  <c r="F15" i="2" s="1"/>
  <c r="J10" i="2"/>
  <c r="J12" i="2" s="1"/>
  <c r="J14" i="2" s="1"/>
  <c r="J15" i="2" s="1"/>
</calcChain>
</file>

<file path=xl/sharedStrings.xml><?xml version="1.0" encoding="utf-8"?>
<sst xmlns="http://schemas.openxmlformats.org/spreadsheetml/2006/main" count="43" uniqueCount="38">
  <si>
    <t>Price</t>
  </si>
  <si>
    <t>Shares</t>
  </si>
  <si>
    <t>MC</t>
  </si>
  <si>
    <t>Cash</t>
  </si>
  <si>
    <t>Debt</t>
  </si>
  <si>
    <t>EV</t>
  </si>
  <si>
    <t>Q124</t>
  </si>
  <si>
    <t>Main</t>
  </si>
  <si>
    <t>Revenue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</si>
  <si>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</si>
  <si>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</si>
  <si>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</si>
  <si>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</si>
  <si>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</si>
  <si>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</si>
  <si>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</si>
  <si>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Interest Expense</t>
  </si>
  <si>
    <t>Pretax Income</t>
  </si>
  <si>
    <t>Taxes</t>
  </si>
  <si>
    <t>Net Income</t>
  </si>
  <si>
    <t>EPS</t>
  </si>
  <si>
    <t>CFFO</t>
  </si>
  <si>
    <t>CapEx</t>
  </si>
  <si>
    <t>Revenue y/y</t>
  </si>
  <si>
    <t>SE</t>
  </si>
  <si>
    <t>L+SE</t>
  </si>
  <si>
    <t>AR</t>
  </si>
  <si>
    <t>Inventories</t>
  </si>
  <si>
    <t>Prepaids</t>
  </si>
  <si>
    <t>PP&amp;E</t>
  </si>
  <si>
    <t>DT</t>
  </si>
  <si>
    <t>Other Assets</t>
  </si>
  <si>
    <t>Assets</t>
  </si>
  <si>
    <t>AP</t>
  </si>
  <si>
    <t>AL</t>
  </si>
  <si>
    <t>DR</t>
  </si>
  <si>
    <t>OLTL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</si>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</sst>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76EC8A-3CFF-4F73-82AB-4B4C451F31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42AA-B6AF-4984-B54C-99A7CF3AFC68}">
  <dimension ref="L2:N7"/>
  <sheetViews>
    <sheetView zoomScale="160" zoomScaleNormal="160" workbookViewId="0">
      <selection activeCell="M5" sqref="M5"/>
    </sheetView>
  </sheetViews>
  <sheetFormatPr defaultRowHeight="12.75" x14ac:dyDescent="0.2"/>
  <sheetData>
    <row r="2" spans="12:14" x14ac:dyDescent="0.2">
      <c r="L2" t="s">
        <v>0</v>
      </c>
      <c r="M2" s="1">
        <v>461.61</v>
      </c>
    </row>
    <row r="3" spans="12:14" x14ac:dyDescent="0.2">
      <c r="L3" t="s">
        <v>1</v>
      </c>
      <c r="M3" s="3">
        <v>55.9</v>
      </c>
      <c r="N3" s="2" t="s">
        <v>6</v>
      </c>
    </row>
    <row r="4" spans="12:14" x14ac:dyDescent="0.2">
      <c r="L4" t="s">
        <v>2</v>
      </c>
      <c r="M4" s="3">
        <f>+M2*M3</f>
        <v>25803.999</v>
      </c>
    </row>
    <row r="5" spans="12:14" x14ac:dyDescent="0.2">
      <c r="L5" t="s">
        <v>3</v>
      </c>
      <c r="M5" s="3"/>
    </row>
    <row r="6" spans="12:14" x14ac:dyDescent="0.2">
      <c r="L6" t="s">
        <v>4</v>
      </c>
      <c r="M6" s="3"/>
    </row>
    <row r="7" spans="12:14" x14ac:dyDescent="0.2">
      <c r="L7" t="s">
        <v>5</v>
      </c>
      <c r="M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C7D-EA71-4C2B-9AB3-D1EA14327AC1}">
  <dimension ref="A1:M42"/>
  <sheetViews>
    <sheetView tabSelected="1" zoomScale="175" zoomScaleNormal="175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B22" sqref="B22"/>
    </sheetView>
  </sheetViews>
  <sheetFormatPr defaultRowHeight="12.75" x14ac:dyDescent="0.2"/>
  <cols>
    <col min="1" max="1" width="5" bestFit="1" customWidth="1"/>
    <col min="2" max="2" width="18.140625" bestFit="1" customWidth="1"/>
    <col min="3" max="8" width="9.140625" style="2"/>
    <col min="9" max="9" width="10.28515625" style="2" bestFit="1" customWidth="1"/>
    <col min="10" max="13" width="9.140625" style="2"/>
  </cols>
  <sheetData>
    <row r="1" spans="1:13" x14ac:dyDescent="0.2">
      <c r="A1" s="10" t="s">
        <v>7</v>
      </c>
    </row>
    <row r="2" spans="1:13" x14ac:dyDescent="0.2">
      <c r="D2" s="9">
        <v>44834</v>
      </c>
      <c r="E2" s="9">
        <f>+I2-366</f>
        <v>44925</v>
      </c>
      <c r="F2" s="9">
        <f>+J2-366</f>
        <v>45016</v>
      </c>
      <c r="G2" s="9">
        <f>+K2-366</f>
        <v>45107</v>
      </c>
      <c r="H2" s="9">
        <v>45199</v>
      </c>
      <c r="I2" s="9">
        <v>45291</v>
      </c>
      <c r="J2" s="9">
        <v>45382</v>
      </c>
      <c r="K2" s="9">
        <v>45473</v>
      </c>
    </row>
    <row r="3" spans="1:13" s="5" customFormat="1" x14ac:dyDescent="0.2">
      <c r="B3" s="5" t="s">
        <v>8</v>
      </c>
      <c r="C3" s="6"/>
      <c r="D3" s="6">
        <v>1852.13</v>
      </c>
      <c r="E3" s="6">
        <v>1803.1949999999999</v>
      </c>
      <c r="F3" s="6">
        <v>1283.296</v>
      </c>
      <c r="G3" s="6">
        <v>2184.8609999999999</v>
      </c>
      <c r="H3" s="6">
        <v>2119.672</v>
      </c>
      <c r="I3" s="6">
        <v>3664.924</v>
      </c>
      <c r="J3" s="6">
        <v>3850.0659999999998</v>
      </c>
      <c r="K3" s="6">
        <v>5308.192</v>
      </c>
      <c r="L3" s="6"/>
      <c r="M3" s="6"/>
    </row>
    <row r="4" spans="1:13" s="3" customFormat="1" x14ac:dyDescent="0.2">
      <c r="B4" s="3" t="s">
        <v>11</v>
      </c>
      <c r="C4" s="4"/>
      <c r="D4" s="4">
        <v>1504.595</v>
      </c>
      <c r="E4" s="4">
        <v>1465.7729999999999</v>
      </c>
      <c r="F4" s="4">
        <v>1056.9369999999999</v>
      </c>
      <c r="G4" s="4">
        <v>1813.165</v>
      </c>
      <c r="H4" s="4">
        <v>1765.981</v>
      </c>
      <c r="I4" s="4">
        <v>3100.6019999999999</v>
      </c>
      <c r="J4" s="4">
        <v>3252.6979999999999</v>
      </c>
      <c r="K4" s="4">
        <v>4711.8440000000001</v>
      </c>
      <c r="L4" s="4"/>
      <c r="M4" s="4"/>
    </row>
    <row r="5" spans="1:13" s="3" customFormat="1" x14ac:dyDescent="0.2">
      <c r="B5" s="3" t="s">
        <v>12</v>
      </c>
      <c r="C5" s="4"/>
      <c r="D5" s="4">
        <f>+D3-D4</f>
        <v>347.53500000000008</v>
      </c>
      <c r="E5" s="4">
        <f>+E3-E4</f>
        <v>337.42200000000003</v>
      </c>
      <c r="F5" s="4">
        <f>+F3-F4</f>
        <v>226.35900000000015</v>
      </c>
      <c r="G5" s="4">
        <f>+G3-G4</f>
        <v>371.69599999999991</v>
      </c>
      <c r="H5" s="4">
        <f>+H3-H4</f>
        <v>353.69100000000003</v>
      </c>
      <c r="I5" s="4">
        <f>+I3-I4</f>
        <v>564.32200000000012</v>
      </c>
      <c r="J5" s="4">
        <f>+J3-J4</f>
        <v>597.36799999999994</v>
      </c>
      <c r="K5" s="4">
        <f>+K3-K4</f>
        <v>596.34799999999996</v>
      </c>
      <c r="L5" s="4"/>
      <c r="M5" s="4"/>
    </row>
    <row r="6" spans="1:13" s="3" customFormat="1" x14ac:dyDescent="0.2">
      <c r="B6" s="3" t="s">
        <v>13</v>
      </c>
      <c r="C6" s="4"/>
      <c r="D6" s="4">
        <v>74.242999999999995</v>
      </c>
      <c r="E6" s="4">
        <v>70.7</v>
      </c>
      <c r="F6" s="4">
        <v>77.515000000000001</v>
      </c>
      <c r="G6" s="4">
        <v>84.802000000000007</v>
      </c>
      <c r="H6" s="4">
        <v>111.027</v>
      </c>
      <c r="I6" s="4">
        <v>108.824</v>
      </c>
      <c r="J6" s="4">
        <v>116.226</v>
      </c>
      <c r="K6" s="4">
        <v>126.849</v>
      </c>
      <c r="L6" s="4"/>
      <c r="M6" s="4"/>
    </row>
    <row r="7" spans="1:13" s="3" customFormat="1" x14ac:dyDescent="0.2">
      <c r="B7" s="3" t="s">
        <v>14</v>
      </c>
      <c r="C7" s="4"/>
      <c r="D7" s="4">
        <v>29.363</v>
      </c>
      <c r="E7" s="4">
        <v>28.445</v>
      </c>
      <c r="F7" s="4">
        <v>25.312000000000001</v>
      </c>
      <c r="G7" s="4">
        <v>31.905000000000001</v>
      </c>
      <c r="H7" s="4">
        <v>37.229999999999997</v>
      </c>
      <c r="I7" s="4">
        <v>46.853999999999999</v>
      </c>
      <c r="J7" s="4">
        <v>49.691000000000003</v>
      </c>
      <c r="K7" s="4">
        <v>55.74</v>
      </c>
      <c r="L7" s="4"/>
      <c r="M7" s="4"/>
    </row>
    <row r="8" spans="1:13" s="3" customFormat="1" x14ac:dyDescent="0.2">
      <c r="B8" s="3" t="s">
        <v>15</v>
      </c>
      <c r="C8" s="4"/>
      <c r="D8" s="4">
        <v>23.806000000000001</v>
      </c>
      <c r="E8" s="4">
        <v>23.094999999999999</v>
      </c>
      <c r="F8" s="4">
        <v>24.45</v>
      </c>
      <c r="G8" s="4">
        <v>28.234000000000002</v>
      </c>
      <c r="H8" s="4">
        <v>32.923999999999999</v>
      </c>
      <c r="I8" s="4">
        <v>37.18</v>
      </c>
      <c r="J8" s="4">
        <v>53.137</v>
      </c>
      <c r="K8" s="4">
        <v>70.355000000000004</v>
      </c>
      <c r="L8" s="4"/>
      <c r="M8" s="4"/>
    </row>
    <row r="9" spans="1:13" s="3" customFormat="1" x14ac:dyDescent="0.2">
      <c r="B9" s="3" t="s">
        <v>9</v>
      </c>
      <c r="C9" s="4"/>
      <c r="D9" s="4">
        <f>SUM(D6:D8)</f>
        <v>127.41199999999999</v>
      </c>
      <c r="E9" s="4">
        <f>SUM(E6:E8)</f>
        <v>122.24000000000001</v>
      </c>
      <c r="F9" s="4">
        <f>SUM(F6:F8)</f>
        <v>127.277</v>
      </c>
      <c r="G9" s="4">
        <f>SUM(G6:G8)</f>
        <v>144.941</v>
      </c>
      <c r="H9" s="4">
        <f>SUM(H6:H8)</f>
        <v>181.18100000000001</v>
      </c>
      <c r="I9" s="4">
        <f>SUM(I6:I8)</f>
        <v>192.858</v>
      </c>
      <c r="J9" s="4">
        <f>SUM(J6:J8)</f>
        <v>219.054</v>
      </c>
      <c r="K9" s="4">
        <f>SUM(K6:K8)</f>
        <v>252.94400000000002</v>
      </c>
      <c r="L9" s="4"/>
      <c r="M9" s="4"/>
    </row>
    <row r="10" spans="1:13" s="3" customFormat="1" x14ac:dyDescent="0.2">
      <c r="B10" s="3" t="s">
        <v>10</v>
      </c>
      <c r="C10" s="4"/>
      <c r="D10" s="4">
        <f>+D5-D9</f>
        <v>220.1230000000001</v>
      </c>
      <c r="E10" s="4">
        <f>+E5-E9</f>
        <v>215.18200000000002</v>
      </c>
      <c r="F10" s="4">
        <f>+F5-F9</f>
        <v>99.08200000000015</v>
      </c>
      <c r="G10" s="4">
        <f>+G5-G9</f>
        <v>226.75499999999991</v>
      </c>
      <c r="H10" s="4">
        <f>+H5-H9</f>
        <v>172.51000000000002</v>
      </c>
      <c r="I10" s="4">
        <f>+I5-I9</f>
        <v>371.46400000000011</v>
      </c>
      <c r="J10" s="4">
        <f>+J5-J9</f>
        <v>378.31399999999996</v>
      </c>
      <c r="K10" s="4">
        <f>+K5-K9</f>
        <v>343.40399999999994</v>
      </c>
      <c r="L10" s="4"/>
      <c r="M10" s="4"/>
    </row>
    <row r="11" spans="1:13" s="3" customFormat="1" x14ac:dyDescent="0.2">
      <c r="B11" s="3" t="s">
        <v>16</v>
      </c>
      <c r="C11" s="4"/>
      <c r="D11" s="4">
        <f>8.054-3.938</f>
        <v>4.1159999999999997</v>
      </c>
      <c r="E11" s="4">
        <f>-6.335-1.756</f>
        <v>-8.0909999999999993</v>
      </c>
      <c r="F11" s="4">
        <f>-1.288-0.078</f>
        <v>-1.3660000000000001</v>
      </c>
      <c r="G11" s="4">
        <f>2.005-3.509</f>
        <v>-1.504</v>
      </c>
      <c r="H11" s="4">
        <f>6.613-1.863</f>
        <v>4.75</v>
      </c>
      <c r="I11" s="4">
        <f>-7.886-8.131</f>
        <v>-16.016999999999999</v>
      </c>
      <c r="J11" s="4">
        <f>10.035-6.246</f>
        <v>3.7889999999999997</v>
      </c>
      <c r="K11" s="4">
        <f>13.955-3.112</f>
        <v>10.843</v>
      </c>
      <c r="L11" s="4"/>
      <c r="M11" s="4"/>
    </row>
    <row r="12" spans="1:13" s="3" customFormat="1" x14ac:dyDescent="0.2">
      <c r="B12" s="3" t="s">
        <v>17</v>
      </c>
      <c r="C12" s="4"/>
      <c r="D12" s="4">
        <f>+D10+D11</f>
        <v>224.23900000000009</v>
      </c>
      <c r="E12" s="4">
        <f>+E10+E11</f>
        <v>207.09100000000001</v>
      </c>
      <c r="F12" s="4">
        <f>+F10+F11</f>
        <v>97.71600000000015</v>
      </c>
      <c r="G12" s="4">
        <f>+G10+G11</f>
        <v>225.25099999999992</v>
      </c>
      <c r="H12" s="4">
        <f>+H10+H11</f>
        <v>177.26000000000002</v>
      </c>
      <c r="I12" s="4">
        <f>+I10+I11</f>
        <v>355.44700000000012</v>
      </c>
      <c r="J12" s="4">
        <f>+J10+J11</f>
        <v>382.10299999999995</v>
      </c>
      <c r="K12" s="4">
        <f>+K10+K11</f>
        <v>354.24699999999996</v>
      </c>
      <c r="L12" s="4"/>
      <c r="M12" s="4"/>
    </row>
    <row r="13" spans="1:13" s="3" customFormat="1" x14ac:dyDescent="0.2">
      <c r="B13" s="3" t="s">
        <v>18</v>
      </c>
      <c r="C13" s="4"/>
      <c r="D13" s="4">
        <v>38.933999999999997</v>
      </c>
      <c r="E13" s="4">
        <f>29.573+1.351</f>
        <v>30.923999999999999</v>
      </c>
      <c r="F13" s="4">
        <f>10.857+1.013</f>
        <v>11.87</v>
      </c>
      <c r="G13" s="4">
        <f>31.302+0.38</f>
        <v>31.681999999999999</v>
      </c>
      <c r="H13" s="4">
        <v>20.215</v>
      </c>
      <c r="I13" s="4">
        <f>61.503-2.024</f>
        <v>59.478999999999999</v>
      </c>
      <c r="J13" s="4">
        <f>-19.983-0.373</f>
        <v>-20.356000000000002</v>
      </c>
      <c r="K13" s="4">
        <f>0.994+0.526</f>
        <v>1.52</v>
      </c>
      <c r="L13" s="4"/>
      <c r="M13" s="4"/>
    </row>
    <row r="14" spans="1:13" s="3" customFormat="1" x14ac:dyDescent="0.2">
      <c r="B14" s="3" t="s">
        <v>19</v>
      </c>
      <c r="C14" s="4"/>
      <c r="D14" s="4">
        <f>+D12-D13</f>
        <v>185.30500000000009</v>
      </c>
      <c r="E14" s="4">
        <f>+E12-E13</f>
        <v>176.167</v>
      </c>
      <c r="F14" s="4">
        <f>+F12-F13</f>
        <v>85.846000000000146</v>
      </c>
      <c r="G14" s="4">
        <f>+G12-G13</f>
        <v>193.56899999999993</v>
      </c>
      <c r="H14" s="4">
        <f>+H12-H13</f>
        <v>157.04500000000002</v>
      </c>
      <c r="I14" s="4">
        <f>+I12-I13</f>
        <v>295.96800000000013</v>
      </c>
      <c r="J14" s="4">
        <f>+J12-J13</f>
        <v>402.45899999999995</v>
      </c>
      <c r="K14" s="4">
        <f>+K12-K13</f>
        <v>352.72699999999998</v>
      </c>
      <c r="L14" s="4"/>
      <c r="M14" s="4"/>
    </row>
    <row r="15" spans="1:13" x14ac:dyDescent="0.2">
      <c r="B15" s="3" t="s">
        <v>20</v>
      </c>
      <c r="C15" s="7"/>
      <c r="D15" s="7">
        <f>+D14/D16</f>
        <v>3.3681407564934491</v>
      </c>
      <c r="E15" s="7">
        <f>+E14/E16</f>
        <v>3.137770732402394</v>
      </c>
      <c r="F15" s="7">
        <f>+F14/F16</f>
        <v>1.5266124873295066</v>
      </c>
      <c r="G15" s="7">
        <f>+G14/G16</f>
        <v>3.4256968409875217</v>
      </c>
      <c r="H15" s="7">
        <f>+H14/H16</f>
        <v>2.7462621316778879</v>
      </c>
      <c r="I15" s="7">
        <f>+I14/I16</f>
        <v>5.0960432521781076</v>
      </c>
      <c r="J15" s="7">
        <f>+J14/J16</f>
        <v>6.5513991307320403</v>
      </c>
      <c r="K15" s="7">
        <f>+K14/K16</f>
        <v>5.493505482182905</v>
      </c>
    </row>
    <row r="16" spans="1:13" s="3" customFormat="1" x14ac:dyDescent="0.2">
      <c r="B16" s="3" t="s">
        <v>1</v>
      </c>
      <c r="C16" s="4"/>
      <c r="D16" s="4">
        <v>55.017000000000003</v>
      </c>
      <c r="E16" s="4">
        <v>56.143999999999998</v>
      </c>
      <c r="F16" s="4">
        <v>56.232999999999997</v>
      </c>
      <c r="G16" s="4">
        <v>56.505000000000003</v>
      </c>
      <c r="H16" s="4">
        <v>57.185000000000002</v>
      </c>
      <c r="I16" s="4">
        <v>58.078000000000003</v>
      </c>
      <c r="J16" s="4">
        <v>61.430999999999997</v>
      </c>
      <c r="K16" s="4">
        <v>64.207999999999998</v>
      </c>
      <c r="L16" s="4"/>
      <c r="M16" s="4"/>
    </row>
    <row r="18" spans="2:13" x14ac:dyDescent="0.2">
      <c r="B18" s="3" t="s">
        <v>23</v>
      </c>
      <c r="H18" s="8">
        <f>+H3/D3-1</f>
        <v>0.14445098346228402</v>
      </c>
      <c r="I18" s="8">
        <f>+I3/E3-1</f>
        <v>1.0324612701344003</v>
      </c>
      <c r="J18" s="8">
        <f>+J3/F3-1</f>
        <v>2.0001387053337654</v>
      </c>
      <c r="K18" s="8">
        <f>+K3/G3-1</f>
        <v>1.4295330458093218</v>
      </c>
    </row>
    <row r="19" spans="2:13" x14ac:dyDescent="0.2">
      <c r="B19" s="3"/>
      <c r="H19" s="8"/>
      <c r="I19" s="8"/>
      <c r="J19" s="8"/>
      <c r="K19" s="8"/>
    </row>
    <row r="20" spans="2:13" x14ac:dyDescent="0.2">
      <c r="B20" s="3"/>
      <c r="H20" s="8"/>
      <c r="I20" s="8"/>
      <c r="J20" s="8"/>
      <c r="K20" s="8"/>
    </row>
    <row r="21" spans="2:13" x14ac:dyDescent="0.2">
      <c r="B21" s="3" t="s">
        <v>37</v>
      </c>
      <c r="H21" s="8"/>
      <c r="I21" s="8"/>
      <c r="J21" s="8"/>
      <c r="K21" s="4">
        <f>K22-K34</f>
        <v>-504.37899999999991</v>
      </c>
    </row>
    <row r="22" spans="2:13" s="3" customFormat="1" x14ac:dyDescent="0.2"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>
        <v>1669.7660000000001</v>
      </c>
      <c r="L22" s="4"/>
      <c r="M22" s="4"/>
    </row>
    <row r="23" spans="2:13" s="3" customFormat="1" x14ac:dyDescent="0.2">
      <c r="B23" s="3" t="s">
        <v>26</v>
      </c>
      <c r="C23" s="4"/>
      <c r="D23" s="4"/>
      <c r="E23" s="4"/>
      <c r="F23" s="4"/>
      <c r="G23" s="4"/>
      <c r="H23" s="4"/>
      <c r="I23" s="4"/>
      <c r="J23" s="4"/>
      <c r="K23" s="4">
        <v>2668.415</v>
      </c>
      <c r="L23" s="4"/>
      <c r="M23" s="4"/>
    </row>
    <row r="24" spans="2:13" s="3" customFormat="1" x14ac:dyDescent="0.2">
      <c r="B24" s="3" t="s">
        <v>27</v>
      </c>
      <c r="C24" s="4"/>
      <c r="D24" s="4"/>
      <c r="E24" s="4"/>
      <c r="F24" s="4"/>
      <c r="G24" s="4"/>
      <c r="H24" s="4"/>
      <c r="I24" s="4"/>
      <c r="J24" s="4"/>
      <c r="K24" s="4">
        <v>4407.9719999999998</v>
      </c>
      <c r="L24" s="4"/>
      <c r="M24" s="4"/>
    </row>
    <row r="25" spans="2:13" s="3" customFormat="1" x14ac:dyDescent="0.2">
      <c r="B25" s="3" t="s">
        <v>28</v>
      </c>
      <c r="C25" s="4"/>
      <c r="D25" s="4"/>
      <c r="E25" s="4"/>
      <c r="F25" s="4"/>
      <c r="G25" s="4"/>
      <c r="H25" s="4"/>
      <c r="I25" s="4"/>
      <c r="J25" s="4"/>
      <c r="K25" s="4">
        <v>308.471</v>
      </c>
      <c r="L25" s="4"/>
      <c r="M25" s="4"/>
    </row>
    <row r="26" spans="2:13" s="3" customFormat="1" x14ac:dyDescent="0.2">
      <c r="B26" s="3" t="s">
        <v>29</v>
      </c>
      <c r="C26" s="4"/>
      <c r="D26" s="4"/>
      <c r="E26" s="4"/>
      <c r="F26" s="4"/>
      <c r="G26" s="4"/>
      <c r="H26" s="4"/>
      <c r="I26" s="4"/>
      <c r="J26" s="4"/>
      <c r="K26" s="4">
        <v>414.00799999999998</v>
      </c>
      <c r="L26" s="4"/>
      <c r="M26" s="4"/>
    </row>
    <row r="27" spans="2:13" s="3" customFormat="1" x14ac:dyDescent="0.2">
      <c r="B27" s="3" t="s">
        <v>30</v>
      </c>
      <c r="C27" s="4"/>
      <c r="D27" s="4"/>
      <c r="E27" s="4"/>
      <c r="F27" s="4"/>
      <c r="G27" s="4"/>
      <c r="H27" s="4"/>
      <c r="I27" s="4"/>
      <c r="J27" s="4"/>
      <c r="K27" s="4">
        <v>359.65600000000001</v>
      </c>
      <c r="L27" s="4"/>
      <c r="M27" s="4"/>
    </row>
    <row r="28" spans="2:13" s="3" customFormat="1" x14ac:dyDescent="0.2">
      <c r="B28" s="3" t="s">
        <v>31</v>
      </c>
      <c r="C28" s="4"/>
      <c r="D28" s="4"/>
      <c r="E28" s="4"/>
      <c r="F28" s="4"/>
      <c r="G28" s="4"/>
      <c r="H28" s="4"/>
      <c r="I28" s="4"/>
      <c r="J28" s="4"/>
      <c r="K28" s="4">
        <v>114.952</v>
      </c>
      <c r="L28" s="4"/>
      <c r="M28" s="4"/>
    </row>
    <row r="29" spans="2:13" s="3" customFormat="1" x14ac:dyDescent="0.2">
      <c r="B29" s="3" t="s">
        <v>32</v>
      </c>
      <c r="C29" s="4"/>
      <c r="D29" s="4"/>
      <c r="E29" s="4"/>
      <c r="F29" s="4"/>
      <c r="G29" s="4"/>
      <c r="H29" s="4"/>
      <c r="I29" s="4"/>
      <c r="J29" s="4"/>
      <c r="K29" s="4">
        <f>SUM(K22:K28)</f>
        <v>9943.24</v>
      </c>
      <c r="L29" s="4"/>
      <c r="M29" s="4"/>
    </row>
    <row r="30" spans="2:13" s="3" customForma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s="3" customFormat="1" x14ac:dyDescent="0.2">
      <c r="B31" s="3" t="s">
        <v>33</v>
      </c>
      <c r="C31" s="4"/>
      <c r="D31" s="4"/>
      <c r="E31" s="4"/>
      <c r="F31" s="4"/>
      <c r="G31" s="4"/>
      <c r="H31" s="4"/>
      <c r="I31" s="4"/>
      <c r="J31" s="4"/>
      <c r="K31" s="4">
        <v>1545.05</v>
      </c>
      <c r="L31" s="4"/>
      <c r="M31" s="4"/>
    </row>
    <row r="32" spans="2:13" s="3" customFormat="1" x14ac:dyDescent="0.2">
      <c r="B32" s="3" t="s">
        <v>34</v>
      </c>
      <c r="C32" s="4"/>
      <c r="D32" s="4"/>
      <c r="E32" s="4"/>
      <c r="F32" s="4"/>
      <c r="G32" s="4"/>
      <c r="H32" s="4"/>
      <c r="I32" s="4"/>
      <c r="J32" s="4"/>
      <c r="K32" s="4">
        <v>237.92099999999999</v>
      </c>
      <c r="L32" s="4"/>
      <c r="M32" s="4"/>
    </row>
    <row r="33" spans="2:13" s="3" customFormat="1" x14ac:dyDescent="0.2">
      <c r="B33" s="3" t="s">
        <v>18</v>
      </c>
      <c r="C33" s="4"/>
      <c r="D33" s="4"/>
      <c r="E33" s="4"/>
      <c r="F33" s="4"/>
      <c r="G33" s="4"/>
      <c r="H33" s="4"/>
      <c r="I33" s="4"/>
      <c r="J33" s="4"/>
      <c r="K33" s="4">
        <v>18.268000000000001</v>
      </c>
      <c r="L33" s="4"/>
      <c r="M33" s="4"/>
    </row>
    <row r="34" spans="2:13" s="3" customFormat="1" x14ac:dyDescent="0.2">
      <c r="B34" s="3" t="s">
        <v>4</v>
      </c>
      <c r="C34" s="4"/>
      <c r="D34" s="4"/>
      <c r="E34" s="4"/>
      <c r="F34" s="4"/>
      <c r="G34" s="4"/>
      <c r="H34" s="4"/>
      <c r="I34" s="4"/>
      <c r="J34" s="4"/>
      <c r="K34" s="4">
        <f>402.346+1697.716+74.083</f>
        <v>2174.145</v>
      </c>
      <c r="L34" s="4"/>
      <c r="M34" s="4"/>
    </row>
    <row r="35" spans="2:13" s="3" customFormat="1" x14ac:dyDescent="0.2">
      <c r="B35" s="3" t="s">
        <v>35</v>
      </c>
      <c r="C35" s="4"/>
      <c r="D35" s="4"/>
      <c r="E35" s="4"/>
      <c r="F35" s="4"/>
      <c r="G35" s="4"/>
      <c r="H35" s="4"/>
      <c r="I35" s="4"/>
      <c r="J35" s="4"/>
      <c r="K35" s="4">
        <f>200.36+226.493</f>
        <v>426.85300000000001</v>
      </c>
      <c r="L35" s="4"/>
      <c r="M35" s="4"/>
    </row>
    <row r="36" spans="2:13" s="3" customFormat="1" x14ac:dyDescent="0.2">
      <c r="B36" s="3" t="s">
        <v>36</v>
      </c>
      <c r="C36" s="4"/>
      <c r="D36" s="4"/>
      <c r="E36" s="4"/>
      <c r="F36" s="4"/>
      <c r="G36" s="4"/>
      <c r="H36" s="4"/>
      <c r="I36" s="4"/>
      <c r="J36" s="4"/>
      <c r="K36" s="4">
        <v>71.343000000000004</v>
      </c>
      <c r="L36" s="4"/>
      <c r="M36" s="4"/>
    </row>
    <row r="37" spans="2:13" s="3" customFormat="1" x14ac:dyDescent="0.2">
      <c r="B37" s="3" t="s">
        <v>24</v>
      </c>
      <c r="C37" s="4"/>
      <c r="D37" s="4"/>
      <c r="E37" s="4"/>
      <c r="F37" s="4"/>
      <c r="G37" s="4"/>
      <c r="H37" s="4"/>
      <c r="I37" s="4"/>
      <c r="J37" s="4"/>
      <c r="K37" s="4">
        <v>5469.66</v>
      </c>
      <c r="L37" s="4"/>
      <c r="M37" s="4"/>
    </row>
    <row r="38" spans="2:13" s="3" customFormat="1" x14ac:dyDescent="0.2">
      <c r="B38" s="3" t="s">
        <v>25</v>
      </c>
      <c r="C38" s="4"/>
      <c r="D38" s="4"/>
      <c r="E38" s="4"/>
      <c r="F38" s="4"/>
      <c r="G38" s="4"/>
      <c r="H38" s="4"/>
      <c r="I38" s="4"/>
      <c r="J38" s="4"/>
      <c r="K38" s="4">
        <f>SUM(K31:K37)</f>
        <v>9943.24</v>
      </c>
      <c r="L38" s="4"/>
      <c r="M38" s="4"/>
    </row>
    <row r="40" spans="2:13" s="3" customFormat="1" x14ac:dyDescent="0.2">
      <c r="B40" s="3" t="s">
        <v>21</v>
      </c>
      <c r="C40" s="4"/>
      <c r="D40" s="4"/>
      <c r="E40" s="4"/>
      <c r="F40" s="4">
        <f>672.919-E40-D40</f>
        <v>672.91899999999998</v>
      </c>
      <c r="G40" s="4"/>
      <c r="H40" s="4"/>
      <c r="I40" s="4"/>
      <c r="J40" s="4">
        <f>-1844.158-I40-H40</f>
        <v>-1844.1579999999999</v>
      </c>
      <c r="K40" s="4"/>
      <c r="L40" s="4"/>
      <c r="M40" s="4"/>
    </row>
    <row r="41" spans="2:13" x14ac:dyDescent="0.2">
      <c r="B41" s="3" t="s">
        <v>22</v>
      </c>
      <c r="F41" s="4">
        <f>-28.618-E41-D41</f>
        <v>-28.617999999999999</v>
      </c>
      <c r="J41" s="4">
        <f>-110.296-I41-H41</f>
        <v>-110.29600000000001</v>
      </c>
    </row>
    <row r="42" spans="2:13" x14ac:dyDescent="0.2">
      <c r="B42" s="3" t="s">
        <v>19</v>
      </c>
      <c r="F42" s="4">
        <f>+F40+F41</f>
        <v>644.30099999999993</v>
      </c>
      <c r="J42" s="4">
        <f>+J40+J41</f>
        <v>-1954.454</v>
      </c>
    </row>
  </sheetData>
  <hyperlinks>
    <hyperlink ref="A1" location="Main!A1" display="Main" xr:uid="{9F477CC9-B30D-45D6-97C3-550BD0D88C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2024-09-26T04:15:39Z</dcterms:created>
  <dcterms:modified xsi:type="dcterms:W3CDTF">2024-09-26T06:51:25Z</dcterms:modified>
</cp:coreProperties>
</file>