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D2DFC53-E4AE-4C77-BFCF-EED23C21D611}" xr6:coauthVersionLast="47" xr6:coauthVersionMax="47" xr10:uidLastSave="{00000000-0000-0000-0000-000000000000}"/>
  <bookViews>
    <workbookView xWindow="-51720" yWindow="-120" windowWidth="51840" windowHeight="21120" activeTab="1" xr2:uid="{8D27557D-2DB7-4671-BB85-E2F62711DC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" i="2" l="1"/>
  <c r="AH27" i="2"/>
  <c r="AG27" i="2"/>
  <c r="AI26" i="2"/>
  <c r="R34" i="2"/>
  <c r="AL34" i="2"/>
  <c r="AM34" i="2" s="1"/>
  <c r="AN34" i="2" s="1"/>
  <c r="AO34" i="2" s="1"/>
  <c r="AP34" i="2" s="1"/>
  <c r="AQ34" i="2" s="1"/>
  <c r="AK34" i="2"/>
  <c r="AJ34" i="2"/>
  <c r="N3" i="1"/>
  <c r="N4" i="1" s="1"/>
  <c r="N7" i="1" s="1"/>
  <c r="AL35" i="2"/>
  <c r="AM35" i="2" s="1"/>
  <c r="AN35" i="2" s="1"/>
  <c r="AO35" i="2" s="1"/>
  <c r="AP35" i="2" s="1"/>
  <c r="AQ35" i="2" s="1"/>
  <c r="AK35" i="2"/>
  <c r="AJ44" i="2"/>
  <c r="AJ42" i="2"/>
  <c r="AJ37" i="2"/>
  <c r="AK37" i="2" s="1"/>
  <c r="AL37" i="2" s="1"/>
  <c r="AM37" i="2" s="1"/>
  <c r="AN37" i="2" s="1"/>
  <c r="AO37" i="2" s="1"/>
  <c r="AP37" i="2" s="1"/>
  <c r="AQ37" i="2" s="1"/>
  <c r="AJ35" i="2"/>
  <c r="AI31" i="2"/>
  <c r="AI30" i="2"/>
  <c r="AI35" i="2"/>
  <c r="Q60" i="2"/>
  <c r="P60" i="2"/>
  <c r="Q81" i="2"/>
  <c r="Q76" i="2"/>
  <c r="Q75" i="2"/>
  <c r="Q74" i="2"/>
  <c r="Q69" i="2"/>
  <c r="Q66" i="2"/>
  <c r="Q61" i="2"/>
  <c r="Q57" i="2"/>
  <c r="Q42" i="2"/>
  <c r="Q40" i="2"/>
  <c r="U26" i="2"/>
  <c r="U34" i="2" s="1"/>
  <c r="U35" i="2" s="1"/>
  <c r="T26" i="2"/>
  <c r="S26" i="2"/>
  <c r="S34" i="2" s="1"/>
  <c r="S35" i="2" s="1"/>
  <c r="R26" i="2"/>
  <c r="O28" i="2"/>
  <c r="Q27" i="2"/>
  <c r="P27" i="2"/>
  <c r="Q34" i="2"/>
  <c r="Q41" i="2" s="1"/>
  <c r="S47" i="2"/>
  <c r="T47" i="2" s="1"/>
  <c r="U47" i="2" s="1"/>
  <c r="V47" i="2" s="1"/>
  <c r="AI47" i="2"/>
  <c r="T35" i="2"/>
  <c r="V34" i="2"/>
  <c r="V35" i="2" s="1"/>
  <c r="T34" i="2"/>
  <c r="F28" i="2"/>
  <c r="V26" i="2"/>
  <c r="L14" i="2"/>
  <c r="P14" i="2"/>
  <c r="L24" i="2"/>
  <c r="P24" i="2"/>
  <c r="L20" i="2"/>
  <c r="P20" i="2"/>
  <c r="P51" i="2"/>
  <c r="P105" i="2"/>
  <c r="P106" i="2"/>
  <c r="P104" i="2"/>
  <c r="P103" i="2"/>
  <c r="P102" i="2"/>
  <c r="P98" i="2"/>
  <c r="P97" i="2"/>
  <c r="P96" i="2"/>
  <c r="P95" i="2"/>
  <c r="P94" i="2"/>
  <c r="P93" i="2"/>
  <c r="P91" i="2"/>
  <c r="P90" i="2"/>
  <c r="P89" i="2"/>
  <c r="P88" i="2"/>
  <c r="P86" i="2"/>
  <c r="P85" i="2"/>
  <c r="P84" i="2"/>
  <c r="P76" i="2"/>
  <c r="P75" i="2"/>
  <c r="P74" i="2"/>
  <c r="P81" i="2" s="1"/>
  <c r="P66" i="2"/>
  <c r="P61" i="2"/>
  <c r="P42" i="2"/>
  <c r="L92" i="2"/>
  <c r="L91" i="2"/>
  <c r="L90" i="2"/>
  <c r="L86" i="2"/>
  <c r="L85" i="2"/>
  <c r="L84" i="2"/>
  <c r="L99" i="2"/>
  <c r="K99" i="2"/>
  <c r="K100" i="2" s="1"/>
  <c r="K76" i="2"/>
  <c r="K75" i="2"/>
  <c r="K74" i="2"/>
  <c r="K66" i="2"/>
  <c r="K61" i="2"/>
  <c r="K69" i="2" s="1"/>
  <c r="K81" i="2"/>
  <c r="L76" i="2"/>
  <c r="L75" i="2"/>
  <c r="L74" i="2"/>
  <c r="L66" i="2"/>
  <c r="L65" i="2"/>
  <c r="L61" i="2"/>
  <c r="M76" i="2"/>
  <c r="M75" i="2"/>
  <c r="M74" i="2"/>
  <c r="M66" i="2"/>
  <c r="M61" i="2"/>
  <c r="M69" i="2" s="1"/>
  <c r="P57" i="2"/>
  <c r="O57" i="2"/>
  <c r="N57" i="2"/>
  <c r="M57" i="2"/>
  <c r="L57" i="2"/>
  <c r="K57" i="2"/>
  <c r="J57" i="2"/>
  <c r="I57" i="2"/>
  <c r="H57" i="2"/>
  <c r="G57" i="2"/>
  <c r="F57" i="2"/>
  <c r="AF51" i="2"/>
  <c r="AE51" i="2"/>
  <c r="AD51" i="2"/>
  <c r="AC51" i="2"/>
  <c r="AE27" i="2"/>
  <c r="AF27" i="2"/>
  <c r="AF105" i="2"/>
  <c r="AF107" i="2" s="1"/>
  <c r="AG105" i="2"/>
  <c r="AG107" i="2" s="1"/>
  <c r="AH105" i="2"/>
  <c r="AH107" i="2" s="1"/>
  <c r="AF99" i="2"/>
  <c r="AF94" i="2"/>
  <c r="AG91" i="2"/>
  <c r="AG99" i="2"/>
  <c r="AH89" i="2"/>
  <c r="AH91" i="2"/>
  <c r="AH99" i="2"/>
  <c r="N76" i="2"/>
  <c r="N75" i="2"/>
  <c r="N74" i="2"/>
  <c r="N66" i="2"/>
  <c r="N61" i="2"/>
  <c r="N69" i="2" s="1"/>
  <c r="Q5" i="2"/>
  <c r="R5" i="2" s="1"/>
  <c r="N24" i="2"/>
  <c r="N20" i="2"/>
  <c r="J14" i="2"/>
  <c r="N14" i="2"/>
  <c r="K14" i="2"/>
  <c r="O14" i="2"/>
  <c r="K24" i="2"/>
  <c r="K20" i="2"/>
  <c r="O24" i="2"/>
  <c r="O20" i="2"/>
  <c r="N51" i="2"/>
  <c r="M51" i="2"/>
  <c r="L51" i="2"/>
  <c r="K51" i="2"/>
  <c r="J51" i="2"/>
  <c r="I51" i="2"/>
  <c r="H51" i="2"/>
  <c r="G51" i="2"/>
  <c r="F51" i="2"/>
  <c r="O30" i="2"/>
  <c r="O34" i="2" s="1"/>
  <c r="O50" i="2" s="1"/>
  <c r="O107" i="2"/>
  <c r="O99" i="2"/>
  <c r="O100" i="2" s="1"/>
  <c r="AF54" i="2"/>
  <c r="AE54" i="2"/>
  <c r="AD54" i="2"/>
  <c r="AC54" i="2"/>
  <c r="AH53" i="2"/>
  <c r="AG53" i="2"/>
  <c r="AF53" i="2"/>
  <c r="AE53" i="2"/>
  <c r="AD53" i="2"/>
  <c r="AC53" i="2"/>
  <c r="AB53" i="2"/>
  <c r="AA53" i="2"/>
  <c r="AC40" i="2"/>
  <c r="AC34" i="2"/>
  <c r="AC50" i="2" s="1"/>
  <c r="AI39" i="2"/>
  <c r="S37" i="2"/>
  <c r="T37" i="2" s="1"/>
  <c r="U37" i="2" s="1"/>
  <c r="V37" i="2" s="1"/>
  <c r="S36" i="2"/>
  <c r="AD40" i="2"/>
  <c r="AD34" i="2"/>
  <c r="AD50" i="2" s="1"/>
  <c r="AE40" i="2"/>
  <c r="AE34" i="2"/>
  <c r="AE50" i="2" s="1"/>
  <c r="AG42" i="2"/>
  <c r="AF40" i="2"/>
  <c r="AH47" i="2"/>
  <c r="AG47" i="2"/>
  <c r="AI44" i="2"/>
  <c r="AH44" i="2"/>
  <c r="AG44" i="2"/>
  <c r="AH42" i="2"/>
  <c r="AF34" i="2"/>
  <c r="AF50" i="2" s="1"/>
  <c r="AH39" i="2"/>
  <c r="AG39" i="2"/>
  <c r="AH38" i="2"/>
  <c r="AG38" i="2"/>
  <c r="AH37" i="2"/>
  <c r="AG37" i="2"/>
  <c r="AH36" i="2"/>
  <c r="AG36" i="2"/>
  <c r="AH35" i="2"/>
  <c r="AG35" i="2"/>
  <c r="AH31" i="2"/>
  <c r="AG31" i="2"/>
  <c r="AH30" i="2"/>
  <c r="AH54" i="2" s="1"/>
  <c r="AG30" i="2"/>
  <c r="AG54" i="2" s="1"/>
  <c r="F40" i="2"/>
  <c r="F34" i="2"/>
  <c r="F50" i="2" s="1"/>
  <c r="G40" i="2"/>
  <c r="G34" i="2"/>
  <c r="G50" i="2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H40" i="2"/>
  <c r="H34" i="2"/>
  <c r="H50" i="2" s="1"/>
  <c r="I40" i="2"/>
  <c r="I34" i="2"/>
  <c r="I50" i="2" s="1"/>
  <c r="N40" i="2"/>
  <c r="M40" i="2"/>
  <c r="L40" i="2"/>
  <c r="K40" i="2"/>
  <c r="J40" i="2"/>
  <c r="N34" i="2"/>
  <c r="N6" i="2" s="1"/>
  <c r="M34" i="2"/>
  <c r="M50" i="2" s="1"/>
  <c r="L34" i="2"/>
  <c r="L50" i="2" s="1"/>
  <c r="K34" i="2"/>
  <c r="K50" i="2" s="1"/>
  <c r="J34" i="2"/>
  <c r="J50" i="2" s="1"/>
  <c r="O76" i="2"/>
  <c r="O75" i="2"/>
  <c r="O74" i="2"/>
  <c r="O66" i="2"/>
  <c r="O61" i="2"/>
  <c r="O40" i="2"/>
  <c r="AJ47" i="2" l="1"/>
  <c r="AK47" i="2" s="1"/>
  <c r="AL47" i="2" s="1"/>
  <c r="AM47" i="2" s="1"/>
  <c r="AN47" i="2" s="1"/>
  <c r="AO47" i="2" s="1"/>
  <c r="AP47" i="2" s="1"/>
  <c r="AQ47" i="2" s="1"/>
  <c r="I28" i="2"/>
  <c r="J28" i="2"/>
  <c r="K28" i="2"/>
  <c r="Q28" i="2"/>
  <c r="M28" i="2"/>
  <c r="G28" i="2"/>
  <c r="L28" i="2"/>
  <c r="N28" i="2"/>
  <c r="H28" i="2"/>
  <c r="L13" i="2"/>
  <c r="AI42" i="2"/>
  <c r="S39" i="2"/>
  <c r="T36" i="2"/>
  <c r="K60" i="2"/>
  <c r="P107" i="2"/>
  <c r="M81" i="2"/>
  <c r="P69" i="2"/>
  <c r="P99" i="2"/>
  <c r="P100" i="2" s="1"/>
  <c r="L81" i="2"/>
  <c r="M60" i="2"/>
  <c r="M58" i="2" s="1"/>
  <c r="L69" i="2"/>
  <c r="R51" i="2"/>
  <c r="L100" i="2"/>
  <c r="AF100" i="2"/>
  <c r="L60" i="2"/>
  <c r="AG100" i="2"/>
  <c r="N81" i="2"/>
  <c r="N60" i="2"/>
  <c r="N58" i="2" s="1"/>
  <c r="AH51" i="2"/>
  <c r="AG51" i="2"/>
  <c r="AH100" i="2"/>
  <c r="K11" i="2"/>
  <c r="J11" i="2"/>
  <c r="J13" i="2"/>
  <c r="N13" i="2"/>
  <c r="N11" i="2"/>
  <c r="J6" i="2"/>
  <c r="O51" i="2"/>
  <c r="O13" i="2"/>
  <c r="K13" i="2"/>
  <c r="O6" i="2"/>
  <c r="O11" i="2"/>
  <c r="AG34" i="2"/>
  <c r="AG50" i="2" s="1"/>
  <c r="N41" i="2"/>
  <c r="N43" i="2" s="1"/>
  <c r="N45" i="2" s="1"/>
  <c r="M41" i="2"/>
  <c r="M43" i="2" s="1"/>
  <c r="M45" i="2" s="1"/>
  <c r="N50" i="2"/>
  <c r="AI33" i="2"/>
  <c r="AK33" i="2" s="1"/>
  <c r="AL33" i="2" s="1"/>
  <c r="AM33" i="2" s="1"/>
  <c r="AN33" i="2" s="1"/>
  <c r="AO33" i="2" s="1"/>
  <c r="AP33" i="2" s="1"/>
  <c r="AQ33" i="2" s="1"/>
  <c r="AI37" i="2"/>
  <c r="O69" i="2"/>
  <c r="P40" i="2"/>
  <c r="AD49" i="2"/>
  <c r="AG40" i="2"/>
  <c r="O60" i="2"/>
  <c r="O58" i="2" s="1"/>
  <c r="AF41" i="2"/>
  <c r="AH34" i="2"/>
  <c r="AK31" i="2"/>
  <c r="AL31" i="2" s="1"/>
  <c r="AM31" i="2" s="1"/>
  <c r="AN31" i="2" s="1"/>
  <c r="AO31" i="2" s="1"/>
  <c r="AP31" i="2" s="1"/>
  <c r="AQ31" i="2" s="1"/>
  <c r="N49" i="2"/>
  <c r="K49" i="2"/>
  <c r="K41" i="2"/>
  <c r="M49" i="2"/>
  <c r="L49" i="2"/>
  <c r="J49" i="2"/>
  <c r="AH40" i="2"/>
  <c r="AF49" i="2"/>
  <c r="O81" i="2"/>
  <c r="AE49" i="2"/>
  <c r="AC41" i="2"/>
  <c r="AC52" i="2" s="1"/>
  <c r="S38" i="2"/>
  <c r="T38" i="2" s="1"/>
  <c r="U38" i="2" s="1"/>
  <c r="V38" i="2" s="1"/>
  <c r="AI36" i="2"/>
  <c r="AD41" i="2"/>
  <c r="AE41" i="2"/>
  <c r="F41" i="2"/>
  <c r="G41" i="2"/>
  <c r="P34" i="2"/>
  <c r="O41" i="2"/>
  <c r="H41" i="2"/>
  <c r="L41" i="2"/>
  <c r="I41" i="2"/>
  <c r="J41" i="2"/>
  <c r="O49" i="2"/>
  <c r="T39" i="2" l="1"/>
  <c r="U39" i="2" s="1"/>
  <c r="V39" i="2" s="1"/>
  <c r="AJ39" i="2"/>
  <c r="AK39" i="2" s="1"/>
  <c r="AL39" i="2" s="1"/>
  <c r="AM39" i="2" s="1"/>
  <c r="AN39" i="2" s="1"/>
  <c r="AO39" i="2" s="1"/>
  <c r="AP39" i="2" s="1"/>
  <c r="AQ39" i="2" s="1"/>
  <c r="P50" i="2"/>
  <c r="P28" i="2"/>
  <c r="S40" i="2"/>
  <c r="S41" i="2" s="1"/>
  <c r="S43" i="2" s="1"/>
  <c r="S45" i="2" s="1"/>
  <c r="S46" i="2" s="1"/>
  <c r="T40" i="2"/>
  <c r="T41" i="2" s="1"/>
  <c r="T43" i="2" s="1"/>
  <c r="T45" i="2" s="1"/>
  <c r="T46" i="2" s="1"/>
  <c r="U36" i="2"/>
  <c r="P6" i="2"/>
  <c r="P11" i="2"/>
  <c r="P13" i="2"/>
  <c r="R40" i="2"/>
  <c r="R41" i="2" s="1"/>
  <c r="Q51" i="2"/>
  <c r="M46" i="2"/>
  <c r="M83" i="2"/>
  <c r="N46" i="2"/>
  <c r="N83" i="2"/>
  <c r="AG49" i="2"/>
  <c r="AG41" i="2"/>
  <c r="AG52" i="2" s="1"/>
  <c r="N52" i="2"/>
  <c r="M52" i="2"/>
  <c r="AH41" i="2"/>
  <c r="AH43" i="2" s="1"/>
  <c r="AH45" i="2" s="1"/>
  <c r="P49" i="2"/>
  <c r="Q49" i="2"/>
  <c r="Q50" i="2"/>
  <c r="AF43" i="2"/>
  <c r="AF45" i="2" s="1"/>
  <c r="AF52" i="2"/>
  <c r="AE43" i="2"/>
  <c r="AE45" i="2" s="1"/>
  <c r="AE46" i="2" s="1"/>
  <c r="AE52" i="2"/>
  <c r="AD43" i="2"/>
  <c r="AD45" i="2" s="1"/>
  <c r="AD46" i="2" s="1"/>
  <c r="AD52" i="2"/>
  <c r="R49" i="2"/>
  <c r="R50" i="2"/>
  <c r="AI38" i="2"/>
  <c r="AJ38" i="2" s="1"/>
  <c r="AK38" i="2" s="1"/>
  <c r="AL38" i="2" s="1"/>
  <c r="AM38" i="2" s="1"/>
  <c r="AN38" i="2" s="1"/>
  <c r="AO38" i="2" s="1"/>
  <c r="AP38" i="2" s="1"/>
  <c r="AQ38" i="2" s="1"/>
  <c r="AH50" i="2"/>
  <c r="J43" i="2"/>
  <c r="J45" i="2" s="1"/>
  <c r="J46" i="2" s="1"/>
  <c r="J52" i="2"/>
  <c r="G43" i="2"/>
  <c r="G45" i="2" s="1"/>
  <c r="G46" i="2" s="1"/>
  <c r="G52" i="2"/>
  <c r="F43" i="2"/>
  <c r="F45" i="2" s="1"/>
  <c r="F46" i="2" s="1"/>
  <c r="F52" i="2"/>
  <c r="L43" i="2"/>
  <c r="L45" i="2" s="1"/>
  <c r="L52" i="2"/>
  <c r="I43" i="2"/>
  <c r="I45" i="2" s="1"/>
  <c r="I46" i="2" s="1"/>
  <c r="I52" i="2"/>
  <c r="H43" i="2"/>
  <c r="H45" i="2" s="1"/>
  <c r="H46" i="2" s="1"/>
  <c r="H52" i="2"/>
  <c r="O43" i="2"/>
  <c r="O45" i="2" s="1"/>
  <c r="O52" i="2"/>
  <c r="K43" i="2"/>
  <c r="K45" i="2" s="1"/>
  <c r="K52" i="2"/>
  <c r="AI34" i="2"/>
  <c r="AH49" i="2"/>
  <c r="AC43" i="2"/>
  <c r="AC45" i="2" s="1"/>
  <c r="AC46" i="2" s="1"/>
  <c r="P41" i="2"/>
  <c r="P43" i="2" s="1"/>
  <c r="AI51" i="2" l="1"/>
  <c r="AJ50" i="2"/>
  <c r="V36" i="2"/>
  <c r="V40" i="2" s="1"/>
  <c r="V41" i="2" s="1"/>
  <c r="V43" i="2" s="1"/>
  <c r="V45" i="2" s="1"/>
  <c r="V46" i="2" s="1"/>
  <c r="U40" i="2"/>
  <c r="U41" i="2" s="1"/>
  <c r="U43" i="2" s="1"/>
  <c r="U45" i="2" s="1"/>
  <c r="U46" i="2" s="1"/>
  <c r="L46" i="2"/>
  <c r="L83" i="2"/>
  <c r="K46" i="2"/>
  <c r="K83" i="2"/>
  <c r="AK30" i="2"/>
  <c r="AJ51" i="2"/>
  <c r="AF46" i="2"/>
  <c r="AF83" i="2"/>
  <c r="AH46" i="2"/>
  <c r="AH83" i="2"/>
  <c r="AG43" i="2"/>
  <c r="AG45" i="2" s="1"/>
  <c r="AI40" i="2"/>
  <c r="AI41" i="2" s="1"/>
  <c r="O46" i="2"/>
  <c r="O83" i="2"/>
  <c r="AH52" i="2"/>
  <c r="AJ49" i="2"/>
  <c r="AI50" i="2"/>
  <c r="Q43" i="2"/>
  <c r="Q45" i="2" s="1"/>
  <c r="Q46" i="2" s="1"/>
  <c r="Q52" i="2"/>
  <c r="P45" i="2"/>
  <c r="P52" i="2"/>
  <c r="R43" i="2"/>
  <c r="R45" i="2" s="1"/>
  <c r="R46" i="2" s="1"/>
  <c r="R52" i="2"/>
  <c r="AI49" i="2"/>
  <c r="AJ36" i="2" l="1"/>
  <c r="AK36" i="2" s="1"/>
  <c r="AL36" i="2" s="1"/>
  <c r="AM36" i="2" s="1"/>
  <c r="AN36" i="2" s="1"/>
  <c r="AO36" i="2" s="1"/>
  <c r="AP36" i="2" s="1"/>
  <c r="AQ36" i="2" s="1"/>
  <c r="AI43" i="2"/>
  <c r="AI45" i="2" s="1"/>
  <c r="AI46" i="2" s="1"/>
  <c r="AI52" i="2"/>
  <c r="P46" i="2"/>
  <c r="P83" i="2"/>
  <c r="AL30" i="2"/>
  <c r="AK51" i="2"/>
  <c r="AG46" i="2"/>
  <c r="AG83" i="2"/>
  <c r="AJ40" i="2" l="1"/>
  <c r="AJ41" i="2" s="1"/>
  <c r="AK40" i="2"/>
  <c r="AK41" i="2" s="1"/>
  <c r="AK52" i="2" s="1"/>
  <c r="P58" i="2"/>
  <c r="AK50" i="2"/>
  <c r="AK49" i="2"/>
  <c r="AM30" i="2"/>
  <c r="AL51" i="2"/>
  <c r="AL40" i="2"/>
  <c r="AJ43" i="2" l="1"/>
  <c r="AJ45" i="2" s="1"/>
  <c r="AJ46" i="2" s="1"/>
  <c r="AJ52" i="2"/>
  <c r="R60" i="2"/>
  <c r="AI60" i="2" s="1"/>
  <c r="AJ60" i="2" s="1"/>
  <c r="AK42" i="2" s="1"/>
  <c r="AK43" i="2" s="1"/>
  <c r="AK45" i="2" s="1"/>
  <c r="Q58" i="2"/>
  <c r="AL41" i="2"/>
  <c r="AL52" i="2" s="1"/>
  <c r="AL50" i="2"/>
  <c r="AL49" i="2"/>
  <c r="AN30" i="2"/>
  <c r="AM51" i="2"/>
  <c r="AM40" i="2"/>
  <c r="AK46" i="2" l="1"/>
  <c r="AK60" i="2"/>
  <c r="AL42" i="2" s="1"/>
  <c r="AL43" i="2" s="1"/>
  <c r="AL45" i="2" s="1"/>
  <c r="AL60" i="2" s="1"/>
  <c r="AM42" i="2" s="1"/>
  <c r="AM41" i="2"/>
  <c r="AM52" i="2" s="1"/>
  <c r="AM50" i="2"/>
  <c r="AM49" i="2"/>
  <c r="AO30" i="2"/>
  <c r="AN51" i="2"/>
  <c r="AN40" i="2"/>
  <c r="AM43" i="2" l="1"/>
  <c r="AM45" i="2" s="1"/>
  <c r="AM46" i="2" s="1"/>
  <c r="AN41" i="2"/>
  <c r="AN52" i="2" s="1"/>
  <c r="AL46" i="2"/>
  <c r="AN50" i="2"/>
  <c r="AN49" i="2"/>
  <c r="AP30" i="2"/>
  <c r="AO51" i="2"/>
  <c r="AM60" i="2"/>
  <c r="AN42" i="2" s="1"/>
  <c r="AO40" i="2"/>
  <c r="AN43" i="2" l="1"/>
  <c r="AN45" i="2" s="1"/>
  <c r="AO41" i="2"/>
  <c r="AO52" i="2" s="1"/>
  <c r="AO49" i="2"/>
  <c r="AO50" i="2"/>
  <c r="AQ30" i="2"/>
  <c r="AP51" i="2"/>
  <c r="AQ40" i="2"/>
  <c r="AP40" i="2"/>
  <c r="AN46" i="2" l="1"/>
  <c r="AP41" i="2"/>
  <c r="AP43" i="2" s="1"/>
  <c r="AN60" i="2"/>
  <c r="AO42" i="2" s="1"/>
  <c r="AO43" i="2" s="1"/>
  <c r="AO45" i="2" s="1"/>
  <c r="AO46" i="2" s="1"/>
  <c r="AP49" i="2"/>
  <c r="AP50" i="2"/>
  <c r="AQ51" i="2"/>
  <c r="AP52" i="2" l="1"/>
  <c r="AP44" i="2"/>
  <c r="AP45" i="2" s="1"/>
  <c r="AO60" i="2"/>
  <c r="AQ49" i="2"/>
  <c r="AQ50" i="2"/>
  <c r="AQ41" i="2"/>
  <c r="AP46" i="2" l="1"/>
  <c r="AP60" i="2"/>
  <c r="AQ43" i="2"/>
  <c r="AQ52" i="2"/>
  <c r="AQ44" i="2" l="1"/>
  <c r="AQ45" i="2" s="1"/>
  <c r="AR45" i="2" s="1"/>
  <c r="AQ46" i="2" l="1"/>
  <c r="AQ60" i="2"/>
  <c r="AS45" i="2" l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AT51" i="2"/>
  <c r="AT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tc={FC916003-1684-4E2F-8AA8-31ACAC0E574C}</author>
    <author>tc={19C99C37-30FD-483A-9FFA-FD797A500CD2}</author>
  </authors>
  <commentList>
    <comment ref="AD3" authorId="0" shapeId="0" xr:uid="{FC916003-1684-4E2F-8AA8-31ACAC0E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5398 as well</t>
      </text>
    </comment>
    <comment ref="R34" authorId="1" shapeId="0" xr:uid="{19C99C37-30FD-483A-9FFA-FD797A500CD2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1623m</t>
      </text>
    </comment>
  </commentList>
</comments>
</file>

<file path=xl/sharedStrings.xml><?xml version="1.0" encoding="utf-8"?>
<sst xmlns="http://schemas.openxmlformats.org/spreadsheetml/2006/main" count="148" uniqueCount="134">
  <si>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</si>
  <si>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</si>
  <si>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</si>
  <si>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</si>
  <si>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</si>
  <si>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</si>
  <si>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</si>
  <si>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</si>
  <si>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</si>
  <si>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</si>
  <si>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</si>
  <si>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</si>
  <si>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</si>
  <si>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Q222</t>
  </si>
  <si>
    <t>Q322</t>
  </si>
  <si>
    <t>Q422</t>
  </si>
  <si>
    <t>Q119</t>
  </si>
  <si>
    <t>Q219</t>
  </si>
  <si>
    <t>Q319</t>
  </si>
  <si>
    <t>Q419</t>
  </si>
  <si>
    <t>Q221</t>
  </si>
  <si>
    <t>Q321</t>
  </si>
  <si>
    <t>Q421</t>
  </si>
  <si>
    <t>Q122</t>
  </si>
  <si>
    <t>Admissions</t>
  </si>
  <si>
    <t>Food &amp; Beverage</t>
  </si>
  <si>
    <t>Other theatre</t>
  </si>
  <si>
    <t>Film</t>
  </si>
  <si>
    <t>Operating Expense</t>
  </si>
  <si>
    <t>Rent</t>
  </si>
  <si>
    <t>G&amp;A</t>
  </si>
  <si>
    <t>TotalOpEx</t>
  </si>
  <si>
    <t>OpInc</t>
  </si>
  <si>
    <t>IntExp</t>
  </si>
  <si>
    <t>Pretax</t>
  </si>
  <si>
    <t>Taxes</t>
  </si>
  <si>
    <t>Net Income</t>
  </si>
  <si>
    <t>EPS</t>
  </si>
  <si>
    <t>Revenue y/y</t>
  </si>
  <si>
    <t>Assets</t>
  </si>
  <si>
    <t>AR</t>
  </si>
  <si>
    <t>OCA</t>
  </si>
  <si>
    <t>PPE</t>
  </si>
  <si>
    <t>Leases</t>
  </si>
  <si>
    <t>Goodwill</t>
  </si>
  <si>
    <t>DT</t>
  </si>
  <si>
    <t>OLTA</t>
  </si>
  <si>
    <t>AP</t>
  </si>
  <si>
    <t>AE</t>
  </si>
  <si>
    <t>DR</t>
  </si>
  <si>
    <t>Finance Lease</t>
  </si>
  <si>
    <t>Operating lease</t>
  </si>
  <si>
    <t>Exhibitor</t>
  </si>
  <si>
    <t>OLTL</t>
  </si>
  <si>
    <t>SE</t>
  </si>
  <si>
    <t>L+SE</t>
  </si>
  <si>
    <t>Net Cash</t>
  </si>
  <si>
    <t>OpMargin</t>
  </si>
  <si>
    <t>Film %</t>
  </si>
  <si>
    <t>Discount</t>
  </si>
  <si>
    <t>Terminal</t>
  </si>
  <si>
    <t>NPV</t>
  </si>
  <si>
    <t>Share</t>
  </si>
  <si>
    <t>Domestic Box Office</t>
  </si>
  <si>
    <t>Domestic Box y/y</t>
  </si>
  <si>
    <t>AMC market share</t>
  </si>
  <si>
    <t>Model NI</t>
  </si>
  <si>
    <t>Reported NI</t>
  </si>
  <si>
    <t>D&amp;A</t>
  </si>
  <si>
    <t>CFFO</t>
  </si>
  <si>
    <t>Extinguishment</t>
  </si>
  <si>
    <t>Hycroft</t>
  </si>
  <si>
    <t>SBC</t>
  </si>
  <si>
    <t>Disposition</t>
  </si>
  <si>
    <t>MI</t>
  </si>
  <si>
    <t>Landlord Contributions</t>
  </si>
  <si>
    <t>Rent Benefit</t>
  </si>
  <si>
    <t>Deferred Rent</t>
  </si>
  <si>
    <t>WC</t>
  </si>
  <si>
    <t>Amort deferred financing</t>
  </si>
  <si>
    <t>Amort of net discount</t>
  </si>
  <si>
    <t>Screen Advertising</t>
  </si>
  <si>
    <t>Hycroft Mining Holding (HYMC)</t>
  </si>
  <si>
    <t xml:space="preserve">  3/14/22: 27.9m financing</t>
  </si>
  <si>
    <t>US</t>
  </si>
  <si>
    <t>International</t>
  </si>
  <si>
    <t>CapEx</t>
  </si>
  <si>
    <t>CFFI</t>
  </si>
  <si>
    <t>Investments</t>
  </si>
  <si>
    <t>Other</t>
  </si>
  <si>
    <t>Rev/Theatre</t>
  </si>
  <si>
    <t>Rev/Screen</t>
  </si>
  <si>
    <t>IMAX</t>
  </si>
  <si>
    <t>Dolby Cinema</t>
  </si>
  <si>
    <t>PLF</t>
  </si>
  <si>
    <t>Dine-in Theatres</t>
  </si>
  <si>
    <t>Premium Seating</t>
  </si>
  <si>
    <t>Stubs A-List Households</t>
  </si>
  <si>
    <t>Q123</t>
  </si>
  <si>
    <t>Q223</t>
  </si>
  <si>
    <t>Q323</t>
  </si>
  <si>
    <t>Q423</t>
  </si>
  <si>
    <t>2029 $950m first lien at 7.5% issued on 2/14/22</t>
  </si>
  <si>
    <t>Attendence</t>
  </si>
  <si>
    <t>Rev/Attendence</t>
  </si>
  <si>
    <t xml:space="preserve">  Admissions</t>
  </si>
  <si>
    <t>Film GM%</t>
  </si>
  <si>
    <t>AMC4267538 5.75% 6/15/2025 trading at 69.04 (20%). $98m left outstanding.</t>
  </si>
  <si>
    <t xml:space="preserve">  Exhibition Costs</t>
  </si>
  <si>
    <t xml:space="preserve">  Film GM%</t>
  </si>
  <si>
    <t>Food/Attendence</t>
  </si>
  <si>
    <t>NCMI stock</t>
  </si>
  <si>
    <t>IR: John Merriwether, 866-248-3872</t>
  </si>
  <si>
    <t>CEO: Adam Aron. 1.25m salary. 6m bonus for 2021.</t>
  </si>
  <si>
    <t>CFO: Sean Goodman 675k salary. 1.6m bonus for 2021.</t>
  </si>
  <si>
    <t>Total US Theatres</t>
  </si>
  <si>
    <t>AMC Theatres</t>
  </si>
  <si>
    <t>Total US Screens</t>
  </si>
  <si>
    <t>AMC US Theatres</t>
  </si>
  <si>
    <t>Impairment</t>
  </si>
  <si>
    <t>Quarter End Price</t>
  </si>
  <si>
    <t>MC ($m)</t>
  </si>
  <si>
    <t>EV ($m)</t>
  </si>
  <si>
    <t>PIK</t>
  </si>
  <si>
    <t>Acquisitions</t>
  </si>
  <si>
    <t>CEO: Adam Aron</t>
  </si>
  <si>
    <t>Senior Secured Credit Facility-Term Loan due 2026 (4.199% as of June 30, 2022)</t>
  </si>
  <si>
    <t>10.75% in Year 1, 11.25% thereafter Cash/PIK Odeon Term Loan Facility due 2023 (£147.6 million and €312.2 million par value as of June 30, 2022)</t>
  </si>
  <si>
    <t>7.5% First Lien Notes due 2029</t>
  </si>
  <si>
    <t>10%/12% Cash/PIK/Toggle Second Lien Subordinated Notes due 2026</t>
  </si>
  <si>
    <t>Average Screens</t>
  </si>
  <si>
    <t>AMC Screens (screens operated)</t>
  </si>
  <si>
    <t>Pandemic Recovery</t>
  </si>
  <si>
    <t>AMC Revenue/Domestic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</si>
</sst>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19049</xdr:rowOff>
    </xdr:from>
    <xdr:to>
      <xdr:col>17</xdr:col>
      <xdr:colOff>28575</xdr:colOff>
      <xdr:row>127</xdr:row>
      <xdr:rowOff>57149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81652D-2F41-A126-AF37-22E1B98A9D10}"/>
            </a:ext>
          </a:extLst>
        </xdr:cNvPr>
        <xdr:cNvCxnSpPr/>
      </xdr:nvCxnSpPr>
      <xdr:spPr>
        <a:xfrm>
          <a:off x="10768013" y="19049"/>
          <a:ext cx="0" cy="204513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57150</xdr:colOff>
      <xdr:row>0</xdr:row>
      <xdr:rowOff>0</xdr:rowOff>
    </xdr:from>
    <xdr:to>
      <xdr:col>34</xdr:col>
      <xdr:colOff>57150</xdr:colOff>
      <xdr:row>108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B4D805-66A8-4AC4-8EDF-2BAFDAE82589}"/>
            </a:ext>
          </a:extLst>
        </xdr:cNvPr>
        <xdr:cNvCxnSpPr/>
      </xdr:nvCxnSpPr>
      <xdr:spPr>
        <a:xfrm>
          <a:off x="209550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6FC3560-C579-4F45-9E73-B6CE53E35EF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" dT="2022-07-04T19:46:36.54" personId="{06FC3560-C579-4F45-9E73-B6CE53E35EF7}" id="{FC916003-1684-4E2F-8AA8-31ACAC0E574C}">
    <text>5398 as well</text>
  </threadedComment>
  <threadedComment ref="R34" dT="2023-04-16T17:56:17.78" personId="{06FC3560-C579-4F45-9E73-B6CE53E35EF7}" id="{19C99C37-30FD-483A-9FFA-FD797A500CD2}">
    <text>Expected 1623m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C95-5A89-4DF8-9664-BB610037C5AD}">
  <dimension ref="B2:P22"/>
  <sheetViews>
    <sheetView workbookViewId="0">
      <selection activeCell="N3" sqref="N3"/>
    </sheetView>
  </sheetViews>
  <sheetFormatPr defaultRowHeight="12.75" x14ac:dyDescent="0.2"/>
  <sheetData>
    <row r="2" spans="2:16" x14ac:dyDescent="0.2">
      <c r="B2" t="s">
        <v>82</v>
      </c>
      <c r="M2" t="s">
        <v>0</v>
      </c>
      <c r="N2" s="1">
        <v>5</v>
      </c>
    </row>
    <row r="3" spans="2:16" x14ac:dyDescent="0.2">
      <c r="B3" t="s">
        <v>83</v>
      </c>
      <c r="M3" t="s">
        <v>1</v>
      </c>
      <c r="N3" s="15">
        <f>516.820595+531.716231</f>
        <v>1048.536826</v>
      </c>
      <c r="O3" s="2" t="s">
        <v>14</v>
      </c>
    </row>
    <row r="4" spans="2:16" x14ac:dyDescent="0.2">
      <c r="M4" t="s">
        <v>2</v>
      </c>
      <c r="N4" s="15">
        <f>N2*N3</f>
        <v>5242.6841299999996</v>
      </c>
    </row>
    <row r="5" spans="2:16" x14ac:dyDescent="0.2">
      <c r="B5" t="s">
        <v>102</v>
      </c>
      <c r="M5" t="s">
        <v>3</v>
      </c>
      <c r="N5" s="15">
        <v>705.8</v>
      </c>
      <c r="O5" s="2" t="s">
        <v>14</v>
      </c>
      <c r="P5" s="15"/>
    </row>
    <row r="6" spans="2:16" x14ac:dyDescent="0.2">
      <c r="B6" t="s">
        <v>107</v>
      </c>
      <c r="M6" t="s">
        <v>4</v>
      </c>
      <c r="N6" s="15">
        <v>5325.3</v>
      </c>
      <c r="O6" s="2" t="s">
        <v>14</v>
      </c>
    </row>
    <row r="7" spans="2:16" x14ac:dyDescent="0.2">
      <c r="M7" t="s">
        <v>5</v>
      </c>
      <c r="N7" s="15">
        <f>N4-N5+N6</f>
        <v>9862.1841299999996</v>
      </c>
    </row>
    <row r="8" spans="2:16" x14ac:dyDescent="0.2">
      <c r="B8" t="s">
        <v>113</v>
      </c>
      <c r="I8" t="s">
        <v>111</v>
      </c>
    </row>
    <row r="9" spans="2:16" x14ac:dyDescent="0.2">
      <c r="B9" t="s">
        <v>114</v>
      </c>
    </row>
    <row r="10" spans="2:16" x14ac:dyDescent="0.2">
      <c r="B10" t="s">
        <v>112</v>
      </c>
    </row>
    <row r="12" spans="2:16" x14ac:dyDescent="0.2">
      <c r="M12" t="s">
        <v>125</v>
      </c>
    </row>
    <row r="18" spans="2:3" x14ac:dyDescent="0.2">
      <c r="B18">
        <v>1935</v>
      </c>
      <c r="C18" t="s">
        <v>126</v>
      </c>
    </row>
    <row r="19" spans="2:3" x14ac:dyDescent="0.2">
      <c r="B19">
        <v>505.6</v>
      </c>
      <c r="C19" t="s">
        <v>127</v>
      </c>
    </row>
    <row r="20" spans="2:3" x14ac:dyDescent="0.2">
      <c r="B20">
        <v>950</v>
      </c>
      <c r="C20" t="s">
        <v>128</v>
      </c>
    </row>
    <row r="21" spans="2:3" x14ac:dyDescent="0.2">
      <c r="B21">
        <v>1435.5</v>
      </c>
      <c r="C21" t="s">
        <v>129</v>
      </c>
    </row>
    <row r="22" spans="2:3" x14ac:dyDescent="0.2">
      <c r="B22">
        <v>311.39999999999998</v>
      </c>
      <c r="C2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CA33-ACCE-4F6E-BC14-505D1708A040}">
  <dimension ref="A1:CU121"/>
  <sheetViews>
    <sheetView tabSelected="1" zoomScale="160" zoomScaleNormal="160" workbookViewId="0">
      <pane xSplit="2" ySplit="2" topLeftCell="O20" activePane="bottomRight" state="frozen"/>
      <selection pane="topRight" activeCell="C1" sqref="C1"/>
      <selection pane="bottomLeft" activeCell="A4" sqref="A4"/>
      <selection pane="bottomRight" activeCell="AI27" sqref="AI27"/>
    </sheetView>
  </sheetViews>
  <sheetFormatPr defaultRowHeight="12.75" x14ac:dyDescent="0.2"/>
  <cols>
    <col min="1" max="1" width="5" bestFit="1" customWidth="1"/>
    <col min="2" max="2" width="21.5703125" customWidth="1"/>
    <col min="3" max="13" width="9.140625" style="2"/>
    <col min="14" max="23" width="8.5703125" style="2" customWidth="1"/>
    <col min="46" max="46" width="9.7109375" bestFit="1" customWidth="1"/>
  </cols>
  <sheetData>
    <row r="1" spans="1:48" x14ac:dyDescent="0.2">
      <c r="A1" s="6" t="s">
        <v>6</v>
      </c>
    </row>
    <row r="2" spans="1:48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13</v>
      </c>
      <c r="Q2" s="2" t="s">
        <v>14</v>
      </c>
      <c r="R2" s="2" t="s">
        <v>15</v>
      </c>
      <c r="S2" s="2" t="s">
        <v>98</v>
      </c>
      <c r="T2" s="2" t="s">
        <v>99</v>
      </c>
      <c r="U2" s="2" t="s">
        <v>100</v>
      </c>
      <c r="V2" s="2" t="s">
        <v>101</v>
      </c>
      <c r="Y2">
        <v>2012</v>
      </c>
      <c r="Z2">
        <v>2013</v>
      </c>
      <c r="AA2">
        <v>2014</v>
      </c>
      <c r="AB2">
        <v>2015</v>
      </c>
      <c r="AC2">
        <v>2016</v>
      </c>
      <c r="AD2">
        <v>2017</v>
      </c>
      <c r="AE2">
        <v>2018</v>
      </c>
      <c r="AF2">
        <v>2019</v>
      </c>
      <c r="AG2">
        <v>2020</v>
      </c>
      <c r="AH2">
        <f>AG2+1</f>
        <v>2021</v>
      </c>
      <c r="AI2">
        <f t="shared" ref="AI2:AV2" si="0">AH2+1</f>
        <v>2022</v>
      </c>
      <c r="AJ2">
        <f t="shared" si="0"/>
        <v>2023</v>
      </c>
      <c r="AK2">
        <f t="shared" si="0"/>
        <v>2024</v>
      </c>
      <c r="AL2">
        <f t="shared" si="0"/>
        <v>2025</v>
      </c>
      <c r="AM2">
        <f t="shared" si="0"/>
        <v>2026</v>
      </c>
      <c r="AN2">
        <f t="shared" si="0"/>
        <v>2027</v>
      </c>
      <c r="AO2">
        <f t="shared" si="0"/>
        <v>2028</v>
      </c>
      <c r="AP2">
        <f t="shared" si="0"/>
        <v>2029</v>
      </c>
      <c r="AQ2">
        <f t="shared" si="0"/>
        <v>2030</v>
      </c>
      <c r="AR2">
        <f t="shared" si="0"/>
        <v>2031</v>
      </c>
      <c r="AS2">
        <f t="shared" si="0"/>
        <v>2032</v>
      </c>
      <c r="AT2">
        <f t="shared" si="0"/>
        <v>2033</v>
      </c>
      <c r="AU2">
        <f t="shared" si="0"/>
        <v>2034</v>
      </c>
      <c r="AV2">
        <f t="shared" si="0"/>
        <v>2035</v>
      </c>
    </row>
    <row r="3" spans="1:48" s="15" customFormat="1" x14ac:dyDescent="0.2">
      <c r="B3" s="15" t="s">
        <v>115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Y3" s="15">
        <v>5317</v>
      </c>
      <c r="Z3" s="15">
        <v>5326</v>
      </c>
      <c r="AA3" s="15">
        <v>5463</v>
      </c>
      <c r="AB3" s="15">
        <v>5484</v>
      </c>
      <c r="AC3" s="15">
        <v>5472</v>
      </c>
      <c r="AD3" s="15">
        <v>5747</v>
      </c>
      <c r="AE3" s="15">
        <v>5803</v>
      </c>
      <c r="AF3" s="15">
        <v>5869</v>
      </c>
      <c r="AG3" s="15">
        <v>5798</v>
      </c>
    </row>
    <row r="4" spans="1:48" s="15" customFormat="1" x14ac:dyDescent="0.2">
      <c r="B4" s="15" t="s">
        <v>118</v>
      </c>
      <c r="C4" s="16"/>
      <c r="D4" s="16"/>
      <c r="E4" s="16"/>
      <c r="F4" s="16"/>
      <c r="G4" s="16"/>
      <c r="H4" s="16"/>
      <c r="I4" s="16"/>
      <c r="J4" s="16"/>
      <c r="K4" s="16">
        <v>394</v>
      </c>
      <c r="L4" s="16">
        <v>593</v>
      </c>
      <c r="M4" s="16"/>
      <c r="N4" s="16">
        <v>593</v>
      </c>
      <c r="O4" s="16"/>
      <c r="P4" s="16">
        <v>585</v>
      </c>
      <c r="Q4" s="16"/>
      <c r="R4" s="16"/>
      <c r="S4" s="16"/>
      <c r="T4" s="16"/>
      <c r="U4" s="16"/>
      <c r="V4" s="16"/>
      <c r="W4" s="16"/>
    </row>
    <row r="5" spans="1:48" s="7" customFormat="1" x14ac:dyDescent="0.2">
      <c r="B5" s="7" t="s">
        <v>116</v>
      </c>
      <c r="C5" s="8"/>
      <c r="D5" s="8"/>
      <c r="E5" s="8"/>
      <c r="F5" s="8"/>
      <c r="G5" s="8"/>
      <c r="H5" s="8"/>
      <c r="I5" s="8"/>
      <c r="J5" s="16">
        <v>503</v>
      </c>
      <c r="K5" s="16"/>
      <c r="L5" s="16">
        <v>928</v>
      </c>
      <c r="M5" s="8"/>
      <c r="N5" s="16">
        <v>930</v>
      </c>
      <c r="O5" s="16">
        <v>938</v>
      </c>
      <c r="P5" s="16">
        <v>947</v>
      </c>
      <c r="Q5" s="8">
        <f t="shared" ref="Q5:R5" si="1">P5+5</f>
        <v>952</v>
      </c>
      <c r="R5" s="8">
        <f t="shared" si="1"/>
        <v>957</v>
      </c>
      <c r="S5" s="8"/>
      <c r="T5" s="8"/>
      <c r="U5" s="8"/>
      <c r="V5" s="8"/>
      <c r="W5" s="8"/>
    </row>
    <row r="6" spans="1:48" s="7" customFormat="1" x14ac:dyDescent="0.2">
      <c r="B6" s="7" t="s">
        <v>90</v>
      </c>
      <c r="C6" s="8"/>
      <c r="D6" s="8"/>
      <c r="E6" s="8"/>
      <c r="F6" s="8"/>
      <c r="G6" s="8"/>
      <c r="H6" s="8"/>
      <c r="I6" s="8"/>
      <c r="J6" s="8">
        <f>J34/J5*1000</f>
        <v>323.06163021868787</v>
      </c>
      <c r="K6" s="8"/>
      <c r="L6" s="8"/>
      <c r="M6" s="8"/>
      <c r="N6" s="8">
        <f>N34/N5*1000</f>
        <v>1259.8924731182794</v>
      </c>
      <c r="O6" s="8">
        <f>O34/O5*1000</f>
        <v>837.63326226012794</v>
      </c>
      <c r="P6" s="8">
        <f>P34/P5*1000</f>
        <v>1231.6789862724393</v>
      </c>
      <c r="Q6" s="8"/>
      <c r="R6" s="8"/>
      <c r="S6" s="8"/>
      <c r="T6" s="8"/>
      <c r="U6" s="8"/>
      <c r="V6" s="8"/>
      <c r="W6" s="8"/>
    </row>
    <row r="7" spans="1:48" s="7" customForma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48" s="7" customFormat="1" x14ac:dyDescent="0.2">
      <c r="B8" s="7" t="s">
        <v>117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16"/>
      <c r="Q8" s="8"/>
      <c r="R8" s="8"/>
      <c r="S8" s="8"/>
      <c r="T8" s="8"/>
      <c r="U8" s="8"/>
      <c r="V8" s="8"/>
      <c r="W8" s="8"/>
    </row>
    <row r="9" spans="1:48" s="7" customFormat="1" x14ac:dyDescent="0.2">
      <c r="B9" s="7" t="s">
        <v>130</v>
      </c>
      <c r="C9" s="8"/>
      <c r="D9" s="8"/>
      <c r="E9" s="8"/>
      <c r="F9" s="8"/>
      <c r="G9" s="8"/>
      <c r="H9" s="8"/>
      <c r="I9" s="8"/>
      <c r="J9" s="8"/>
      <c r="K9" s="8"/>
      <c r="L9" s="16">
        <v>8890</v>
      </c>
      <c r="M9" s="16"/>
      <c r="N9" s="16"/>
      <c r="O9" s="16"/>
      <c r="P9" s="16">
        <v>10148</v>
      </c>
      <c r="Q9" s="8"/>
      <c r="R9" s="8"/>
      <c r="S9" s="8"/>
      <c r="T9" s="8"/>
      <c r="U9" s="8"/>
      <c r="V9" s="8"/>
      <c r="W9" s="8"/>
    </row>
    <row r="10" spans="1:48" s="7" customFormat="1" x14ac:dyDescent="0.2">
      <c r="B10" s="7" t="s">
        <v>131</v>
      </c>
      <c r="C10" s="8"/>
      <c r="D10" s="8"/>
      <c r="E10" s="8"/>
      <c r="F10" s="8"/>
      <c r="G10" s="8"/>
      <c r="H10" s="8"/>
      <c r="I10" s="8"/>
      <c r="J10" s="16">
        <v>7231</v>
      </c>
      <c r="K10" s="16">
        <v>6724</v>
      </c>
      <c r="L10" s="8"/>
      <c r="M10" s="8"/>
      <c r="N10" s="16">
        <v>10177</v>
      </c>
      <c r="O10" s="16">
        <v>10493</v>
      </c>
      <c r="P10" s="16">
        <v>10552</v>
      </c>
      <c r="Q10" s="8"/>
      <c r="R10" s="8"/>
      <c r="S10" s="8"/>
      <c r="T10" s="8"/>
      <c r="U10" s="8"/>
      <c r="V10" s="8"/>
      <c r="W10" s="8"/>
    </row>
    <row r="11" spans="1:48" s="7" customFormat="1" x14ac:dyDescent="0.2">
      <c r="B11" s="7" t="s">
        <v>91</v>
      </c>
      <c r="C11" s="8"/>
      <c r="D11" s="8"/>
      <c r="E11" s="8"/>
      <c r="F11" s="8"/>
      <c r="G11" s="8"/>
      <c r="H11" s="8"/>
      <c r="I11" s="8"/>
      <c r="J11" s="8">
        <f>J34*1000/J10</f>
        <v>22.472687041902919</v>
      </c>
      <c r="K11" s="8">
        <f>K34*1000/K10</f>
        <v>22.055324211778704</v>
      </c>
      <c r="L11" s="8"/>
      <c r="M11" s="8"/>
      <c r="N11" s="8">
        <f>N34*1000/N10</f>
        <v>115.1321607546428</v>
      </c>
      <c r="O11" s="8">
        <f>O34*1000/O10</f>
        <v>74.878490422186204</v>
      </c>
      <c r="P11" s="8">
        <f>P34*1000/P10</f>
        <v>110.53828658074299</v>
      </c>
      <c r="Q11" s="8"/>
      <c r="R11" s="8"/>
      <c r="S11" s="8"/>
      <c r="T11" s="8"/>
      <c r="U11" s="8"/>
      <c r="V11" s="8"/>
      <c r="W11" s="8"/>
    </row>
    <row r="12" spans="1:48" s="7" customFormat="1" x14ac:dyDescent="0.2">
      <c r="B12" s="7" t="s">
        <v>103</v>
      </c>
      <c r="C12" s="8"/>
      <c r="D12" s="8"/>
      <c r="E12" s="8"/>
      <c r="F12" s="8"/>
      <c r="G12" s="8"/>
      <c r="H12" s="8"/>
      <c r="I12" s="8"/>
      <c r="J12" s="16">
        <v>8092</v>
      </c>
      <c r="K12" s="16">
        <v>6797</v>
      </c>
      <c r="L12" s="16">
        <v>22068</v>
      </c>
      <c r="M12" s="16"/>
      <c r="N12" s="16">
        <v>59683</v>
      </c>
      <c r="O12" s="16">
        <v>39075</v>
      </c>
      <c r="P12" s="16">
        <v>59129</v>
      </c>
      <c r="Q12" s="8"/>
      <c r="R12" s="8"/>
      <c r="S12" s="8"/>
      <c r="T12" s="8"/>
      <c r="U12" s="8"/>
      <c r="V12" s="8"/>
      <c r="W12" s="8"/>
    </row>
    <row r="13" spans="1:48" s="7" customFormat="1" x14ac:dyDescent="0.2">
      <c r="B13" s="7" t="s">
        <v>104</v>
      </c>
      <c r="C13" s="8"/>
      <c r="D13" s="8"/>
      <c r="E13" s="8"/>
      <c r="F13" s="8"/>
      <c r="G13" s="8"/>
      <c r="H13" s="8"/>
      <c r="I13" s="8"/>
      <c r="J13" s="8">
        <f>J34*1000/J12</f>
        <v>20.081562036579339</v>
      </c>
      <c r="K13" s="8">
        <f>K34*1000/K12</f>
        <v>21.818449315874652</v>
      </c>
      <c r="L13" s="8">
        <f>L34*1000/L12</f>
        <v>20.151350371578758</v>
      </c>
      <c r="M13" s="8"/>
      <c r="N13" s="8">
        <f>N34*1000/N12</f>
        <v>19.632056029355088</v>
      </c>
      <c r="O13" s="8">
        <f>O34*1000/O12</f>
        <v>20.107485604606524</v>
      </c>
      <c r="P13" s="8">
        <f>P34*1000/P12</f>
        <v>19.726361007289146</v>
      </c>
      <c r="Q13" s="8"/>
      <c r="R13" s="8"/>
      <c r="S13" s="8"/>
      <c r="T13" s="8"/>
      <c r="U13" s="8"/>
      <c r="V13" s="8"/>
      <c r="W13" s="8"/>
    </row>
    <row r="14" spans="1:48" s="7" customFormat="1" x14ac:dyDescent="0.2">
      <c r="B14" s="7" t="s">
        <v>110</v>
      </c>
      <c r="C14" s="8"/>
      <c r="D14" s="8"/>
      <c r="E14" s="8"/>
      <c r="F14" s="8"/>
      <c r="G14" s="8"/>
      <c r="H14" s="8"/>
      <c r="I14" s="8"/>
      <c r="J14" s="3">
        <f>J31*1000/J12</f>
        <v>5.5363321799307954</v>
      </c>
      <c r="K14" s="3">
        <f>K31*1000/K12</f>
        <v>7.3708989259967632</v>
      </c>
      <c r="L14" s="3">
        <f>L31*1000/L12</f>
        <v>7.3182889251404752</v>
      </c>
      <c r="M14" s="8"/>
      <c r="N14" s="3">
        <f>N31*1000/N12</f>
        <v>6.3753497645895818</v>
      </c>
      <c r="O14" s="3">
        <f>O31*1000/O12</f>
        <v>6.4619321817018553</v>
      </c>
      <c r="P14" s="3">
        <f>P31*1000/P12</f>
        <v>6.7090598521875897</v>
      </c>
      <c r="Q14" s="8"/>
      <c r="R14" s="8"/>
      <c r="S14" s="8"/>
      <c r="T14" s="8"/>
      <c r="U14" s="8"/>
      <c r="V14" s="8"/>
      <c r="W14" s="8"/>
    </row>
    <row r="17" spans="2:43" x14ac:dyDescent="0.2">
      <c r="B17" t="s">
        <v>84</v>
      </c>
      <c r="J17" s="2">
        <v>102.4</v>
      </c>
      <c r="K17" s="2">
        <v>137.19999999999999</v>
      </c>
      <c r="L17" s="2">
        <v>374.8</v>
      </c>
      <c r="N17" s="2">
        <v>825.9</v>
      </c>
      <c r="O17" s="2">
        <v>563.1</v>
      </c>
      <c r="P17" s="2">
        <v>907.9</v>
      </c>
    </row>
    <row r="18" spans="2:43" x14ac:dyDescent="0.2">
      <c r="B18" t="s">
        <v>105</v>
      </c>
      <c r="K18" s="2">
        <v>64.900000000000006</v>
      </c>
      <c r="L18" s="2">
        <v>194.1</v>
      </c>
      <c r="N18" s="2">
        <v>464.3</v>
      </c>
      <c r="O18" s="2">
        <v>310.8</v>
      </c>
      <c r="P18" s="2">
        <v>501.2</v>
      </c>
    </row>
    <row r="19" spans="2:43" x14ac:dyDescent="0.2">
      <c r="B19" t="s">
        <v>108</v>
      </c>
      <c r="K19" s="2">
        <v>20.2</v>
      </c>
      <c r="L19" s="2">
        <v>84.2</v>
      </c>
      <c r="N19" s="2">
        <v>229.5</v>
      </c>
      <c r="O19" s="2">
        <v>138.69999999999999</v>
      </c>
      <c r="P19" s="2">
        <v>268.7</v>
      </c>
    </row>
    <row r="20" spans="2:43" x14ac:dyDescent="0.2">
      <c r="B20" t="s">
        <v>109</v>
      </c>
      <c r="K20" s="19">
        <f>(K18-K19)/K18</f>
        <v>0.68875192604006163</v>
      </c>
      <c r="L20" s="19">
        <f>(L18-L19)/L18</f>
        <v>0.5662029881504379</v>
      </c>
      <c r="N20" s="19">
        <f>(N18-N19)/N18</f>
        <v>0.50570751669179415</v>
      </c>
      <c r="O20" s="19">
        <f>(O18-O19)/O18</f>
        <v>0.55373230373230375</v>
      </c>
      <c r="P20" s="19">
        <f>(P18-P19)/P18</f>
        <v>0.46388667198723066</v>
      </c>
    </row>
    <row r="21" spans="2:43" x14ac:dyDescent="0.2">
      <c r="B21" t="s">
        <v>85</v>
      </c>
      <c r="J21" s="2">
        <v>60.1</v>
      </c>
      <c r="K21" s="2">
        <v>11.1</v>
      </c>
      <c r="L21" s="2">
        <v>69.900000000000006</v>
      </c>
      <c r="N21" s="2">
        <v>348.9</v>
      </c>
      <c r="O21" s="2">
        <v>222.6</v>
      </c>
      <c r="P21" s="2">
        <v>258.5</v>
      </c>
    </row>
    <row r="22" spans="2:43" x14ac:dyDescent="0.2">
      <c r="B22" t="s">
        <v>105</v>
      </c>
      <c r="K22" s="8">
        <v>4.5999999999999996</v>
      </c>
      <c r="L22" s="8">
        <v>38.9</v>
      </c>
      <c r="M22" s="8"/>
      <c r="N22" s="8">
        <v>204</v>
      </c>
      <c r="O22" s="8">
        <v>133</v>
      </c>
      <c r="P22" s="2">
        <v>149.80000000000001</v>
      </c>
    </row>
    <row r="23" spans="2:43" x14ac:dyDescent="0.2">
      <c r="B23" t="s">
        <v>108</v>
      </c>
      <c r="K23" s="8">
        <v>1.8</v>
      </c>
      <c r="L23" s="8">
        <v>14.7</v>
      </c>
      <c r="M23" s="8"/>
      <c r="N23" s="8">
        <v>81.3</v>
      </c>
      <c r="O23" s="8">
        <v>51.1</v>
      </c>
      <c r="P23" s="2">
        <v>60</v>
      </c>
    </row>
    <row r="24" spans="2:43" x14ac:dyDescent="0.2">
      <c r="B24" t="s">
        <v>109</v>
      </c>
      <c r="K24" s="19">
        <f>(K22-K23)/K22</f>
        <v>0.60869565217391308</v>
      </c>
      <c r="L24" s="19">
        <f>(L22-L23)/L22</f>
        <v>0.62210796915167099</v>
      </c>
      <c r="M24" s="8"/>
      <c r="N24" s="19">
        <f>(N22-N23)/N22</f>
        <v>0.60147058823529409</v>
      </c>
      <c r="O24" s="19">
        <f>(O22-O23)/O22</f>
        <v>0.61578947368421055</v>
      </c>
      <c r="P24" s="19">
        <f>(P22-P23)/P22</f>
        <v>0.5994659546061416</v>
      </c>
    </row>
    <row r="26" spans="2:43" s="15" customFormat="1" x14ac:dyDescent="0.2">
      <c r="B26" s="15" t="s">
        <v>63</v>
      </c>
      <c r="C26" s="16">
        <v>2400.025631</v>
      </c>
      <c r="D26" s="16">
        <v>3261.470276</v>
      </c>
      <c r="E26" s="16">
        <v>2812.7875899999999</v>
      </c>
      <c r="F26" s="16">
        <v>2951.1052030000001</v>
      </c>
      <c r="G26" s="16">
        <v>1789.1952739999999</v>
      </c>
      <c r="H26" s="16">
        <v>4.7718230000000004</v>
      </c>
      <c r="I26" s="16">
        <v>124.897443</v>
      </c>
      <c r="J26" s="16">
        <v>193.94551100000001</v>
      </c>
      <c r="K26" s="16">
        <v>236.72464500000001</v>
      </c>
      <c r="L26" s="16">
        <v>811.04782799999998</v>
      </c>
      <c r="M26" s="16">
        <v>1175.5306599999999</v>
      </c>
      <c r="N26" s="16">
        <v>2067.2280860000001</v>
      </c>
      <c r="O26" s="16">
        <v>1333.445541</v>
      </c>
      <c r="P26" s="16">
        <v>2322.6819999999998</v>
      </c>
      <c r="Q26" s="16">
        <v>1923.6</v>
      </c>
      <c r="R26" s="16">
        <f>+F26</f>
        <v>2951.1052030000001</v>
      </c>
      <c r="S26" s="16">
        <f>+C26</f>
        <v>2400.025631</v>
      </c>
      <c r="T26" s="16">
        <f>+D26</f>
        <v>3261.470276</v>
      </c>
      <c r="U26" s="16">
        <f>+E26</f>
        <v>2812.7875899999999</v>
      </c>
      <c r="V26" s="16">
        <f>+F26</f>
        <v>2951.1052030000001</v>
      </c>
      <c r="W26" s="16"/>
      <c r="Y26" s="7">
        <v>10790</v>
      </c>
      <c r="Z26" s="7">
        <v>10922.050999999999</v>
      </c>
      <c r="AA26" s="7">
        <v>10822.806</v>
      </c>
      <c r="AB26" s="7">
        <v>11125.825000000001</v>
      </c>
      <c r="AC26" s="7">
        <v>11377.012000000001</v>
      </c>
      <c r="AD26" s="7">
        <v>11073.883</v>
      </c>
      <c r="AE26" s="7">
        <v>11888.638999999999</v>
      </c>
      <c r="AF26" s="7">
        <v>11320.800999999999</v>
      </c>
      <c r="AG26" s="7">
        <v>2103.0880000000002</v>
      </c>
      <c r="AH26" s="7">
        <v>4488.9139999999998</v>
      </c>
      <c r="AI26" s="15">
        <f>SUM(O26:R26)</f>
        <v>8530.8327439999994</v>
      </c>
    </row>
    <row r="27" spans="2:43" x14ac:dyDescent="0.2">
      <c r="B27" t="s">
        <v>132</v>
      </c>
      <c r="P27" s="19">
        <f>+P26/D26</f>
        <v>0.712157954371619</v>
      </c>
      <c r="Q27" s="19">
        <f>+Q26/E26</f>
        <v>0.68387673738278976</v>
      </c>
      <c r="R27" s="19">
        <v>0.8</v>
      </c>
      <c r="S27" s="19">
        <v>0.85</v>
      </c>
      <c r="T27" s="19">
        <v>0.9</v>
      </c>
      <c r="U27" s="19">
        <v>0.95</v>
      </c>
      <c r="V27" s="19">
        <v>1</v>
      </c>
      <c r="AE27" s="20">
        <f>AE26/AD26-1</f>
        <v>7.3574553749574445E-2</v>
      </c>
      <c r="AF27" s="20">
        <f>AF26/AE26-1</f>
        <v>-4.7763078683775273E-2</v>
      </c>
      <c r="AG27" s="20">
        <f>AG26/AF26-1</f>
        <v>-0.81422798616458314</v>
      </c>
      <c r="AH27" s="20">
        <f>AH26/AG26-1</f>
        <v>1.1344394528426767</v>
      </c>
      <c r="AI27" s="20">
        <f>AI26/AH26-1</f>
        <v>0.90042240595386769</v>
      </c>
    </row>
    <row r="28" spans="2:43" x14ac:dyDescent="0.2">
      <c r="B28" t="s">
        <v>133</v>
      </c>
      <c r="C28" s="19"/>
      <c r="D28" s="19"/>
      <c r="E28" s="19"/>
      <c r="F28" s="19">
        <f t="shared" ref="F28:H28" si="2">+F34/F26</f>
        <v>0.49056197607876334</v>
      </c>
      <c r="G28" s="19">
        <f t="shared" si="2"/>
        <v>0.52621422249520211</v>
      </c>
      <c r="H28" s="19">
        <f t="shared" si="2"/>
        <v>3.9607504301815051</v>
      </c>
      <c r="I28" s="19">
        <f t="shared" ref="I28:N28" si="3">+I34/I26</f>
        <v>0.95678499999395505</v>
      </c>
      <c r="J28" s="19">
        <f t="shared" si="3"/>
        <v>0.8378641978467859</v>
      </c>
      <c r="K28" s="19">
        <f t="shared" si="3"/>
        <v>0.62646624731446954</v>
      </c>
      <c r="L28" s="19">
        <f t="shared" si="3"/>
        <v>0.54830305272699653</v>
      </c>
      <c r="M28" s="19">
        <f t="shared" si="3"/>
        <v>0.64923870211943258</v>
      </c>
      <c r="N28" s="19">
        <f t="shared" si="3"/>
        <v>0.56679763976465236</v>
      </c>
      <c r="O28" s="19">
        <f>+O34/O26</f>
        <v>0.58922541329342515</v>
      </c>
      <c r="P28" s="19">
        <f>+P34/P26</f>
        <v>0.50217808550632426</v>
      </c>
      <c r="Q28" s="19">
        <f>+Q34/Q26</f>
        <v>0.50343106674984395</v>
      </c>
      <c r="R28" s="19">
        <v>0.55000000000000004</v>
      </c>
      <c r="S28" s="19">
        <v>0.55000000000000004</v>
      </c>
      <c r="T28" s="19">
        <v>0.55000000000000004</v>
      </c>
      <c r="U28" s="19">
        <v>0.55000000000000004</v>
      </c>
      <c r="V28" s="19">
        <v>0.55000000000000004</v>
      </c>
      <c r="AE28" s="20"/>
      <c r="AF28" s="20"/>
    </row>
    <row r="30" spans="2:43" s="7" customFormat="1" x14ac:dyDescent="0.2">
      <c r="B30" s="7" t="s">
        <v>24</v>
      </c>
      <c r="C30" s="8"/>
      <c r="D30" s="8"/>
      <c r="E30" s="8"/>
      <c r="F30" s="8">
        <v>877</v>
      </c>
      <c r="G30" s="8">
        <v>568</v>
      </c>
      <c r="H30" s="8">
        <v>0.9</v>
      </c>
      <c r="I30" s="8">
        <v>62.9</v>
      </c>
      <c r="J30" s="8">
        <v>80.3</v>
      </c>
      <c r="K30" s="8">
        <v>69.5</v>
      </c>
      <c r="L30" s="8">
        <v>233</v>
      </c>
      <c r="M30" s="8">
        <v>425.1</v>
      </c>
      <c r="N30" s="8">
        <v>666.6</v>
      </c>
      <c r="O30" s="8">
        <f>O22+O18</f>
        <v>443.8</v>
      </c>
      <c r="P30" s="8">
        <v>651</v>
      </c>
      <c r="Q30" s="8">
        <v>545.29999999999995</v>
      </c>
      <c r="R30" s="8">
        <v>574.9</v>
      </c>
      <c r="S30" s="8"/>
      <c r="T30" s="8"/>
      <c r="U30" s="8"/>
      <c r="V30" s="8"/>
      <c r="W30" s="8"/>
      <c r="AC30" s="7">
        <v>2049.4</v>
      </c>
      <c r="AD30" s="7">
        <v>3229.5</v>
      </c>
      <c r="AE30" s="7">
        <v>3385</v>
      </c>
      <c r="AF30" s="7">
        <v>3301.3</v>
      </c>
      <c r="AG30" s="7">
        <f>SUM(G30:J30)</f>
        <v>712.09999999999991</v>
      </c>
      <c r="AH30" s="7">
        <f>SUM(K30:N30)</f>
        <v>1394.2</v>
      </c>
      <c r="AI30" s="7">
        <f>SUM(O30:R30)</f>
        <v>2215</v>
      </c>
      <c r="AK30" s="7">
        <f>AJ30*1.1</f>
        <v>0</v>
      </c>
      <c r="AL30" s="7">
        <f>AK30*1.05</f>
        <v>0</v>
      </c>
      <c r="AM30" s="7">
        <f t="shared" ref="AM30:AQ31" si="4">AL30*1.03</f>
        <v>0</v>
      </c>
      <c r="AN30" s="7">
        <f t="shared" si="4"/>
        <v>0</v>
      </c>
      <c r="AO30" s="7">
        <f t="shared" si="4"/>
        <v>0</v>
      </c>
      <c r="AP30" s="7">
        <f t="shared" si="4"/>
        <v>0</v>
      </c>
      <c r="AQ30" s="7">
        <f t="shared" si="4"/>
        <v>0</v>
      </c>
    </row>
    <row r="31" spans="2:43" s="7" customFormat="1" x14ac:dyDescent="0.2">
      <c r="B31" s="7" t="s">
        <v>25</v>
      </c>
      <c r="C31" s="8"/>
      <c r="D31" s="8"/>
      <c r="E31" s="8"/>
      <c r="F31" s="8">
        <v>438.3</v>
      </c>
      <c r="G31" s="8">
        <v>288.10000000000002</v>
      </c>
      <c r="H31" s="8">
        <v>0.4</v>
      </c>
      <c r="I31" s="8">
        <v>29.1</v>
      </c>
      <c r="J31" s="8">
        <v>44.8</v>
      </c>
      <c r="K31" s="8">
        <v>50.1</v>
      </c>
      <c r="L31" s="8">
        <v>161.5</v>
      </c>
      <c r="M31" s="8">
        <v>265.2</v>
      </c>
      <c r="N31" s="8">
        <v>380.5</v>
      </c>
      <c r="O31" s="8">
        <v>252.5</v>
      </c>
      <c r="P31" s="8">
        <v>396.7</v>
      </c>
      <c r="Q31" s="8">
        <v>333.3</v>
      </c>
      <c r="R31" s="8">
        <v>337.6</v>
      </c>
      <c r="S31" s="8"/>
      <c r="T31" s="8"/>
      <c r="U31" s="8"/>
      <c r="V31" s="8"/>
      <c r="W31" s="8"/>
      <c r="AC31" s="7">
        <v>1019.1</v>
      </c>
      <c r="AD31" s="7">
        <v>1548.4</v>
      </c>
      <c r="AE31" s="7">
        <v>1671.5</v>
      </c>
      <c r="AF31" s="7">
        <v>1719.6</v>
      </c>
      <c r="AG31" s="7">
        <f t="shared" ref="AG31" si="5">SUM(G31:J31)</f>
        <v>362.40000000000003</v>
      </c>
      <c r="AH31" s="7">
        <f t="shared" ref="AH31" si="6">SUM(K31:N31)</f>
        <v>857.3</v>
      </c>
      <c r="AI31" s="7">
        <f>SUM(O31:R31)</f>
        <v>1320.1</v>
      </c>
      <c r="AK31" s="7">
        <f t="shared" ref="AK31:AK33" si="7">AJ31*1.1</f>
        <v>0</v>
      </c>
      <c r="AL31" s="7">
        <f t="shared" ref="AL31" si="8">AK31*1.05</f>
        <v>0</v>
      </c>
      <c r="AM31" s="7">
        <f t="shared" si="4"/>
        <v>0</v>
      </c>
      <c r="AN31" s="7">
        <f t="shared" si="4"/>
        <v>0</v>
      </c>
      <c r="AO31" s="7">
        <f t="shared" si="4"/>
        <v>0</v>
      </c>
      <c r="AP31" s="7">
        <f t="shared" si="4"/>
        <v>0</v>
      </c>
      <c r="AQ31" s="7">
        <f t="shared" si="4"/>
        <v>0</v>
      </c>
    </row>
    <row r="32" spans="2:43" s="7" customFormat="1" x14ac:dyDescent="0.2">
      <c r="B32" s="7" t="s">
        <v>81</v>
      </c>
      <c r="C32" s="8"/>
      <c r="D32" s="8"/>
      <c r="E32" s="8"/>
      <c r="F32" s="8"/>
      <c r="G32" s="8"/>
      <c r="H32" s="8"/>
      <c r="I32" s="8"/>
      <c r="J32" s="8"/>
      <c r="K32" s="8">
        <v>16.899999999999999</v>
      </c>
      <c r="L32" s="8">
        <v>19.7</v>
      </c>
      <c r="M32" s="8"/>
      <c r="N32" s="8"/>
      <c r="O32" s="8">
        <v>28.9</v>
      </c>
      <c r="P32" s="8">
        <v>32.299999999999997</v>
      </c>
      <c r="Q32" s="8"/>
      <c r="R32" s="8"/>
      <c r="S32" s="8"/>
      <c r="T32" s="8"/>
      <c r="U32" s="8"/>
      <c r="V32" s="8"/>
      <c r="W32" s="8"/>
      <c r="AF32" s="7">
        <v>143</v>
      </c>
      <c r="AG32" s="7">
        <v>80.5</v>
      </c>
      <c r="AH32" s="7">
        <v>95.3</v>
      </c>
    </row>
    <row r="33" spans="2:99" s="7" customFormat="1" x14ac:dyDescent="0.2">
      <c r="B33" s="7" t="s">
        <v>26</v>
      </c>
      <c r="C33" s="8"/>
      <c r="D33" s="8"/>
      <c r="E33" s="8"/>
      <c r="F33" s="8">
        <v>132.4</v>
      </c>
      <c r="G33" s="8">
        <v>85.4</v>
      </c>
      <c r="H33" s="8">
        <v>17.600000000000001</v>
      </c>
      <c r="I33" s="8">
        <v>27.5</v>
      </c>
      <c r="J33" s="8">
        <v>37.4</v>
      </c>
      <c r="K33" s="8">
        <v>11.8</v>
      </c>
      <c r="L33" s="8">
        <v>30.5</v>
      </c>
      <c r="M33" s="8">
        <v>72.900000000000006</v>
      </c>
      <c r="N33" s="8">
        <v>124.6</v>
      </c>
      <c r="O33" s="8">
        <v>60.5</v>
      </c>
      <c r="P33" s="8">
        <v>86.4</v>
      </c>
      <c r="Q33" s="8">
        <v>89.8</v>
      </c>
      <c r="R33" s="8">
        <v>101.5</v>
      </c>
      <c r="S33" s="8"/>
      <c r="T33" s="8"/>
      <c r="U33" s="8"/>
      <c r="V33" s="8"/>
      <c r="W33" s="8"/>
      <c r="AC33" s="7">
        <v>167.4</v>
      </c>
      <c r="AD33" s="7">
        <v>301.33999999999997</v>
      </c>
      <c r="AE33" s="7">
        <v>404.3</v>
      </c>
      <c r="AF33" s="7">
        <v>307.10000000000002</v>
      </c>
      <c r="AG33" s="7">
        <v>87.4</v>
      </c>
      <c r="AH33" s="7">
        <v>181.1</v>
      </c>
      <c r="AI33" s="7">
        <f t="shared" ref="AI33" si="9">SUM(O33:R33)</f>
        <v>338.2</v>
      </c>
      <c r="AK33" s="7">
        <f t="shared" si="7"/>
        <v>0</v>
      </c>
      <c r="AL33" s="7">
        <f t="shared" ref="AL33:AQ33" si="10">AK33*1.05</f>
        <v>0</v>
      </c>
      <c r="AM33" s="7">
        <f t="shared" si="10"/>
        <v>0</v>
      </c>
      <c r="AN33" s="7">
        <f t="shared" si="10"/>
        <v>0</v>
      </c>
      <c r="AO33" s="7">
        <f t="shared" si="10"/>
        <v>0</v>
      </c>
      <c r="AP33" s="7">
        <f t="shared" si="10"/>
        <v>0</v>
      </c>
      <c r="AQ33" s="7">
        <f t="shared" si="10"/>
        <v>0</v>
      </c>
    </row>
    <row r="34" spans="2:99" s="9" customFormat="1" x14ac:dyDescent="0.2">
      <c r="B34" s="9" t="s">
        <v>7</v>
      </c>
      <c r="C34" s="10"/>
      <c r="D34" s="10"/>
      <c r="E34" s="10"/>
      <c r="F34" s="10">
        <f t="shared" ref="F34" si="11">SUM(F30:F33)</f>
        <v>1447.7</v>
      </c>
      <c r="G34" s="10">
        <f t="shared" ref="G34" si="12">SUM(G30:G33)</f>
        <v>941.5</v>
      </c>
      <c r="H34" s="10">
        <f t="shared" ref="H34:I34" si="13">SUM(H30:H33)</f>
        <v>18.900000000000002</v>
      </c>
      <c r="I34" s="10">
        <f t="shared" si="13"/>
        <v>119.5</v>
      </c>
      <c r="J34" s="10">
        <f t="shared" ref="J34:N34" si="14">SUM(J30:J33)</f>
        <v>162.5</v>
      </c>
      <c r="K34" s="10">
        <f t="shared" si="14"/>
        <v>148.30000000000001</v>
      </c>
      <c r="L34" s="10">
        <f t="shared" si="14"/>
        <v>444.7</v>
      </c>
      <c r="M34" s="10">
        <f t="shared" si="14"/>
        <v>763.19999999999993</v>
      </c>
      <c r="N34" s="10">
        <f t="shared" si="14"/>
        <v>1171.6999999999998</v>
      </c>
      <c r="O34" s="10">
        <f>SUM(O30:O33)</f>
        <v>785.69999999999993</v>
      </c>
      <c r="P34" s="10">
        <f t="shared" ref="P34:Q34" si="15">SUM(P30:P33)</f>
        <v>1166.4000000000001</v>
      </c>
      <c r="Q34" s="10">
        <f t="shared" si="15"/>
        <v>968.39999999999986</v>
      </c>
      <c r="R34" s="10">
        <f>SUM(R30:R33)</f>
        <v>1014</v>
      </c>
      <c r="S34" s="10">
        <f t="shared" ref="S34:V34" si="16">+S28*S26</f>
        <v>1320.0140970500001</v>
      </c>
      <c r="T34" s="10">
        <f t="shared" si="16"/>
        <v>1793.8086518000002</v>
      </c>
      <c r="U34" s="10">
        <f t="shared" si="16"/>
        <v>1547.0331745000001</v>
      </c>
      <c r="V34" s="10">
        <f t="shared" si="16"/>
        <v>1623.1078616500001</v>
      </c>
      <c r="W34" s="10"/>
      <c r="AC34" s="10">
        <f t="shared" ref="AC34" si="17">SUM(AC30:AC33)</f>
        <v>3235.9</v>
      </c>
      <c r="AD34" s="10">
        <f t="shared" ref="AD34" si="18">SUM(AD30:AD33)</f>
        <v>5079.24</v>
      </c>
      <c r="AE34" s="10">
        <f t="shared" ref="AE34" si="19">SUM(AE30:AE33)</f>
        <v>5460.8</v>
      </c>
      <c r="AF34" s="10">
        <f>SUM(AF30:AF33)</f>
        <v>5471</v>
      </c>
      <c r="AG34" s="10">
        <f>SUM(AG30:AG33)</f>
        <v>1242.4000000000001</v>
      </c>
      <c r="AH34" s="10">
        <f t="shared" ref="AH34:AI34" si="20">SUM(AH30:AH33)</f>
        <v>2527.9</v>
      </c>
      <c r="AI34" s="10">
        <f t="shared" si="20"/>
        <v>3873.2999999999997</v>
      </c>
      <c r="AJ34" s="9">
        <f>SUM(S34:V34)</f>
        <v>6283.9637850000008</v>
      </c>
      <c r="AK34" s="10">
        <f>+AJ34*1.04</f>
        <v>6535.3223364000014</v>
      </c>
      <c r="AL34" s="10">
        <f t="shared" ref="AL34:AQ34" si="21">+AK34*1.04</f>
        <v>6796.7352298560018</v>
      </c>
      <c r="AM34" s="10">
        <f t="shared" si="21"/>
        <v>7068.6046390502424</v>
      </c>
      <c r="AN34" s="10">
        <f t="shared" si="21"/>
        <v>7351.3488246122524</v>
      </c>
      <c r="AO34" s="10">
        <f t="shared" si="21"/>
        <v>7645.4027775967425</v>
      </c>
      <c r="AP34" s="10">
        <f t="shared" si="21"/>
        <v>7951.2188887006123</v>
      </c>
      <c r="AQ34" s="10">
        <f t="shared" si="21"/>
        <v>8269.2676442486372</v>
      </c>
    </row>
    <row r="35" spans="2:99" s="7" customFormat="1" x14ac:dyDescent="0.2">
      <c r="B35" s="7" t="s">
        <v>27</v>
      </c>
      <c r="C35" s="8"/>
      <c r="D35" s="8"/>
      <c r="E35" s="8"/>
      <c r="F35" s="8">
        <v>434.5</v>
      </c>
      <c r="G35" s="8">
        <v>271.7</v>
      </c>
      <c r="H35" s="8">
        <v>0.2</v>
      </c>
      <c r="I35" s="8">
        <v>26.6</v>
      </c>
      <c r="J35" s="8">
        <v>24.2</v>
      </c>
      <c r="K35" s="8">
        <v>22</v>
      </c>
      <c r="L35" s="8">
        <v>98.9</v>
      </c>
      <c r="M35" s="8">
        <v>176.5</v>
      </c>
      <c r="N35" s="8">
        <v>310.3</v>
      </c>
      <c r="O35" s="8">
        <v>189.8</v>
      </c>
      <c r="P35" s="8">
        <v>328.7</v>
      </c>
      <c r="Q35" s="8">
        <v>263.2</v>
      </c>
      <c r="R35" s="8">
        <v>270</v>
      </c>
      <c r="S35" s="8">
        <f t="shared" ref="S35:V35" si="22">+S34*0.28</f>
        <v>369.6039471740001</v>
      </c>
      <c r="T35" s="8">
        <f t="shared" si="22"/>
        <v>502.2664225040001</v>
      </c>
      <c r="U35" s="8">
        <f t="shared" si="22"/>
        <v>433.16928886000005</v>
      </c>
      <c r="V35" s="8">
        <f t="shared" si="22"/>
        <v>454.4702012620001</v>
      </c>
      <c r="W35" s="8"/>
      <c r="AC35" s="7">
        <v>1089.5</v>
      </c>
      <c r="AD35" s="7">
        <v>1604.3</v>
      </c>
      <c r="AE35" s="7">
        <v>1710.2</v>
      </c>
      <c r="AF35" s="7">
        <v>1699.1</v>
      </c>
      <c r="AG35" s="7">
        <f t="shared" ref="AG35:AG39" si="23">SUM(G35:J35)</f>
        <v>322.7</v>
      </c>
      <c r="AH35" s="7">
        <f t="shared" ref="AH35:AH39" si="24">SUM(K35:N35)</f>
        <v>607.70000000000005</v>
      </c>
      <c r="AI35" s="7">
        <f>SUM(O35:R35)</f>
        <v>1051.7</v>
      </c>
      <c r="AJ35" s="7">
        <f>SUM(S35:V35)</f>
        <v>1759.5098598000004</v>
      </c>
      <c r="AK35" s="7">
        <f>+AJ35*1.01</f>
        <v>1777.1049583980005</v>
      </c>
      <c r="AL35" s="7">
        <f t="shared" ref="AL35:AQ35" si="25">+AK35*1.01</f>
        <v>1794.8760079819806</v>
      </c>
      <c r="AM35" s="7">
        <f t="shared" si="25"/>
        <v>1812.8247680618003</v>
      </c>
      <c r="AN35" s="7">
        <f t="shared" si="25"/>
        <v>1830.9530157424183</v>
      </c>
      <c r="AO35" s="7">
        <f t="shared" si="25"/>
        <v>1849.2625458998425</v>
      </c>
      <c r="AP35" s="7">
        <f t="shared" si="25"/>
        <v>1867.7551713588409</v>
      </c>
      <c r="AQ35" s="7">
        <f t="shared" si="25"/>
        <v>1886.4327230724293</v>
      </c>
    </row>
    <row r="36" spans="2:99" s="7" customFormat="1" x14ac:dyDescent="0.2">
      <c r="B36" s="7" t="s">
        <v>25</v>
      </c>
      <c r="C36" s="8"/>
      <c r="D36" s="8"/>
      <c r="E36" s="8"/>
      <c r="F36" s="8">
        <v>73.599999999999994</v>
      </c>
      <c r="G36" s="8">
        <v>53.4</v>
      </c>
      <c r="H36" s="8">
        <v>4.5</v>
      </c>
      <c r="I36" s="8">
        <v>8.8000000000000007</v>
      </c>
      <c r="J36" s="8">
        <v>22.1</v>
      </c>
      <c r="K36" s="8">
        <v>9.6999999999999993</v>
      </c>
      <c r="L36" s="8">
        <v>26.3</v>
      </c>
      <c r="M36" s="8">
        <v>42.9</v>
      </c>
      <c r="N36" s="8">
        <v>59</v>
      </c>
      <c r="O36" s="8">
        <v>42.6</v>
      </c>
      <c r="P36" s="8">
        <v>64.599999999999994</v>
      </c>
      <c r="Q36" s="8">
        <v>58.5</v>
      </c>
      <c r="R36" s="8">
        <v>62.9</v>
      </c>
      <c r="S36" s="8">
        <f t="shared" ref="S36" si="26">R36+3</f>
        <v>65.900000000000006</v>
      </c>
      <c r="T36" s="8">
        <f t="shared" ref="T36" si="27">S36+3</f>
        <v>68.900000000000006</v>
      </c>
      <c r="U36" s="8">
        <f t="shared" ref="U36" si="28">T36+3</f>
        <v>71.900000000000006</v>
      </c>
      <c r="V36" s="8">
        <f t="shared" ref="V36" si="29">U36+3</f>
        <v>74.900000000000006</v>
      </c>
      <c r="W36" s="8"/>
      <c r="AC36" s="7">
        <v>142.19999999999999</v>
      </c>
      <c r="AD36" s="7">
        <v>252.1</v>
      </c>
      <c r="AE36" s="7">
        <v>270.89999999999998</v>
      </c>
      <c r="AF36" s="7">
        <v>278.7</v>
      </c>
      <c r="AG36" s="7">
        <f t="shared" si="23"/>
        <v>88.800000000000011</v>
      </c>
      <c r="AH36" s="7">
        <f t="shared" si="24"/>
        <v>137.9</v>
      </c>
      <c r="AI36" s="7">
        <f>SUM(O36:R36)</f>
        <v>228.6</v>
      </c>
      <c r="AJ36" s="7">
        <f>SUM(S36:V36)</f>
        <v>281.60000000000002</v>
      </c>
      <c r="AK36" s="7">
        <f t="shared" ref="AK36:AQ36" si="30">+AJ36*1.01</f>
        <v>284.41600000000005</v>
      </c>
      <c r="AL36" s="7">
        <f t="shared" si="30"/>
        <v>287.26016000000004</v>
      </c>
      <c r="AM36" s="7">
        <f t="shared" si="30"/>
        <v>290.13276160000004</v>
      </c>
      <c r="AN36" s="7">
        <f t="shared" si="30"/>
        <v>293.03408921600004</v>
      </c>
      <c r="AO36" s="7">
        <f t="shared" si="30"/>
        <v>295.96443010816006</v>
      </c>
      <c r="AP36" s="7">
        <f t="shared" si="30"/>
        <v>298.92407440924165</v>
      </c>
      <c r="AQ36" s="7">
        <f t="shared" si="30"/>
        <v>301.91331515333405</v>
      </c>
    </row>
    <row r="37" spans="2:99" s="7" customFormat="1" x14ac:dyDescent="0.2">
      <c r="B37" s="7" t="s">
        <v>28</v>
      </c>
      <c r="C37" s="8"/>
      <c r="D37" s="8"/>
      <c r="E37" s="8"/>
      <c r="F37" s="8">
        <v>427.4</v>
      </c>
      <c r="G37" s="8">
        <v>356.9</v>
      </c>
      <c r="H37" s="8">
        <v>114.8</v>
      </c>
      <c r="I37" s="8">
        <v>192.1</v>
      </c>
      <c r="J37" s="8">
        <v>192.2</v>
      </c>
      <c r="K37" s="8">
        <v>179.7</v>
      </c>
      <c r="L37" s="8">
        <v>246.2</v>
      </c>
      <c r="M37" s="8">
        <v>321.5</v>
      </c>
      <c r="N37" s="8">
        <v>394.4</v>
      </c>
      <c r="O37" s="8">
        <v>344.8</v>
      </c>
      <c r="P37" s="8">
        <v>402.2</v>
      </c>
      <c r="Q37" s="8">
        <v>400.6</v>
      </c>
      <c r="R37" s="8">
        <v>380.8</v>
      </c>
      <c r="S37" s="8">
        <f t="shared" ref="S37:S38" si="31">R37+10</f>
        <v>390.8</v>
      </c>
      <c r="T37" s="8">
        <f t="shared" ref="T37:T38" si="32">S37+10</f>
        <v>400.8</v>
      </c>
      <c r="U37" s="8">
        <f t="shared" ref="U37:U38" si="33">T37+10</f>
        <v>410.8</v>
      </c>
      <c r="V37" s="8">
        <f t="shared" ref="V37:V38" si="34">U37+10</f>
        <v>420.8</v>
      </c>
      <c r="W37" s="8"/>
      <c r="AC37" s="7">
        <v>873.5</v>
      </c>
      <c r="AD37" s="7">
        <v>1548</v>
      </c>
      <c r="AE37" s="7">
        <v>1654.7</v>
      </c>
      <c r="AF37" s="7">
        <v>1686.6</v>
      </c>
      <c r="AG37" s="7">
        <f t="shared" si="23"/>
        <v>856</v>
      </c>
      <c r="AH37" s="7">
        <f t="shared" si="24"/>
        <v>1141.8</v>
      </c>
      <c r="AI37" s="7">
        <f>SUM(O37:R37)</f>
        <v>1528.3999999999999</v>
      </c>
      <c r="AJ37" s="7">
        <f>SUM(S37:V37)</f>
        <v>1623.2</v>
      </c>
      <c r="AK37" s="7">
        <f t="shared" ref="AK37:AQ37" si="35">+AJ37*1.01</f>
        <v>1639.432</v>
      </c>
      <c r="AL37" s="7">
        <f t="shared" si="35"/>
        <v>1655.8263200000001</v>
      </c>
      <c r="AM37" s="7">
        <f t="shared" si="35"/>
        <v>1672.3845832000002</v>
      </c>
      <c r="AN37" s="7">
        <f t="shared" si="35"/>
        <v>1689.1084290320002</v>
      </c>
      <c r="AO37" s="7">
        <f t="shared" si="35"/>
        <v>1705.9995133223204</v>
      </c>
      <c r="AP37" s="7">
        <f t="shared" si="35"/>
        <v>1723.0595084555437</v>
      </c>
      <c r="AQ37" s="7">
        <f t="shared" si="35"/>
        <v>1740.2901035400992</v>
      </c>
    </row>
    <row r="38" spans="2:99" s="7" customFormat="1" x14ac:dyDescent="0.2">
      <c r="B38" s="7" t="s">
        <v>29</v>
      </c>
      <c r="C38" s="8"/>
      <c r="D38" s="8"/>
      <c r="E38" s="8"/>
      <c r="F38" s="8">
        <v>241.2</v>
      </c>
      <c r="G38" s="8">
        <v>237.8</v>
      </c>
      <c r="H38" s="8">
        <v>224.1</v>
      </c>
      <c r="I38" s="8">
        <v>214.3</v>
      </c>
      <c r="J38" s="8">
        <v>207.9</v>
      </c>
      <c r="K38" s="8">
        <v>192.1</v>
      </c>
      <c r="L38" s="8">
        <v>205.5</v>
      </c>
      <c r="M38" s="8">
        <v>214.9</v>
      </c>
      <c r="N38" s="8">
        <v>215.5</v>
      </c>
      <c r="O38" s="8">
        <v>223.2</v>
      </c>
      <c r="P38" s="8">
        <v>222.4</v>
      </c>
      <c r="Q38" s="8">
        <v>223.2</v>
      </c>
      <c r="R38" s="8">
        <v>217.4</v>
      </c>
      <c r="S38" s="8">
        <f t="shared" si="31"/>
        <v>227.4</v>
      </c>
      <c r="T38" s="8">
        <f t="shared" si="32"/>
        <v>237.4</v>
      </c>
      <c r="U38" s="8">
        <f t="shared" si="33"/>
        <v>247.4</v>
      </c>
      <c r="V38" s="8">
        <f t="shared" si="34"/>
        <v>257.39999999999998</v>
      </c>
      <c r="W38" s="8"/>
      <c r="AC38" s="7">
        <v>505.5</v>
      </c>
      <c r="AD38" s="7">
        <v>794.4</v>
      </c>
      <c r="AE38" s="7">
        <v>797.8</v>
      </c>
      <c r="AF38" s="7">
        <v>967.8</v>
      </c>
      <c r="AG38" s="7">
        <f t="shared" si="23"/>
        <v>884.1</v>
      </c>
      <c r="AH38" s="7">
        <f t="shared" si="24"/>
        <v>828</v>
      </c>
      <c r="AI38" s="7">
        <f>SUM(O38:R38)</f>
        <v>886.19999999999993</v>
      </c>
      <c r="AJ38" s="7">
        <f>AI38*1.15</f>
        <v>1019.1299999999999</v>
      </c>
      <c r="AK38" s="7">
        <f t="shared" ref="AK38:AQ38" si="36">+AJ38*1.01</f>
        <v>1029.3212999999998</v>
      </c>
      <c r="AL38" s="7">
        <f t="shared" si="36"/>
        <v>1039.6145129999998</v>
      </c>
      <c r="AM38" s="7">
        <f t="shared" si="36"/>
        <v>1050.0106581299997</v>
      </c>
      <c r="AN38" s="7">
        <f t="shared" si="36"/>
        <v>1060.5107647112998</v>
      </c>
      <c r="AO38" s="7">
        <f t="shared" si="36"/>
        <v>1071.1158723584128</v>
      </c>
      <c r="AP38" s="7">
        <f t="shared" si="36"/>
        <v>1081.8270310819969</v>
      </c>
      <c r="AQ38" s="7">
        <f t="shared" si="36"/>
        <v>1092.6453013928169</v>
      </c>
    </row>
    <row r="39" spans="2:99" s="7" customFormat="1" x14ac:dyDescent="0.2">
      <c r="B39" s="7" t="s">
        <v>30</v>
      </c>
      <c r="C39" s="8"/>
      <c r="D39" s="8"/>
      <c r="E39" s="8"/>
      <c r="F39" s="8">
        <v>26.1</v>
      </c>
      <c r="G39" s="8">
        <v>33.200000000000003</v>
      </c>
      <c r="H39" s="8">
        <v>25.4</v>
      </c>
      <c r="I39" s="8">
        <v>32.700000000000003</v>
      </c>
      <c r="J39" s="8">
        <v>65.400000000000006</v>
      </c>
      <c r="K39" s="8">
        <v>51.8</v>
      </c>
      <c r="L39" s="8">
        <v>54.4</v>
      </c>
      <c r="M39" s="8">
        <v>47.5</v>
      </c>
      <c r="N39" s="8">
        <v>72.900000000000006</v>
      </c>
      <c r="O39" s="8">
        <v>53.1</v>
      </c>
      <c r="P39" s="8">
        <v>67.5</v>
      </c>
      <c r="Q39" s="8">
        <v>40.6</v>
      </c>
      <c r="R39" s="8">
        <v>46.4</v>
      </c>
      <c r="S39" s="8">
        <f t="shared" ref="S39" si="37">R39+5</f>
        <v>51.4</v>
      </c>
      <c r="T39" s="8">
        <f t="shared" ref="T39" si="38">S39+5</f>
        <v>56.4</v>
      </c>
      <c r="U39" s="8">
        <f t="shared" ref="U39" si="39">T39+5</f>
        <v>61.4</v>
      </c>
      <c r="V39" s="8">
        <f t="shared" ref="V39" si="40">U39+5</f>
        <v>66.400000000000006</v>
      </c>
      <c r="W39" s="8"/>
      <c r="AC39" s="7">
        <v>90.7</v>
      </c>
      <c r="AD39" s="7">
        <v>133.19999999999999</v>
      </c>
      <c r="AE39" s="7">
        <v>179.3</v>
      </c>
      <c r="AF39" s="7">
        <v>153</v>
      </c>
      <c r="AG39" s="7">
        <f t="shared" si="23"/>
        <v>156.70000000000002</v>
      </c>
      <c r="AH39" s="7">
        <f t="shared" si="24"/>
        <v>226.6</v>
      </c>
      <c r="AI39" s="7">
        <f>SUM(O39:R39)</f>
        <v>207.6</v>
      </c>
      <c r="AJ39" s="7">
        <f>SUM(S39:V39)</f>
        <v>235.6</v>
      </c>
      <c r="AK39" s="7">
        <f t="shared" ref="AK39:AQ39" si="41">+AJ39*1.01</f>
        <v>237.95599999999999</v>
      </c>
      <c r="AL39" s="7">
        <f t="shared" si="41"/>
        <v>240.33555999999999</v>
      </c>
      <c r="AM39" s="7">
        <f t="shared" si="41"/>
        <v>242.73891559999998</v>
      </c>
      <c r="AN39" s="7">
        <f t="shared" si="41"/>
        <v>245.16630475599999</v>
      </c>
      <c r="AO39" s="7">
        <f t="shared" si="41"/>
        <v>247.61796780355999</v>
      </c>
      <c r="AP39" s="7">
        <f t="shared" si="41"/>
        <v>250.0941474815956</v>
      </c>
      <c r="AQ39" s="7">
        <f t="shared" si="41"/>
        <v>252.59508895641156</v>
      </c>
    </row>
    <row r="40" spans="2:99" s="7" customFormat="1" x14ac:dyDescent="0.2">
      <c r="B40" s="7" t="s">
        <v>31</v>
      </c>
      <c r="C40" s="8"/>
      <c r="D40" s="8"/>
      <c r="E40" s="8"/>
      <c r="F40" s="8">
        <f t="shared" ref="F40" si="42">SUM(F35:F39)</f>
        <v>1202.8</v>
      </c>
      <c r="G40" s="8">
        <f t="shared" ref="G40" si="43">SUM(G35:G39)</f>
        <v>953</v>
      </c>
      <c r="H40" s="8">
        <f t="shared" ref="H40:I40" si="44">SUM(H35:H39)</f>
        <v>369</v>
      </c>
      <c r="I40" s="8">
        <f t="shared" si="44"/>
        <v>474.5</v>
      </c>
      <c r="J40" s="8">
        <f t="shared" ref="J40:N40" si="45">SUM(J35:J39)</f>
        <v>511.79999999999995</v>
      </c>
      <c r="K40" s="8">
        <f t="shared" si="45"/>
        <v>455.3</v>
      </c>
      <c r="L40" s="8">
        <f t="shared" si="45"/>
        <v>631.29999999999995</v>
      </c>
      <c r="M40" s="8">
        <f t="shared" si="45"/>
        <v>803.3</v>
      </c>
      <c r="N40" s="8">
        <f t="shared" si="45"/>
        <v>1052.1000000000001</v>
      </c>
      <c r="O40" s="8">
        <f>SUM(O35:O39)</f>
        <v>853.50000000000011</v>
      </c>
      <c r="P40" s="8">
        <f t="shared" ref="P40:R40" si="46">SUM(P35:P39)</f>
        <v>1085.4000000000001</v>
      </c>
      <c r="Q40" s="8">
        <f>SUM(Q35:Q39)</f>
        <v>986.1</v>
      </c>
      <c r="R40" s="8">
        <f t="shared" si="46"/>
        <v>977.5</v>
      </c>
      <c r="S40" s="8">
        <f t="shared" ref="S40:V40" si="47">SUM(S35:S39)</f>
        <v>1105.1039471740003</v>
      </c>
      <c r="T40" s="8">
        <f t="shared" si="47"/>
        <v>1265.7664225040003</v>
      </c>
      <c r="U40" s="8">
        <f t="shared" si="47"/>
        <v>1224.6692888600003</v>
      </c>
      <c r="V40" s="8">
        <f t="shared" si="47"/>
        <v>1273.970201262</v>
      </c>
      <c r="W40" s="8"/>
      <c r="AC40" s="8">
        <f t="shared" ref="AC40" si="48">SUM(AC35:AC39)</f>
        <v>2701.3999999999996</v>
      </c>
      <c r="AD40" s="8">
        <f t="shared" ref="AD40" si="49">SUM(AD35:AD39)</f>
        <v>4331.9999999999991</v>
      </c>
      <c r="AE40" s="8">
        <f t="shared" ref="AE40" si="50">SUM(AE35:AE39)</f>
        <v>4612.9000000000005</v>
      </c>
      <c r="AF40" s="8">
        <f>SUM(AF35:AF39)</f>
        <v>4785.2</v>
      </c>
      <c r="AG40" s="8">
        <f>SUM(AG35:AG39)</f>
        <v>2308.2999999999997</v>
      </c>
      <c r="AH40" s="8">
        <f>SUM(AH35:AH39)</f>
        <v>2942</v>
      </c>
      <c r="AI40" s="8">
        <f>SUM(AI35:AI39)</f>
        <v>3902.4999999999995</v>
      </c>
      <c r="AJ40" s="8">
        <f>SUM(AJ35:AJ39)</f>
        <v>4919.0398598000011</v>
      </c>
      <c r="AK40" s="8">
        <f t="shared" ref="AK40:AQ40" si="51">SUM(AK35:AK39)</f>
        <v>4968.2302583979999</v>
      </c>
      <c r="AL40" s="8">
        <f t="shared" si="51"/>
        <v>5017.9125609819803</v>
      </c>
      <c r="AM40" s="8">
        <f t="shared" si="51"/>
        <v>5068.0916865917998</v>
      </c>
      <c r="AN40" s="8">
        <f t="shared" si="51"/>
        <v>5118.7726034577181</v>
      </c>
      <c r="AO40" s="8">
        <f t="shared" si="51"/>
        <v>5169.9603294922954</v>
      </c>
      <c r="AP40" s="8">
        <f t="shared" si="51"/>
        <v>5221.6599327872191</v>
      </c>
      <c r="AQ40" s="8">
        <f t="shared" si="51"/>
        <v>5273.8765321150913</v>
      </c>
    </row>
    <row r="41" spans="2:99" s="7" customFormat="1" x14ac:dyDescent="0.2">
      <c r="B41" s="7" t="s">
        <v>32</v>
      </c>
      <c r="C41" s="8"/>
      <c r="D41" s="8"/>
      <c r="E41" s="8"/>
      <c r="F41" s="8">
        <f t="shared" ref="F41" si="52">F34-F40</f>
        <v>244.90000000000009</v>
      </c>
      <c r="G41" s="8">
        <f t="shared" ref="G41" si="53">G34-G40</f>
        <v>-11.5</v>
      </c>
      <c r="H41" s="8">
        <f t="shared" ref="H41:I41" si="54">H34-H40</f>
        <v>-350.1</v>
      </c>
      <c r="I41" s="8">
        <f t="shared" si="54"/>
        <v>-355</v>
      </c>
      <c r="J41" s="8">
        <f t="shared" ref="J41:M41" si="55">J34-J40</f>
        <v>-349.29999999999995</v>
      </c>
      <c r="K41" s="8">
        <f t="shared" si="55"/>
        <v>-307</v>
      </c>
      <c r="L41" s="8">
        <f t="shared" si="55"/>
        <v>-186.59999999999997</v>
      </c>
      <c r="M41" s="8">
        <f t="shared" si="55"/>
        <v>-40.100000000000023</v>
      </c>
      <c r="N41" s="8">
        <f>N34-N40</f>
        <v>119.59999999999968</v>
      </c>
      <c r="O41" s="8">
        <f>O34-O40</f>
        <v>-67.800000000000182</v>
      </c>
      <c r="P41" s="8">
        <f t="shared" ref="P41:R41" si="56">P34-P40</f>
        <v>81</v>
      </c>
      <c r="Q41" s="8">
        <f>Q34-Q40</f>
        <v>-17.700000000000159</v>
      </c>
      <c r="R41" s="8">
        <f t="shared" si="56"/>
        <v>36.5</v>
      </c>
      <c r="S41" s="8">
        <f t="shared" ref="S41:V41" si="57">S34-S40</f>
        <v>214.91014987599988</v>
      </c>
      <c r="T41" s="8">
        <f t="shared" si="57"/>
        <v>528.04222929599996</v>
      </c>
      <c r="U41" s="8">
        <f t="shared" si="57"/>
        <v>322.36388563999981</v>
      </c>
      <c r="V41" s="8">
        <f t="shared" si="57"/>
        <v>349.13766038800009</v>
      </c>
      <c r="W41" s="8"/>
      <c r="AC41" s="8">
        <f t="shared" ref="AC41" si="58">AC34-AC40</f>
        <v>534.50000000000045</v>
      </c>
      <c r="AD41" s="8">
        <f t="shared" ref="AD41" si="59">AD34-AD40</f>
        <v>747.24000000000069</v>
      </c>
      <c r="AE41" s="8">
        <f t="shared" ref="AE41" si="60">AE34-AE40</f>
        <v>847.89999999999964</v>
      </c>
      <c r="AF41" s="8">
        <f>AF34-AF40</f>
        <v>685.80000000000018</v>
      </c>
      <c r="AG41" s="8">
        <f>AG34-AG40</f>
        <v>-1065.8999999999996</v>
      </c>
      <c r="AH41" s="8">
        <f>AH34-AH40</f>
        <v>-414.09999999999991</v>
      </c>
      <c r="AI41" s="8">
        <f>AI34-AI40</f>
        <v>-29.199999999999818</v>
      </c>
      <c r="AJ41" s="8">
        <f>AJ34-AJ40</f>
        <v>1364.9239251999998</v>
      </c>
      <c r="AK41" s="8">
        <f t="shared" ref="AK41:AQ41" si="61">AK34-AK40</f>
        <v>1567.0920780020015</v>
      </c>
      <c r="AL41" s="8">
        <f t="shared" si="61"/>
        <v>1778.8226688740215</v>
      </c>
      <c r="AM41" s="8">
        <f t="shared" si="61"/>
        <v>2000.5129524584427</v>
      </c>
      <c r="AN41" s="8">
        <f t="shared" si="61"/>
        <v>2232.5762211545343</v>
      </c>
      <c r="AO41" s="8">
        <f t="shared" si="61"/>
        <v>2475.4424481044471</v>
      </c>
      <c r="AP41" s="8">
        <f t="shared" si="61"/>
        <v>2729.5589559133932</v>
      </c>
      <c r="AQ41" s="8">
        <f t="shared" si="61"/>
        <v>2995.3911121335459</v>
      </c>
    </row>
    <row r="42" spans="2:99" s="7" customFormat="1" x14ac:dyDescent="0.2">
      <c r="B42" s="7" t="s">
        <v>33</v>
      </c>
      <c r="C42" s="8"/>
      <c r="D42" s="8"/>
      <c r="E42" s="8"/>
      <c r="F42" s="8">
        <v>-74.099999999999994</v>
      </c>
      <c r="G42" s="8">
        <v>-71.3</v>
      </c>
      <c r="H42" s="8">
        <v>-79.599999999999994</v>
      </c>
      <c r="I42" s="8">
        <v>-82.8</v>
      </c>
      <c r="J42" s="8">
        <v>-77.3</v>
      </c>
      <c r="K42" s="8">
        <v>-151.5</v>
      </c>
      <c r="L42" s="8">
        <v>-88.1</v>
      </c>
      <c r="M42" s="8">
        <v>-88.7</v>
      </c>
      <c r="N42" s="8">
        <v>-86.6</v>
      </c>
      <c r="O42" s="8">
        <v>-82</v>
      </c>
      <c r="P42" s="8">
        <f>-79.5-1</f>
        <v>-80.5</v>
      </c>
      <c r="Q42" s="8">
        <f>1-85.1-1-9.6+2.8</f>
        <v>-91.899999999999991</v>
      </c>
      <c r="R42" s="8">
        <v>-82</v>
      </c>
      <c r="S42" s="8">
        <v>-82</v>
      </c>
      <c r="T42" s="8">
        <v>-82</v>
      </c>
      <c r="U42" s="8">
        <v>-82</v>
      </c>
      <c r="V42" s="8">
        <v>-82</v>
      </c>
      <c r="W42" s="8"/>
      <c r="AC42" s="7">
        <v>-110.7</v>
      </c>
      <c r="AD42" s="7">
        <v>-231.6</v>
      </c>
      <c r="AE42" s="7">
        <v>-262.3</v>
      </c>
      <c r="AF42" s="7">
        <v>-292.8</v>
      </c>
      <c r="AG42" s="7">
        <f>SUM(G42:J42)</f>
        <v>-311</v>
      </c>
      <c r="AH42" s="7">
        <f t="shared" ref="AH42" si="62">SUM(K42:N42)</f>
        <v>-414.9</v>
      </c>
      <c r="AI42" s="7">
        <f t="shared" ref="AI42" si="63">SUM(O42:R42)</f>
        <v>-336.4</v>
      </c>
      <c r="AJ42" s="7">
        <f>SUM(S42:V42)</f>
        <v>-328</v>
      </c>
      <c r="AK42" s="7">
        <f>AJ60*0.07</f>
        <v>-253.96532523600004</v>
      </c>
      <c r="AL42" s="7">
        <f t="shared" ref="AL42:AO42" si="64">AK60*0.07</f>
        <v>-162.04645254237997</v>
      </c>
      <c r="AM42" s="7">
        <f t="shared" si="64"/>
        <v>-48.872117399165035</v>
      </c>
      <c r="AN42" s="7">
        <f t="shared" si="64"/>
        <v>87.742741054984407</v>
      </c>
      <c r="AO42" s="7">
        <f t="shared" si="64"/>
        <v>250.16506840965076</v>
      </c>
      <c r="AP42" s="7">
        <v>0</v>
      </c>
      <c r="AQ42" s="7">
        <v>0</v>
      </c>
    </row>
    <row r="43" spans="2:99" s="7" customFormat="1" x14ac:dyDescent="0.2">
      <c r="B43" s="7" t="s">
        <v>34</v>
      </c>
      <c r="C43" s="8"/>
      <c r="D43" s="8"/>
      <c r="E43" s="8"/>
      <c r="F43" s="8">
        <f t="shared" ref="F43" si="65">F41+F42</f>
        <v>170.8000000000001</v>
      </c>
      <c r="G43" s="8">
        <f t="shared" ref="G43" si="66">G41+G42</f>
        <v>-82.8</v>
      </c>
      <c r="H43" s="8">
        <f t="shared" ref="H43:I43" si="67">H41+H42</f>
        <v>-429.70000000000005</v>
      </c>
      <c r="I43" s="8">
        <f t="shared" si="67"/>
        <v>-437.8</v>
      </c>
      <c r="J43" s="8">
        <f t="shared" ref="J43:N43" si="68">J41+J42</f>
        <v>-426.59999999999997</v>
      </c>
      <c r="K43" s="8">
        <f t="shared" si="68"/>
        <v>-458.5</v>
      </c>
      <c r="L43" s="8">
        <f t="shared" si="68"/>
        <v>-274.69999999999993</v>
      </c>
      <c r="M43" s="8">
        <f t="shared" si="68"/>
        <v>-128.80000000000001</v>
      </c>
      <c r="N43" s="8">
        <f t="shared" si="68"/>
        <v>32.999999999999687</v>
      </c>
      <c r="O43" s="8">
        <f>O41+O42</f>
        <v>-149.80000000000018</v>
      </c>
      <c r="P43" s="8">
        <f>P41+P42</f>
        <v>0.5</v>
      </c>
      <c r="Q43" s="8">
        <f t="shared" ref="Q43:R43" si="69">Q41+Q42</f>
        <v>-109.60000000000015</v>
      </c>
      <c r="R43" s="8">
        <f t="shared" si="69"/>
        <v>-45.5</v>
      </c>
      <c r="S43" s="8">
        <f t="shared" ref="S43:V43" si="70">S41+S42</f>
        <v>132.91014987599988</v>
      </c>
      <c r="T43" s="8">
        <f t="shared" si="70"/>
        <v>446.04222929599996</v>
      </c>
      <c r="U43" s="8">
        <f t="shared" si="70"/>
        <v>240.36388563999981</v>
      </c>
      <c r="V43" s="8">
        <f t="shared" si="70"/>
        <v>267.13766038800009</v>
      </c>
      <c r="W43" s="8"/>
      <c r="AC43" s="8">
        <f t="shared" ref="AC43:AD43" si="71">AC41+AC42</f>
        <v>423.80000000000047</v>
      </c>
      <c r="AD43" s="8">
        <f t="shared" si="71"/>
        <v>515.64000000000067</v>
      </c>
      <c r="AE43" s="8">
        <f t="shared" ref="AE43" si="72">AE41+AE42</f>
        <v>585.59999999999968</v>
      </c>
      <c r="AF43" s="8">
        <f>AF41+AF42</f>
        <v>393.00000000000017</v>
      </c>
      <c r="AG43" s="8">
        <f>AG41+AG42</f>
        <v>-1376.8999999999996</v>
      </c>
      <c r="AH43" s="8">
        <f t="shared" ref="AH43" si="73">AH41+AH42</f>
        <v>-828.99999999999989</v>
      </c>
      <c r="AI43" s="8">
        <f t="shared" ref="AI43" si="74">AI41+AI42</f>
        <v>-365.5999999999998</v>
      </c>
      <c r="AJ43" s="8">
        <f>AJ41+AJ42</f>
        <v>1036.9239251999998</v>
      </c>
      <c r="AK43" s="8">
        <f t="shared" ref="AK43" si="75">AK41+AK42</f>
        <v>1313.1267527660013</v>
      </c>
      <c r="AL43" s="8">
        <f t="shared" ref="AL43" si="76">AL41+AL42</f>
        <v>1616.7762163316415</v>
      </c>
      <c r="AM43" s="8">
        <f t="shared" ref="AM43" si="77">AM41+AM42</f>
        <v>1951.6408350592776</v>
      </c>
      <c r="AN43" s="8">
        <f t="shared" ref="AN43" si="78">AN41+AN42</f>
        <v>2320.3189622095188</v>
      </c>
      <c r="AO43" s="8">
        <f t="shared" ref="AO43" si="79">AO41+AO42</f>
        <v>2725.6075165140978</v>
      </c>
      <c r="AP43" s="8">
        <f t="shared" ref="AP43" si="80">AP41+AP42</f>
        <v>2729.5589559133932</v>
      </c>
      <c r="AQ43" s="8">
        <f t="shared" ref="AQ43" si="81">AQ41+AQ42</f>
        <v>2995.3911121335459</v>
      </c>
    </row>
    <row r="44" spans="2:99" s="7" customFormat="1" x14ac:dyDescent="0.2">
      <c r="B44" s="7" t="s">
        <v>35</v>
      </c>
      <c r="C44" s="8"/>
      <c r="D44" s="8"/>
      <c r="E44" s="8"/>
      <c r="F44" s="8">
        <v>-33.4</v>
      </c>
      <c r="G44" s="8">
        <v>-68.2</v>
      </c>
      <c r="H44" s="8">
        <v>6.1</v>
      </c>
      <c r="I44" s="8">
        <v>4.5999999999999996</v>
      </c>
      <c r="J44" s="8">
        <v>-6.8</v>
      </c>
      <c r="K44" s="8">
        <v>-6.8</v>
      </c>
      <c r="L44" s="8">
        <v>5.2</v>
      </c>
      <c r="M44" s="8">
        <v>1.9</v>
      </c>
      <c r="N44" s="8">
        <v>3.7</v>
      </c>
      <c r="O44" s="8">
        <v>0.1</v>
      </c>
      <c r="P44" s="8">
        <v>0</v>
      </c>
      <c r="Q44" s="8">
        <v>1.8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/>
      <c r="AC44" s="7">
        <v>-38</v>
      </c>
      <c r="AD44" s="7">
        <v>-13.6</v>
      </c>
      <c r="AE44" s="7">
        <v>-13.6</v>
      </c>
      <c r="AF44" s="7">
        <v>22.5</v>
      </c>
      <c r="AG44" s="7">
        <f t="shared" ref="AG44" si="82">SUM(G44:J44)</f>
        <v>-64.3</v>
      </c>
      <c r="AH44" s="7">
        <f t="shared" ref="AH44" si="83">SUM(K44:N44)</f>
        <v>4</v>
      </c>
      <c r="AI44" s="7">
        <f t="shared" ref="AI44" si="84">SUM(O44:R44)</f>
        <v>1.9000000000000001</v>
      </c>
      <c r="AJ44" s="7">
        <f>SUM(S44:V44)</f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f>AP43*-0.3</f>
        <v>-818.8676867740179</v>
      </c>
      <c r="AQ44" s="7">
        <f>AQ43*-0.3</f>
        <v>-898.61733364006375</v>
      </c>
    </row>
    <row r="45" spans="2:99" s="7" customFormat="1" x14ac:dyDescent="0.2">
      <c r="B45" s="7" t="s">
        <v>36</v>
      </c>
      <c r="C45" s="8"/>
      <c r="D45" s="8"/>
      <c r="E45" s="8"/>
      <c r="F45" s="8">
        <f t="shared" ref="F45" si="85">F43+F44</f>
        <v>137.40000000000009</v>
      </c>
      <c r="G45" s="8">
        <f t="shared" ref="G45" si="86">G43+G44</f>
        <v>-151</v>
      </c>
      <c r="H45" s="8">
        <f t="shared" ref="H45:I45" si="87">H43+H44</f>
        <v>-423.6</v>
      </c>
      <c r="I45" s="8">
        <f t="shared" si="87"/>
        <v>-433.2</v>
      </c>
      <c r="J45" s="8">
        <f t="shared" ref="J45:N45" si="88">J43+J44</f>
        <v>-433.4</v>
      </c>
      <c r="K45" s="8">
        <f t="shared" si="88"/>
        <v>-465.3</v>
      </c>
      <c r="L45" s="8">
        <f t="shared" si="88"/>
        <v>-269.49999999999994</v>
      </c>
      <c r="M45" s="8">
        <f t="shared" si="88"/>
        <v>-126.9</v>
      </c>
      <c r="N45" s="8">
        <f t="shared" si="88"/>
        <v>36.69999999999969</v>
      </c>
      <c r="O45" s="8">
        <f>O43+O44</f>
        <v>-149.70000000000019</v>
      </c>
      <c r="P45" s="8">
        <f t="shared" ref="P45:R45" si="89">P43+P44</f>
        <v>0.5</v>
      </c>
      <c r="Q45" s="8">
        <f t="shared" si="89"/>
        <v>-107.80000000000015</v>
      </c>
      <c r="R45" s="8">
        <f t="shared" si="89"/>
        <v>-45.5</v>
      </c>
      <c r="S45" s="8">
        <f t="shared" ref="S45:V45" si="90">S43+S44</f>
        <v>132.91014987599988</v>
      </c>
      <c r="T45" s="8">
        <f t="shared" si="90"/>
        <v>446.04222929599996</v>
      </c>
      <c r="U45" s="8">
        <f t="shared" si="90"/>
        <v>240.36388563999981</v>
      </c>
      <c r="V45" s="8">
        <f t="shared" si="90"/>
        <v>267.13766038800009</v>
      </c>
      <c r="W45" s="8"/>
      <c r="AC45" s="8">
        <f t="shared" ref="AC45:AD45" si="91">AC43+AC44</f>
        <v>385.80000000000047</v>
      </c>
      <c r="AD45" s="8">
        <f t="shared" si="91"/>
        <v>502.04000000000065</v>
      </c>
      <c r="AE45" s="8">
        <f t="shared" ref="AE45" si="92">AE43+AE44</f>
        <v>571.99999999999966</v>
      </c>
      <c r="AF45" s="8">
        <f t="shared" ref="AF45" si="93">AF43+AF44</f>
        <v>415.50000000000017</v>
      </c>
      <c r="AG45" s="8">
        <f t="shared" ref="AG45" si="94">AG43+AG44</f>
        <v>-1441.1999999999996</v>
      </c>
      <c r="AH45" s="8">
        <f t="shared" ref="AH45" si="95">AH43+AH44</f>
        <v>-824.99999999999989</v>
      </c>
      <c r="AI45" s="8">
        <f t="shared" ref="AI45" si="96">AI43+AI44</f>
        <v>-363.69999999999982</v>
      </c>
      <c r="AJ45" s="8">
        <f t="shared" ref="AJ45" si="97">AJ43+AJ44</f>
        <v>1036.9239251999998</v>
      </c>
      <c r="AK45" s="8">
        <f t="shared" ref="AK45" si="98">AK43+AK44</f>
        <v>1313.1267527660013</v>
      </c>
      <c r="AL45" s="8">
        <f t="shared" ref="AL45" si="99">AL43+AL44</f>
        <v>1616.7762163316415</v>
      </c>
      <c r="AM45" s="8">
        <f t="shared" ref="AM45" si="100">AM43+AM44</f>
        <v>1951.6408350592776</v>
      </c>
      <c r="AN45" s="8">
        <f t="shared" ref="AN45" si="101">AN43+AN44</f>
        <v>2320.3189622095188</v>
      </c>
      <c r="AO45" s="8">
        <f t="shared" ref="AO45" si="102">AO43+AO44</f>
        <v>2725.6075165140978</v>
      </c>
      <c r="AP45" s="8">
        <f t="shared" ref="AP45" si="103">AP43+AP44</f>
        <v>1910.6912691393754</v>
      </c>
      <c r="AQ45" s="8">
        <f t="shared" ref="AQ45" si="104">AQ43+AQ44</f>
        <v>2096.773778493482</v>
      </c>
      <c r="AR45" s="7">
        <f>AQ45*(1+$AT$50)</f>
        <v>2075.8060407085472</v>
      </c>
      <c r="AS45" s="7">
        <f t="shared" ref="AS45:BW45" si="105">AR45*(1+$AT$50)</f>
        <v>2055.0479803014618</v>
      </c>
      <c r="AT45" s="7">
        <f t="shared" si="105"/>
        <v>2034.4975004984472</v>
      </c>
      <c r="AU45" s="7">
        <f t="shared" si="105"/>
        <v>2014.1525254934627</v>
      </c>
      <c r="AV45" s="7">
        <f t="shared" si="105"/>
        <v>1994.0110002385281</v>
      </c>
      <c r="AW45" s="7">
        <f t="shared" si="105"/>
        <v>1974.0708902361428</v>
      </c>
      <c r="AX45" s="7">
        <f t="shared" si="105"/>
        <v>1954.3301813337814</v>
      </c>
      <c r="AY45" s="7">
        <f t="shared" si="105"/>
        <v>1934.7868795204436</v>
      </c>
      <c r="AZ45" s="7">
        <f t="shared" si="105"/>
        <v>1915.4390107252391</v>
      </c>
      <c r="BA45" s="7">
        <f t="shared" si="105"/>
        <v>1896.2846206179868</v>
      </c>
      <c r="BB45" s="7">
        <f t="shared" si="105"/>
        <v>1877.3217744118069</v>
      </c>
      <c r="BC45" s="7">
        <f t="shared" si="105"/>
        <v>1858.5485566676889</v>
      </c>
      <c r="BD45" s="7">
        <f t="shared" si="105"/>
        <v>1839.963071101012</v>
      </c>
      <c r="BE45" s="7">
        <f t="shared" si="105"/>
        <v>1821.5634403900019</v>
      </c>
      <c r="BF45" s="7">
        <f t="shared" si="105"/>
        <v>1803.3478059861018</v>
      </c>
      <c r="BG45" s="7">
        <f t="shared" si="105"/>
        <v>1785.3143279262408</v>
      </c>
      <c r="BH45" s="7">
        <f t="shared" si="105"/>
        <v>1767.4611846469784</v>
      </c>
      <c r="BI45" s="7">
        <f t="shared" si="105"/>
        <v>1749.7865728005086</v>
      </c>
      <c r="BJ45" s="7">
        <f t="shared" si="105"/>
        <v>1732.2887070725035</v>
      </c>
      <c r="BK45" s="7">
        <f t="shared" si="105"/>
        <v>1714.9658200017784</v>
      </c>
      <c r="BL45" s="7">
        <f t="shared" si="105"/>
        <v>1697.8161618017607</v>
      </c>
      <c r="BM45" s="7">
        <f t="shared" si="105"/>
        <v>1680.8380001837431</v>
      </c>
      <c r="BN45" s="7">
        <f t="shared" si="105"/>
        <v>1664.0296201819058</v>
      </c>
      <c r="BO45" s="7">
        <f t="shared" si="105"/>
        <v>1647.3893239800866</v>
      </c>
      <c r="BP45" s="7">
        <f t="shared" si="105"/>
        <v>1630.9154307402857</v>
      </c>
      <c r="BQ45" s="7">
        <f t="shared" si="105"/>
        <v>1614.6062764328829</v>
      </c>
      <c r="BR45" s="7">
        <f t="shared" si="105"/>
        <v>1598.4602136685539</v>
      </c>
      <c r="BS45" s="7">
        <f t="shared" si="105"/>
        <v>1582.4756115318685</v>
      </c>
      <c r="BT45" s="7">
        <f t="shared" si="105"/>
        <v>1566.6508554165498</v>
      </c>
      <c r="BU45" s="7">
        <f t="shared" si="105"/>
        <v>1550.9843468623842</v>
      </c>
      <c r="BV45" s="7">
        <f t="shared" si="105"/>
        <v>1535.4745033937604</v>
      </c>
      <c r="BW45" s="7">
        <f t="shared" si="105"/>
        <v>1520.1197583598228</v>
      </c>
      <c r="BX45" s="7">
        <f t="shared" ref="BX45:CU45" si="106">BW45*(1+$AT$50)</f>
        <v>1504.9185607762245</v>
      </c>
      <c r="BY45" s="7">
        <f t="shared" si="106"/>
        <v>1489.8693751684623</v>
      </c>
      <c r="BZ45" s="7">
        <f t="shared" si="106"/>
        <v>1474.9706814167776</v>
      </c>
      <c r="CA45" s="7">
        <f t="shared" si="106"/>
        <v>1460.2209746026097</v>
      </c>
      <c r="CB45" s="7">
        <f t="shared" si="106"/>
        <v>1445.6187648565835</v>
      </c>
      <c r="CC45" s="7">
        <f t="shared" si="106"/>
        <v>1431.1625772080176</v>
      </c>
      <c r="CD45" s="7">
        <f t="shared" si="106"/>
        <v>1416.8509514359375</v>
      </c>
      <c r="CE45" s="7">
        <f t="shared" si="106"/>
        <v>1402.6824419215782</v>
      </c>
      <c r="CF45" s="7">
        <f t="shared" si="106"/>
        <v>1388.6556175023625</v>
      </c>
      <c r="CG45" s="7">
        <f t="shared" si="106"/>
        <v>1374.7690613273389</v>
      </c>
      <c r="CH45" s="7">
        <f t="shared" si="106"/>
        <v>1361.0213707140656</v>
      </c>
      <c r="CI45" s="7">
        <f t="shared" si="106"/>
        <v>1347.4111570069249</v>
      </c>
      <c r="CJ45" s="7">
        <f t="shared" si="106"/>
        <v>1333.9370454368557</v>
      </c>
      <c r="CK45" s="7">
        <f t="shared" si="106"/>
        <v>1320.5976749824872</v>
      </c>
      <c r="CL45" s="7">
        <f t="shared" si="106"/>
        <v>1307.3916982326623</v>
      </c>
      <c r="CM45" s="7">
        <f t="shared" si="106"/>
        <v>1294.3177812503357</v>
      </c>
      <c r="CN45" s="7">
        <f t="shared" si="106"/>
        <v>1281.3746034378323</v>
      </c>
      <c r="CO45" s="7">
        <f t="shared" si="106"/>
        <v>1268.5608574034541</v>
      </c>
      <c r="CP45" s="7">
        <f t="shared" si="106"/>
        <v>1255.8752488294194</v>
      </c>
      <c r="CQ45" s="7">
        <f t="shared" si="106"/>
        <v>1243.3164963411252</v>
      </c>
      <c r="CR45" s="7">
        <f t="shared" si="106"/>
        <v>1230.8833313777141</v>
      </c>
      <c r="CS45" s="7">
        <f t="shared" si="106"/>
        <v>1218.574498063937</v>
      </c>
      <c r="CT45" s="7">
        <f t="shared" si="106"/>
        <v>1206.3887530832976</v>
      </c>
      <c r="CU45" s="7">
        <f t="shared" si="106"/>
        <v>1194.3248655524646</v>
      </c>
    </row>
    <row r="46" spans="2:99" x14ac:dyDescent="0.2">
      <c r="B46" s="11" t="s">
        <v>37</v>
      </c>
      <c r="F46" s="3">
        <f t="shared" ref="F46" si="107">F45/F47</f>
        <v>1.3230621088107857</v>
      </c>
      <c r="G46" s="3">
        <f t="shared" ref="G46" si="108">G45/G47</f>
        <v>-1.448510719938606</v>
      </c>
      <c r="H46" s="3">
        <f t="shared" ref="H46:I46" si="109">H45/H47</f>
        <v>-4.0606217467575423</v>
      </c>
      <c r="I46" s="3">
        <f t="shared" si="109"/>
        <v>-4.0224708667997584</v>
      </c>
      <c r="J46" s="3">
        <f t="shared" ref="J46:N46" si="110">J45/J47</f>
        <v>-2.8455684899577829</v>
      </c>
      <c r="K46" s="3">
        <f t="shared" si="110"/>
        <v>-1.1629272876776695</v>
      </c>
      <c r="L46" s="3">
        <f t="shared" si="110"/>
        <v>-0.56060457927614393</v>
      </c>
      <c r="M46" s="3">
        <f t="shared" si="110"/>
        <v>-0.24720939746361989</v>
      </c>
      <c r="N46" s="3">
        <f t="shared" si="110"/>
        <v>7.1425235099955811E-2</v>
      </c>
      <c r="O46" s="3">
        <f>O45/O47</f>
        <v>-0.29016688957376324</v>
      </c>
      <c r="P46" s="3">
        <f t="shared" ref="P46:V46" si="111">P45/P47</f>
        <v>9.674529479258776E-4</v>
      </c>
      <c r="Q46" s="3">
        <f t="shared" si="111"/>
        <v>-0.10428698850521353</v>
      </c>
      <c r="R46" s="3">
        <f t="shared" si="111"/>
        <v>-4.1700691681582684E-2</v>
      </c>
      <c r="S46" s="3">
        <f t="shared" si="111"/>
        <v>0.12181198200729706</v>
      </c>
      <c r="T46" s="3">
        <f t="shared" si="111"/>
        <v>0.40879713144699564</v>
      </c>
      <c r="U46" s="3">
        <f t="shared" si="111"/>
        <v>0.22029319310902928</v>
      </c>
      <c r="V46" s="3">
        <f t="shared" si="111"/>
        <v>0.2448313233489964</v>
      </c>
      <c r="W46" s="3"/>
      <c r="AC46" s="1">
        <f t="shared" ref="AC46" si="112">AC45/AC47</f>
        <v>3.9020147261105316</v>
      </c>
      <c r="AD46" s="1">
        <f t="shared" ref="AD46" si="113">AD45/AD47</f>
        <v>3.9146640051151742</v>
      </c>
      <c r="AE46" s="1">
        <f t="shared" ref="AE46" si="114">AE45/AE47</f>
        <v>4.3964490219438126</v>
      </c>
      <c r="AF46" s="1">
        <f t="shared" ref="AF46" si="115">AF45/AF47</f>
        <v>4.0016565220741214</v>
      </c>
      <c r="AG46" s="1">
        <f>AG45/AG47</f>
        <v>-12.303069364828003</v>
      </c>
      <c r="AH46" s="1">
        <f t="shared" ref="AH46:AI46" si="116">AH45/AH47</f>
        <v>-1.7295633743466965</v>
      </c>
      <c r="AI46" s="1">
        <f t="shared" si="116"/>
        <v>-0.46074046579505579</v>
      </c>
      <c r="AJ46" s="1">
        <f t="shared" ref="AJ46" si="117">AJ45/AJ47</f>
        <v>0.95033944839608131</v>
      </c>
      <c r="AK46" s="1">
        <f t="shared" ref="AK46" si="118">AK45/AK47</f>
        <v>1.2034789858446786</v>
      </c>
      <c r="AL46" s="1">
        <f t="shared" ref="AL46" si="119">AL45/AL47</f>
        <v>1.4817733300079476</v>
      </c>
      <c r="AM46" s="1">
        <f t="shared" ref="AM46" si="120">AM45/AM47</f>
        <v>1.788676323867989</v>
      </c>
      <c r="AN46" s="1">
        <f t="shared" ref="AN46" si="121">AN45/AN47</f>
        <v>2.1265693548577813</v>
      </c>
      <c r="AO46" s="1">
        <f t="shared" ref="AO46" si="122">AO45/AO47</f>
        <v>2.498015795410081</v>
      </c>
      <c r="AP46" s="1">
        <f t="shared" ref="AP46" si="123">AP45/AP47</f>
        <v>1.751146099188418</v>
      </c>
      <c r="AQ46" s="1">
        <f t="shared" ref="AQ46" si="124">AQ45/AQ47</f>
        <v>1.9216904805051394</v>
      </c>
    </row>
    <row r="47" spans="2:99" s="11" customFormat="1" x14ac:dyDescent="0.2">
      <c r="B47" s="11" t="s">
        <v>1</v>
      </c>
      <c r="C47" s="12"/>
      <c r="D47" s="12"/>
      <c r="E47" s="12"/>
      <c r="F47" s="12">
        <v>103.85</v>
      </c>
      <c r="G47" s="12">
        <v>104.245</v>
      </c>
      <c r="H47" s="12">
        <v>104.319</v>
      </c>
      <c r="I47" s="12">
        <v>107.69499999999999</v>
      </c>
      <c r="J47" s="12">
        <v>152.30699999999999</v>
      </c>
      <c r="K47" s="12">
        <v>400.11099999999999</v>
      </c>
      <c r="L47" s="12">
        <v>480.73099999999999</v>
      </c>
      <c r="M47" s="12">
        <v>513.33000000000004</v>
      </c>
      <c r="N47" s="12">
        <v>513.82399999999996</v>
      </c>
      <c r="O47" s="12">
        <v>515.91</v>
      </c>
      <c r="P47" s="12">
        <v>516.82100000000003</v>
      </c>
      <c r="Q47" s="16">
        <v>1033.6859999999999</v>
      </c>
      <c r="R47" s="16">
        <v>1091.1089999999999</v>
      </c>
      <c r="S47" s="16">
        <f t="shared" ref="S47:V47" si="125">+R47</f>
        <v>1091.1089999999999</v>
      </c>
      <c r="T47" s="16">
        <f t="shared" si="125"/>
        <v>1091.1089999999999</v>
      </c>
      <c r="U47" s="16">
        <f t="shared" si="125"/>
        <v>1091.1089999999999</v>
      </c>
      <c r="V47" s="16">
        <f t="shared" si="125"/>
        <v>1091.1089999999999</v>
      </c>
      <c r="W47" s="12"/>
      <c r="AC47" s="11">
        <v>98.872</v>
      </c>
      <c r="AD47" s="11">
        <v>128.24600000000001</v>
      </c>
      <c r="AE47" s="11">
        <v>130.10499999999999</v>
      </c>
      <c r="AF47" s="11">
        <v>103.83199999999999</v>
      </c>
      <c r="AG47" s="11">
        <f>AVERAGE(G47:J47)</f>
        <v>117.14150000000001</v>
      </c>
      <c r="AH47" s="11">
        <f>AVERAGE(K47:N47)</f>
        <v>476.99900000000002</v>
      </c>
      <c r="AI47" s="11">
        <f>AVERAGE(O47:R47)</f>
        <v>789.38149999999996</v>
      </c>
      <c r="AJ47" s="15">
        <f>AVERAGE(S47:V47)</f>
        <v>1091.1089999999999</v>
      </c>
      <c r="AK47" s="15">
        <f t="shared" ref="AK47:AQ47" si="126">AJ47</f>
        <v>1091.1089999999999</v>
      </c>
      <c r="AL47" s="15">
        <f t="shared" si="126"/>
        <v>1091.1089999999999</v>
      </c>
      <c r="AM47" s="15">
        <f t="shared" si="126"/>
        <v>1091.1089999999999</v>
      </c>
      <c r="AN47" s="15">
        <f t="shared" si="126"/>
        <v>1091.1089999999999</v>
      </c>
      <c r="AO47" s="15">
        <f t="shared" si="126"/>
        <v>1091.1089999999999</v>
      </c>
      <c r="AP47" s="15">
        <f t="shared" si="126"/>
        <v>1091.1089999999999</v>
      </c>
      <c r="AQ47" s="15">
        <f t="shared" si="126"/>
        <v>1091.1089999999999</v>
      </c>
    </row>
    <row r="49" spans="2:46" s="4" customFormat="1" x14ac:dyDescent="0.2">
      <c r="B49" s="13" t="s">
        <v>38</v>
      </c>
      <c r="C49" s="5"/>
      <c r="D49" s="5"/>
      <c r="E49" s="5"/>
      <c r="F49" s="5"/>
      <c r="G49" s="5"/>
      <c r="H49" s="5"/>
      <c r="I49" s="5"/>
      <c r="J49" s="14">
        <f t="shared" ref="J49" si="127">J34/F34-1</f>
        <v>-0.88775298749740972</v>
      </c>
      <c r="K49" s="14">
        <f t="shared" ref="K49:M49" si="128">K34/G34-1</f>
        <v>-0.84248539564524694</v>
      </c>
      <c r="L49" s="14">
        <f t="shared" si="128"/>
        <v>22.529100529100525</v>
      </c>
      <c r="M49" s="14">
        <f t="shared" si="128"/>
        <v>5.3866108786610871</v>
      </c>
      <c r="N49" s="14">
        <f>N34/J34-1</f>
        <v>6.2104615384615371</v>
      </c>
      <c r="O49" s="14">
        <f>O34/K34-1</f>
        <v>4.2980445043830064</v>
      </c>
      <c r="P49" s="14">
        <f t="shared" ref="P49:R49" si="129">P34/L34-1</f>
        <v>1.6228918371936141</v>
      </c>
      <c r="Q49" s="14">
        <f t="shared" si="129"/>
        <v>0.26886792452830188</v>
      </c>
      <c r="R49" s="14">
        <f t="shared" si="129"/>
        <v>-0.1345907655543227</v>
      </c>
      <c r="S49" s="14"/>
      <c r="T49" s="14"/>
      <c r="U49" s="14"/>
      <c r="V49" s="14"/>
      <c r="W49" s="14"/>
      <c r="AD49" s="18">
        <f t="shared" ref="AD49:AE49" si="130">AD34/AC34-1</f>
        <v>0.56965295590098575</v>
      </c>
      <c r="AE49" s="18">
        <f t="shared" si="130"/>
        <v>7.5121474866318705E-2</v>
      </c>
      <c r="AF49" s="18">
        <f>AF34/AE34-1</f>
        <v>1.8678581892763724E-3</v>
      </c>
      <c r="AG49" s="18">
        <f>AG34/AF34-1</f>
        <v>-0.77291171632242728</v>
      </c>
      <c r="AH49" s="18">
        <f t="shared" ref="AH49:AI49" si="131">AH34/AG34-1</f>
        <v>1.0346909207984547</v>
      </c>
      <c r="AI49" s="18">
        <f t="shared" si="131"/>
        <v>0.53222042011155479</v>
      </c>
      <c r="AJ49" s="18">
        <f t="shared" ref="AJ49:AQ49" si="132">AJ34/AI34-1</f>
        <v>0.6223798272790646</v>
      </c>
      <c r="AK49" s="18">
        <f t="shared" si="132"/>
        <v>4.0000000000000036E-2</v>
      </c>
      <c r="AL49" s="18">
        <f t="shared" si="132"/>
        <v>4.0000000000000036E-2</v>
      </c>
      <c r="AM49" s="18">
        <f t="shared" si="132"/>
        <v>4.0000000000000036E-2</v>
      </c>
      <c r="AN49" s="18">
        <f t="shared" si="132"/>
        <v>4.0000000000000036E-2</v>
      </c>
      <c r="AO49" s="18">
        <f t="shared" si="132"/>
        <v>4.0000000000000036E-2</v>
      </c>
      <c r="AP49" s="18">
        <f t="shared" si="132"/>
        <v>4.0000000000000036E-2</v>
      </c>
      <c r="AQ49" s="18">
        <f t="shared" si="132"/>
        <v>4.0000000000000036E-2</v>
      </c>
      <c r="AS49" t="s">
        <v>59</v>
      </c>
      <c r="AT49" s="20">
        <v>0.08</v>
      </c>
    </row>
    <row r="50" spans="2:46" x14ac:dyDescent="0.2">
      <c r="B50" s="11" t="s">
        <v>58</v>
      </c>
      <c r="F50" s="19">
        <f>F35/F34</f>
        <v>0.30013124266077224</v>
      </c>
      <c r="G50" s="19">
        <f t="shared" ref="G50:R50" si="133">G35/G34</f>
        <v>0.28858204992033987</v>
      </c>
      <c r="H50" s="19">
        <f t="shared" si="133"/>
        <v>1.0582010582010581E-2</v>
      </c>
      <c r="I50" s="19">
        <f t="shared" si="133"/>
        <v>0.22259414225941423</v>
      </c>
      <c r="J50" s="19">
        <f t="shared" si="133"/>
        <v>0.14892307692307691</v>
      </c>
      <c r="K50" s="19">
        <f t="shared" si="133"/>
        <v>0.14834794335805798</v>
      </c>
      <c r="L50" s="19">
        <f t="shared" si="133"/>
        <v>0.22239712165504835</v>
      </c>
      <c r="M50" s="19">
        <f t="shared" si="133"/>
        <v>0.2312631027253669</v>
      </c>
      <c r="N50" s="19">
        <f t="shared" si="133"/>
        <v>0.26482888111291292</v>
      </c>
      <c r="O50" s="19">
        <f>O35/O34</f>
        <v>0.24156802850960929</v>
      </c>
      <c r="P50" s="19">
        <f>P35/P34</f>
        <v>0.28180727023319613</v>
      </c>
      <c r="Q50" s="19">
        <f t="shared" si="133"/>
        <v>0.27178851714167701</v>
      </c>
      <c r="R50" s="19">
        <f t="shared" si="133"/>
        <v>0.26627218934911245</v>
      </c>
      <c r="S50" s="19"/>
      <c r="T50" s="19"/>
      <c r="U50" s="19"/>
      <c r="V50" s="19"/>
      <c r="W50" s="19"/>
      <c r="AC50" s="19">
        <f t="shared" ref="AC50:AQ50" si="134">AC35/AC34</f>
        <v>0.33669149232052903</v>
      </c>
      <c r="AD50" s="19">
        <f t="shared" si="134"/>
        <v>0.31585434041313265</v>
      </c>
      <c r="AE50" s="19">
        <f t="shared" si="134"/>
        <v>0.31317755640199241</v>
      </c>
      <c r="AF50" s="19">
        <f t="shared" si="134"/>
        <v>0.3105647961981356</v>
      </c>
      <c r="AG50" s="19">
        <f t="shared" si="134"/>
        <v>0.25973921442369602</v>
      </c>
      <c r="AH50" s="19">
        <f t="shared" si="134"/>
        <v>0.24039716760947824</v>
      </c>
      <c r="AI50" s="19">
        <f t="shared" si="134"/>
        <v>0.27152557250922987</v>
      </c>
      <c r="AJ50" s="19">
        <f t="shared" si="134"/>
        <v>0.28000000000000003</v>
      </c>
      <c r="AK50" s="19">
        <f t="shared" si="134"/>
        <v>0.27192307692307693</v>
      </c>
      <c r="AL50" s="19">
        <f t="shared" si="134"/>
        <v>0.26407914201183436</v>
      </c>
      <c r="AM50" s="19">
        <f t="shared" si="134"/>
        <v>0.25646147445380063</v>
      </c>
      <c r="AN50" s="19">
        <f t="shared" si="134"/>
        <v>0.24906354730609481</v>
      </c>
      <c r="AO50" s="19">
        <f t="shared" si="134"/>
        <v>0.2418790219030344</v>
      </c>
      <c r="AP50" s="19">
        <f t="shared" si="134"/>
        <v>0.23490174242506226</v>
      </c>
      <c r="AQ50" s="19">
        <f t="shared" si="134"/>
        <v>0.22812573062433927</v>
      </c>
      <c r="AS50" t="s">
        <v>60</v>
      </c>
      <c r="AT50" s="20">
        <v>-0.01</v>
      </c>
    </row>
    <row r="51" spans="2:46" x14ac:dyDescent="0.2">
      <c r="B51" s="11" t="s">
        <v>106</v>
      </c>
      <c r="F51" s="19">
        <f>(F30-F35)/F30</f>
        <v>0.50456100342075261</v>
      </c>
      <c r="G51" s="19">
        <f t="shared" ref="G51:R51" si="135">(G30-G35)/G30</f>
        <v>0.52165492957746484</v>
      </c>
      <c r="H51" s="19">
        <f t="shared" si="135"/>
        <v>0.77777777777777768</v>
      </c>
      <c r="I51" s="19">
        <f t="shared" si="135"/>
        <v>0.57710651828298887</v>
      </c>
      <c r="J51" s="19">
        <f t="shared" si="135"/>
        <v>0.69863013698630128</v>
      </c>
      <c r="K51" s="19">
        <f t="shared" si="135"/>
        <v>0.68345323741007191</v>
      </c>
      <c r="L51" s="19">
        <f t="shared" si="135"/>
        <v>0.57553648068669527</v>
      </c>
      <c r="M51" s="19">
        <f t="shared" si="135"/>
        <v>0.58480357562926377</v>
      </c>
      <c r="N51" s="19">
        <f t="shared" si="135"/>
        <v>0.53450345034503455</v>
      </c>
      <c r="O51" s="19">
        <f t="shared" si="135"/>
        <v>0.57232987832356919</v>
      </c>
      <c r="P51" s="19">
        <f>(P30-P35)/P30</f>
        <v>0.49508448540706607</v>
      </c>
      <c r="Q51" s="19">
        <f t="shared" si="135"/>
        <v>0.51732991014120666</v>
      </c>
      <c r="R51" s="19">
        <f t="shared" si="135"/>
        <v>0.53035310488780651</v>
      </c>
      <c r="S51" s="19"/>
      <c r="T51" s="19"/>
      <c r="U51" s="19"/>
      <c r="V51" s="19"/>
      <c r="W51" s="19"/>
      <c r="AC51" s="19">
        <f t="shared" ref="AC51:AG51" si="136">(AC30-AC35)/AC30</f>
        <v>0.4683809895579194</v>
      </c>
      <c r="AD51" s="19">
        <f t="shared" si="136"/>
        <v>0.50323579501470816</v>
      </c>
      <c r="AE51" s="19">
        <f t="shared" si="136"/>
        <v>0.49477104874446082</v>
      </c>
      <c r="AF51" s="19">
        <f t="shared" si="136"/>
        <v>0.48532396328718996</v>
      </c>
      <c r="AG51" s="19">
        <f t="shared" si="136"/>
        <v>0.54683330992838075</v>
      </c>
      <c r="AH51" s="19">
        <f>(AH30-AH35)/AH30</f>
        <v>0.56412279443408408</v>
      </c>
      <c r="AI51" s="19">
        <f t="shared" ref="AI51:AQ51" si="137">(AI30-AI35)/AI30</f>
        <v>0.52519187358916475</v>
      </c>
      <c r="AJ51" s="19" t="e">
        <f t="shared" si="137"/>
        <v>#DIV/0!</v>
      </c>
      <c r="AK51" s="19" t="e">
        <f t="shared" si="137"/>
        <v>#DIV/0!</v>
      </c>
      <c r="AL51" s="19" t="e">
        <f t="shared" si="137"/>
        <v>#DIV/0!</v>
      </c>
      <c r="AM51" s="19" t="e">
        <f t="shared" si="137"/>
        <v>#DIV/0!</v>
      </c>
      <c r="AN51" s="19" t="e">
        <f t="shared" si="137"/>
        <v>#DIV/0!</v>
      </c>
      <c r="AO51" s="19" t="e">
        <f t="shared" si="137"/>
        <v>#DIV/0!</v>
      </c>
      <c r="AP51" s="19" t="e">
        <f t="shared" si="137"/>
        <v>#DIV/0!</v>
      </c>
      <c r="AQ51" s="19" t="e">
        <f t="shared" si="137"/>
        <v>#DIV/0!</v>
      </c>
      <c r="AS51" s="4" t="s">
        <v>61</v>
      </c>
      <c r="AT51" s="17">
        <f>NPV(AT49,AJ45:DI45)+Main!N5-Main!N6</f>
        <v>18094.501114192612</v>
      </c>
    </row>
    <row r="52" spans="2:46" x14ac:dyDescent="0.2">
      <c r="B52" s="11" t="s">
        <v>57</v>
      </c>
      <c r="F52" s="19">
        <f>F41/F34</f>
        <v>0.16916488222698078</v>
      </c>
      <c r="G52" s="19">
        <f t="shared" ref="G52:R52" si="138">G41/G34</f>
        <v>-1.2214551248008496E-2</v>
      </c>
      <c r="H52" s="19">
        <f t="shared" si="138"/>
        <v>-18.523809523809522</v>
      </c>
      <c r="I52" s="19">
        <f t="shared" si="138"/>
        <v>-2.9707112970711296</v>
      </c>
      <c r="J52" s="19">
        <f t="shared" si="138"/>
        <v>-2.1495384615384614</v>
      </c>
      <c r="K52" s="19">
        <f t="shared" si="138"/>
        <v>-2.0701281186783547</v>
      </c>
      <c r="L52" s="19">
        <f t="shared" si="138"/>
        <v>-0.41960872498313462</v>
      </c>
      <c r="M52" s="19">
        <f t="shared" si="138"/>
        <v>-5.2541928721174039E-2</v>
      </c>
      <c r="N52" s="19">
        <f t="shared" si="138"/>
        <v>0.10207390970384886</v>
      </c>
      <c r="O52" s="19">
        <f t="shared" si="138"/>
        <v>-8.6292478045055604E-2</v>
      </c>
      <c r="P52" s="19">
        <f t="shared" si="138"/>
        <v>6.9444444444444434E-2</v>
      </c>
      <c r="Q52" s="19">
        <f t="shared" si="138"/>
        <v>-1.8277571251549114E-2</v>
      </c>
      <c r="R52" s="19">
        <f t="shared" si="138"/>
        <v>3.5996055226824461E-2</v>
      </c>
      <c r="S52" s="19"/>
      <c r="T52" s="19"/>
      <c r="U52" s="19"/>
      <c r="V52" s="19"/>
      <c r="W52" s="19"/>
      <c r="AC52" s="19">
        <f t="shared" ref="AC52:AQ52" si="139">AC41/AC34</f>
        <v>0.1651781575450417</v>
      </c>
      <c r="AD52" s="19">
        <f t="shared" si="139"/>
        <v>0.14711649774375707</v>
      </c>
      <c r="AE52" s="19">
        <f t="shared" si="139"/>
        <v>0.15527029006738932</v>
      </c>
      <c r="AF52" s="19">
        <f t="shared" si="139"/>
        <v>0.12535185523670264</v>
      </c>
      <c r="AG52" s="19">
        <f t="shared" si="139"/>
        <v>-0.85793625241468086</v>
      </c>
      <c r="AH52" s="19">
        <f t="shared" si="139"/>
        <v>-0.16381185964634673</v>
      </c>
      <c r="AI52" s="19">
        <f>AI41/AI34</f>
        <v>-7.5387912116282804E-3</v>
      </c>
      <c r="AJ52" s="19">
        <f t="shared" si="139"/>
        <v>0.21720747793902181</v>
      </c>
      <c r="AK52" s="19">
        <f t="shared" si="139"/>
        <v>0.23978803146001182</v>
      </c>
      <c r="AL52" s="19">
        <f t="shared" si="139"/>
        <v>0.26171722286020377</v>
      </c>
      <c r="AM52" s="19">
        <f t="shared" si="139"/>
        <v>0.28301384143154412</v>
      </c>
      <c r="AN52" s="19">
        <f t="shared" si="139"/>
        <v>0.30369613446717264</v>
      </c>
      <c r="AO52" s="19">
        <f t="shared" si="139"/>
        <v>0.32378182289600421</v>
      </c>
      <c r="AP52" s="19">
        <f t="shared" si="139"/>
        <v>0.34328811646631169</v>
      </c>
      <c r="AQ52" s="19">
        <f t="shared" si="139"/>
        <v>0.36223172849132196</v>
      </c>
      <c r="AS52" t="s">
        <v>62</v>
      </c>
      <c r="AT52" s="1">
        <f>AT51/Main!N3</f>
        <v>17.256905685630741</v>
      </c>
    </row>
    <row r="53" spans="2:46" x14ac:dyDescent="0.2">
      <c r="B53" s="11" t="s">
        <v>64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A53" s="20">
        <f>AA26/Z26-1</f>
        <v>-9.0866633016087883E-3</v>
      </c>
      <c r="AB53" s="20">
        <f t="shared" ref="AB53:AH53" si="140">AB26/AA26-1</f>
        <v>2.7998191966112973E-2</v>
      </c>
      <c r="AC53" s="20">
        <f t="shared" si="140"/>
        <v>2.2576932497140545E-2</v>
      </c>
      <c r="AD53" s="20">
        <f t="shared" si="140"/>
        <v>-2.6643990531081463E-2</v>
      </c>
      <c r="AE53" s="20">
        <f t="shared" si="140"/>
        <v>7.3574553749574445E-2</v>
      </c>
      <c r="AF53" s="20">
        <f t="shared" si="140"/>
        <v>-4.7763078683775273E-2</v>
      </c>
      <c r="AG53" s="20">
        <f t="shared" si="140"/>
        <v>-0.81422798616458314</v>
      </c>
      <c r="AH53" s="20">
        <f t="shared" si="140"/>
        <v>1.1344394528426767</v>
      </c>
      <c r="AI53" s="19"/>
      <c r="AJ53" s="19"/>
      <c r="AK53" s="19"/>
      <c r="AL53" s="19"/>
      <c r="AM53" s="19"/>
      <c r="AN53" s="19"/>
      <c r="AO53" s="19"/>
      <c r="AP53" s="19"/>
      <c r="AQ53" s="19"/>
    </row>
    <row r="54" spans="2:46" x14ac:dyDescent="0.2">
      <c r="B54" s="11" t="s">
        <v>65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A54" s="20"/>
      <c r="AB54" s="20"/>
      <c r="AC54" s="20">
        <f>AC30/AC26</f>
        <v>0.18013517081637956</v>
      </c>
      <c r="AD54" s="20">
        <f t="shared" ref="AD54:AH54" si="141">AD30/AD26</f>
        <v>0.29163212217430867</v>
      </c>
      <c r="AE54" s="20">
        <f t="shared" si="141"/>
        <v>0.28472561072802366</v>
      </c>
      <c r="AF54" s="20">
        <f t="shared" si="141"/>
        <v>0.29161364111956389</v>
      </c>
      <c r="AG54" s="20">
        <f t="shared" si="141"/>
        <v>0.33859733877041753</v>
      </c>
      <c r="AH54" s="20">
        <f t="shared" si="141"/>
        <v>0.31058737146668441</v>
      </c>
      <c r="AI54" s="20"/>
      <c r="AJ54" s="19"/>
      <c r="AK54" s="19"/>
      <c r="AL54" s="19"/>
      <c r="AM54" s="19"/>
      <c r="AN54" s="19"/>
      <c r="AO54" s="19"/>
      <c r="AP54" s="19"/>
      <c r="AQ54" s="19"/>
      <c r="AS54" s="4"/>
      <c r="AT54" s="17"/>
    </row>
    <row r="55" spans="2:46" s="4" customFormat="1" x14ac:dyDescent="0.2">
      <c r="B55" s="13"/>
      <c r="C55" s="5"/>
      <c r="D55" s="5"/>
      <c r="E55" s="5"/>
      <c r="F55" s="5"/>
      <c r="G55" s="5"/>
      <c r="H55" s="5"/>
      <c r="I55" s="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2:46" x14ac:dyDescent="0.2">
      <c r="B56" s="11" t="s">
        <v>120</v>
      </c>
      <c r="F56" s="3">
        <v>7.2</v>
      </c>
      <c r="G56" s="2">
        <v>3.16</v>
      </c>
      <c r="H56" s="2">
        <v>4.29</v>
      </c>
      <c r="I56" s="2">
        <v>4.71</v>
      </c>
      <c r="J56" s="3">
        <v>2.12</v>
      </c>
      <c r="K56" s="3">
        <v>10.210000000000001</v>
      </c>
      <c r="L56" s="3">
        <v>56.68</v>
      </c>
      <c r="M56" s="3">
        <v>38.06</v>
      </c>
      <c r="N56" s="3">
        <v>27.2</v>
      </c>
      <c r="O56" s="3">
        <v>24.64</v>
      </c>
      <c r="P56" s="3">
        <v>13.55</v>
      </c>
      <c r="Q56" s="3">
        <v>6.97</v>
      </c>
      <c r="R56" s="19"/>
      <c r="S56" s="19"/>
      <c r="T56" s="19"/>
      <c r="U56" s="19"/>
      <c r="V56" s="19"/>
      <c r="W56" s="19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2:46" x14ac:dyDescent="0.2">
      <c r="B57" s="11" t="s">
        <v>121</v>
      </c>
      <c r="F57" s="16">
        <f>F56*F47</f>
        <v>747.72</v>
      </c>
      <c r="G57" s="16">
        <f t="shared" ref="G57:O57" si="142">G56*G47</f>
        <v>329.41420000000005</v>
      </c>
      <c r="H57" s="16">
        <f t="shared" si="142"/>
        <v>447.52851000000004</v>
      </c>
      <c r="I57" s="16">
        <f t="shared" si="142"/>
        <v>507.24344999999994</v>
      </c>
      <c r="J57" s="16">
        <f t="shared" si="142"/>
        <v>322.89083999999997</v>
      </c>
      <c r="K57" s="16">
        <f t="shared" si="142"/>
        <v>4085.1333100000002</v>
      </c>
      <c r="L57" s="16">
        <f t="shared" si="142"/>
        <v>27247.83308</v>
      </c>
      <c r="M57" s="16">
        <f t="shared" si="142"/>
        <v>19537.339800000002</v>
      </c>
      <c r="N57" s="16">
        <f t="shared" si="142"/>
        <v>13976.012799999999</v>
      </c>
      <c r="O57" s="16">
        <f t="shared" si="142"/>
        <v>12712.0224</v>
      </c>
      <c r="P57" s="16">
        <f t="shared" ref="P57" si="143">P56*P47</f>
        <v>7002.9245500000006</v>
      </c>
      <c r="Q57" s="16">
        <f>Q56*Q47</f>
        <v>7204.7914199999996</v>
      </c>
      <c r="R57" s="19"/>
      <c r="S57" s="19"/>
      <c r="T57" s="19"/>
      <c r="U57" s="19"/>
      <c r="V57" s="19"/>
      <c r="W57" s="19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2:46" x14ac:dyDescent="0.2">
      <c r="B58" s="11" t="s">
        <v>122</v>
      </c>
      <c r="F58" s="16"/>
      <c r="G58" s="16"/>
      <c r="H58" s="16"/>
      <c r="I58" s="16"/>
      <c r="J58" s="16"/>
      <c r="K58" s="16"/>
      <c r="L58" s="16"/>
      <c r="M58" s="16">
        <f>M57-M60</f>
        <v>23349.9398</v>
      </c>
      <c r="N58" s="16">
        <f>N57-N60</f>
        <v>17783.712799999998</v>
      </c>
      <c r="O58" s="16">
        <f>O57-O60</f>
        <v>17045.222399999999</v>
      </c>
      <c r="P58" s="16">
        <f>P57-P60</f>
        <v>11393.224549999999</v>
      </c>
      <c r="Q58" s="16">
        <f>Q57-Q60</f>
        <v>11824.29142</v>
      </c>
      <c r="R58" s="19"/>
      <c r="S58" s="19"/>
      <c r="T58" s="19"/>
      <c r="U58" s="19"/>
      <c r="V58" s="19"/>
      <c r="W58" s="19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46" s="4" customFormat="1" x14ac:dyDescent="0.2">
      <c r="B59" s="13"/>
      <c r="C59" s="5"/>
      <c r="D59" s="5"/>
      <c r="E59" s="5"/>
      <c r="F59" s="5"/>
      <c r="G59" s="5"/>
      <c r="H59" s="5"/>
      <c r="I59" s="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2:46" x14ac:dyDescent="0.2">
      <c r="B60" t="s">
        <v>56</v>
      </c>
      <c r="K60" s="8">
        <f t="shared" ref="K60" si="144">K61-K74</f>
        <v>-4617.2999999999993</v>
      </c>
      <c r="L60" s="8">
        <f t="shared" ref="L60" si="145">L61-L74</f>
        <v>-3660.7999999999993</v>
      </c>
      <c r="M60" s="8">
        <f>M61-M74</f>
        <v>-3812.6000000000004</v>
      </c>
      <c r="N60" s="8">
        <f>N61-N74</f>
        <v>-3807.7</v>
      </c>
      <c r="O60" s="8">
        <f>O61-O74</f>
        <v>-4333.2</v>
      </c>
      <c r="P60" s="8">
        <f>P61-P74</f>
        <v>-4390.2999999999993</v>
      </c>
      <c r="Q60" s="8">
        <f>Q61-Q74</f>
        <v>-4619.5</v>
      </c>
      <c r="R60" s="8">
        <f>Q60+R45</f>
        <v>-4665</v>
      </c>
      <c r="S60" s="8"/>
      <c r="T60" s="8"/>
      <c r="U60" s="8"/>
      <c r="V60" s="8"/>
      <c r="W60" s="8"/>
      <c r="AI60" s="7">
        <f>R60</f>
        <v>-4665</v>
      </c>
      <c r="AJ60" s="7">
        <f t="shared" ref="AJ60:AQ60" si="146">AI60+AJ45</f>
        <v>-3628.0760748000002</v>
      </c>
      <c r="AK60" s="7">
        <f t="shared" si="146"/>
        <v>-2314.9493220339991</v>
      </c>
      <c r="AL60" s="7">
        <f t="shared" si="146"/>
        <v>-698.17310570235759</v>
      </c>
      <c r="AM60" s="7">
        <f t="shared" si="146"/>
        <v>1253.46772935692</v>
      </c>
      <c r="AN60" s="7">
        <f t="shared" si="146"/>
        <v>3573.786691566439</v>
      </c>
      <c r="AO60" s="7">
        <f t="shared" si="146"/>
        <v>6299.3942080805373</v>
      </c>
      <c r="AP60" s="7">
        <f t="shared" si="146"/>
        <v>8210.0854772199127</v>
      </c>
      <c r="AQ60" s="7">
        <f t="shared" si="146"/>
        <v>10306.859255713394</v>
      </c>
    </row>
    <row r="61" spans="2:46" s="7" customFormat="1" x14ac:dyDescent="0.2">
      <c r="B61" s="7" t="s">
        <v>3</v>
      </c>
      <c r="C61" s="8"/>
      <c r="D61" s="8"/>
      <c r="E61" s="8"/>
      <c r="F61" s="8"/>
      <c r="G61" s="8"/>
      <c r="H61" s="8"/>
      <c r="I61" s="8"/>
      <c r="J61" s="8"/>
      <c r="K61" s="8">
        <f>813.1+29</f>
        <v>842.1</v>
      </c>
      <c r="L61" s="8">
        <f>1811.2+28.4</f>
        <v>1839.6000000000001</v>
      </c>
      <c r="M61" s="8">
        <f>1612.5+27.7</f>
        <v>1640.2</v>
      </c>
      <c r="N61" s="8">
        <f>1592.5+27.8</f>
        <v>1620.3</v>
      </c>
      <c r="O61" s="8">
        <f>1164.9+23.7</f>
        <v>1188.6000000000001</v>
      </c>
      <c r="P61" s="8">
        <f>965.2+22.7</f>
        <v>987.90000000000009</v>
      </c>
      <c r="Q61" s="8">
        <f>684.6+21.2</f>
        <v>705.80000000000007</v>
      </c>
      <c r="R61" s="8"/>
      <c r="S61" s="8"/>
      <c r="T61" s="8"/>
      <c r="U61" s="8"/>
      <c r="V61" s="8"/>
      <c r="W61" s="8"/>
    </row>
    <row r="62" spans="2:46" s="7" customFormat="1" x14ac:dyDescent="0.2">
      <c r="B62" s="7" t="s">
        <v>40</v>
      </c>
      <c r="C62" s="8"/>
      <c r="D62" s="8"/>
      <c r="E62" s="8"/>
      <c r="F62" s="8"/>
      <c r="G62" s="8"/>
      <c r="H62" s="8"/>
      <c r="I62" s="8"/>
      <c r="J62" s="8"/>
      <c r="K62" s="8">
        <v>86</v>
      </c>
      <c r="L62" s="8">
        <v>88.5</v>
      </c>
      <c r="M62" s="8">
        <v>129.6</v>
      </c>
      <c r="N62" s="8">
        <v>168.5</v>
      </c>
      <c r="O62" s="8">
        <v>105.8</v>
      </c>
      <c r="P62" s="8">
        <v>120.7</v>
      </c>
      <c r="Q62" s="8">
        <v>108.4</v>
      </c>
      <c r="R62" s="8"/>
      <c r="S62" s="8"/>
      <c r="T62" s="8"/>
      <c r="U62" s="8"/>
      <c r="V62" s="8"/>
      <c r="W62" s="8"/>
    </row>
    <row r="63" spans="2:46" s="7" customFormat="1" x14ac:dyDescent="0.2">
      <c r="B63" s="7" t="s">
        <v>41</v>
      </c>
      <c r="C63" s="8"/>
      <c r="D63" s="8"/>
      <c r="E63" s="8"/>
      <c r="F63" s="8"/>
      <c r="G63" s="8"/>
      <c r="H63" s="8"/>
      <c r="I63" s="8"/>
      <c r="J63" s="8"/>
      <c r="K63" s="8">
        <v>87.9</v>
      </c>
      <c r="L63" s="8">
        <v>84.2</v>
      </c>
      <c r="M63" s="8">
        <v>93.1</v>
      </c>
      <c r="N63" s="8">
        <v>81.5</v>
      </c>
      <c r="O63" s="8">
        <v>110.1</v>
      </c>
      <c r="P63" s="8">
        <v>102.8</v>
      </c>
      <c r="Q63" s="8">
        <v>91</v>
      </c>
      <c r="R63" s="8"/>
      <c r="S63" s="8"/>
      <c r="T63" s="8"/>
      <c r="U63" s="8"/>
      <c r="V63" s="8"/>
      <c r="W63" s="8"/>
    </row>
    <row r="64" spans="2:46" s="7" customFormat="1" x14ac:dyDescent="0.2">
      <c r="B64" s="7" t="s">
        <v>42</v>
      </c>
      <c r="C64" s="8"/>
      <c r="D64" s="8"/>
      <c r="E64" s="8"/>
      <c r="F64" s="8"/>
      <c r="G64" s="8"/>
      <c r="H64" s="8"/>
      <c r="I64" s="8"/>
      <c r="J64" s="8"/>
      <c r="K64" s="8">
        <v>2200.3000000000002</v>
      </c>
      <c r="L64" s="8">
        <v>2115.9</v>
      </c>
      <c r="M64" s="8">
        <v>2032.9</v>
      </c>
      <c r="N64" s="8">
        <v>1962.5</v>
      </c>
      <c r="O64" s="8">
        <v>1881.5</v>
      </c>
      <c r="P64" s="8">
        <v>1815.3</v>
      </c>
      <c r="Q64" s="8">
        <v>1750.8</v>
      </c>
      <c r="R64" s="8"/>
      <c r="S64" s="8"/>
      <c r="T64" s="8"/>
      <c r="U64" s="8"/>
      <c r="V64" s="8"/>
      <c r="W64" s="8"/>
    </row>
    <row r="65" spans="2:23" s="7" customFormat="1" x14ac:dyDescent="0.2">
      <c r="B65" s="7" t="s">
        <v>43</v>
      </c>
      <c r="C65" s="8"/>
      <c r="D65" s="8"/>
      <c r="E65" s="8"/>
      <c r="F65" s="8"/>
      <c r="G65" s="8"/>
      <c r="H65" s="8"/>
      <c r="I65" s="8"/>
      <c r="J65" s="8"/>
      <c r="K65" s="8">
        <v>4348.7</v>
      </c>
      <c r="L65" s="8">
        <f>4308.1</f>
        <v>4308.1000000000004</v>
      </c>
      <c r="M65" s="8">
        <v>4302</v>
      </c>
      <c r="N65" s="8">
        <v>4155.8999999999996</v>
      </c>
      <c r="O65" s="8">
        <v>4144.2</v>
      </c>
      <c r="P65" s="8">
        <v>4027.9</v>
      </c>
      <c r="Q65" s="8">
        <v>3873.1</v>
      </c>
      <c r="R65" s="8"/>
      <c r="S65" s="8"/>
      <c r="T65" s="8"/>
      <c r="U65" s="8"/>
      <c r="V65" s="8"/>
      <c r="W65" s="8"/>
    </row>
    <row r="66" spans="2:23" s="7" customFormat="1" x14ac:dyDescent="0.2">
      <c r="B66" s="7" t="s">
        <v>44</v>
      </c>
      <c r="C66" s="8"/>
      <c r="D66" s="8"/>
      <c r="E66" s="8"/>
      <c r="F66" s="8"/>
      <c r="G66" s="8"/>
      <c r="H66" s="8"/>
      <c r="I66" s="8"/>
      <c r="J66" s="8"/>
      <c r="K66" s="8">
        <f>158.3+2491</f>
        <v>2649.3</v>
      </c>
      <c r="L66" s="8">
        <f>156.8+2472.1</f>
        <v>2628.9</v>
      </c>
      <c r="M66" s="8">
        <f>154.7+2451.2</f>
        <v>2605.8999999999996</v>
      </c>
      <c r="N66" s="8">
        <f>153.4+2429.8</f>
        <v>2583.2000000000003</v>
      </c>
      <c r="O66" s="8">
        <f>151.8+2415.4</f>
        <v>2567.2000000000003</v>
      </c>
      <c r="P66" s="8">
        <f>148.1+2354.6</f>
        <v>2502.6999999999998</v>
      </c>
      <c r="Q66" s="8">
        <f>144.8+2307.4</f>
        <v>2452.2000000000003</v>
      </c>
      <c r="R66" s="8"/>
      <c r="S66" s="8"/>
      <c r="T66" s="8"/>
      <c r="U66" s="8"/>
      <c r="V66" s="8"/>
      <c r="W66" s="8"/>
    </row>
    <row r="67" spans="2:23" s="7" customFormat="1" x14ac:dyDescent="0.2">
      <c r="B67" s="7" t="s">
        <v>45</v>
      </c>
      <c r="C67" s="8"/>
      <c r="D67" s="8"/>
      <c r="E67" s="8"/>
      <c r="F67" s="8"/>
      <c r="G67" s="8"/>
      <c r="H67" s="8"/>
      <c r="I67" s="8"/>
      <c r="J67" s="8"/>
      <c r="K67" s="8">
        <v>1.3</v>
      </c>
      <c r="L67" s="8">
        <v>2.7</v>
      </c>
      <c r="M67" s="8">
        <v>2.4</v>
      </c>
      <c r="N67" s="8">
        <v>0.6</v>
      </c>
      <c r="O67" s="8">
        <v>0.6</v>
      </c>
      <c r="P67" s="8">
        <v>0.4</v>
      </c>
      <c r="Q67" s="8">
        <v>0.4</v>
      </c>
      <c r="R67" s="8"/>
      <c r="S67" s="8"/>
      <c r="T67" s="8"/>
      <c r="U67" s="8"/>
      <c r="V67" s="8"/>
      <c r="W67" s="8"/>
    </row>
    <row r="68" spans="2:23" s="7" customFormat="1" x14ac:dyDescent="0.2">
      <c r="B68" s="7" t="s">
        <v>46</v>
      </c>
      <c r="C68" s="8"/>
      <c r="D68" s="8"/>
      <c r="E68" s="8"/>
      <c r="F68" s="8"/>
      <c r="G68" s="8"/>
      <c r="H68" s="8"/>
      <c r="I68" s="8"/>
      <c r="J68" s="8"/>
      <c r="K68" s="8">
        <v>273.10000000000002</v>
      </c>
      <c r="L68" s="8">
        <v>261.2</v>
      </c>
      <c r="M68" s="8">
        <v>251.4</v>
      </c>
      <c r="N68" s="8">
        <v>249</v>
      </c>
      <c r="O68" s="8">
        <v>347.4</v>
      </c>
      <c r="P68" s="8">
        <v>260.60000000000002</v>
      </c>
      <c r="Q68" s="8">
        <v>224.4</v>
      </c>
      <c r="R68" s="8"/>
      <c r="S68" s="8"/>
      <c r="T68" s="8"/>
      <c r="U68" s="8"/>
      <c r="V68" s="8"/>
      <c r="W68" s="8"/>
    </row>
    <row r="69" spans="2:23" s="7" customFormat="1" x14ac:dyDescent="0.2">
      <c r="B69" s="7" t="s">
        <v>39</v>
      </c>
      <c r="C69" s="8"/>
      <c r="D69" s="8"/>
      <c r="E69" s="8"/>
      <c r="F69" s="8"/>
      <c r="G69" s="8"/>
      <c r="H69" s="8"/>
      <c r="I69" s="8"/>
      <c r="J69" s="8"/>
      <c r="K69" s="8">
        <f t="shared" ref="K69" si="147">SUM(K61:K68)</f>
        <v>10488.699999999999</v>
      </c>
      <c r="L69" s="8">
        <f t="shared" ref="L69" si="148">SUM(L61:L68)</f>
        <v>11329.100000000002</v>
      </c>
      <c r="M69" s="8">
        <f>SUM(M61:M68)</f>
        <v>11057.499999999998</v>
      </c>
      <c r="N69" s="8">
        <f>SUM(N61:N68)</f>
        <v>10821.5</v>
      </c>
      <c r="O69" s="8">
        <f>SUM(O61:O68)</f>
        <v>10345.4</v>
      </c>
      <c r="P69" s="8">
        <f>SUM(P61:P68)</f>
        <v>9818.2999999999993</v>
      </c>
      <c r="Q69" s="8">
        <f>SUM(Q61:Q68)</f>
        <v>9206.1</v>
      </c>
      <c r="R69" s="8"/>
      <c r="S69" s="8"/>
      <c r="T69" s="8"/>
      <c r="U69" s="8"/>
      <c r="V69" s="8"/>
      <c r="W69" s="8"/>
    </row>
    <row r="70" spans="2:23" s="7" customFormat="1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2:23" s="7" customFormat="1" x14ac:dyDescent="0.2">
      <c r="B71" s="7" t="s">
        <v>47</v>
      </c>
      <c r="C71" s="8"/>
      <c r="D71" s="8"/>
      <c r="E71" s="8"/>
      <c r="F71" s="8"/>
      <c r="G71" s="8"/>
      <c r="H71" s="8"/>
      <c r="I71" s="8"/>
      <c r="J71" s="8"/>
      <c r="K71" s="8">
        <v>264.89999999999998</v>
      </c>
      <c r="L71" s="8">
        <v>235.2</v>
      </c>
      <c r="M71" s="8">
        <v>267.60000000000002</v>
      </c>
      <c r="N71" s="8">
        <v>377.1</v>
      </c>
      <c r="O71" s="8">
        <v>295.39999999999998</v>
      </c>
      <c r="P71" s="8">
        <v>308.89999999999998</v>
      </c>
      <c r="Q71" s="8">
        <v>230.7</v>
      </c>
      <c r="R71" s="8"/>
      <c r="S71" s="8"/>
      <c r="T71" s="8"/>
      <c r="U71" s="8"/>
      <c r="V71" s="8"/>
      <c r="W71" s="8"/>
    </row>
    <row r="72" spans="2:23" s="7" customFormat="1" x14ac:dyDescent="0.2">
      <c r="B72" s="7" t="s">
        <v>48</v>
      </c>
      <c r="C72" s="8"/>
      <c r="D72" s="8"/>
      <c r="E72" s="8"/>
      <c r="F72" s="8"/>
      <c r="G72" s="8"/>
      <c r="H72" s="8"/>
      <c r="I72" s="8"/>
      <c r="J72" s="8"/>
      <c r="K72" s="8">
        <v>291.7</v>
      </c>
      <c r="L72" s="8">
        <v>286.7</v>
      </c>
      <c r="M72" s="8">
        <v>393.3</v>
      </c>
      <c r="N72" s="8">
        <v>367.5</v>
      </c>
      <c r="O72" s="8">
        <v>365.3</v>
      </c>
      <c r="P72" s="8">
        <v>325.89999999999998</v>
      </c>
      <c r="Q72" s="8">
        <v>349.1</v>
      </c>
      <c r="R72" s="8"/>
      <c r="S72" s="8"/>
      <c r="T72" s="8"/>
      <c r="U72" s="8"/>
      <c r="V72" s="8"/>
      <c r="W72" s="8"/>
    </row>
    <row r="73" spans="2:23" s="7" customFormat="1" x14ac:dyDescent="0.2">
      <c r="B73" s="7" t="s">
        <v>49</v>
      </c>
      <c r="C73" s="8"/>
      <c r="D73" s="8"/>
      <c r="E73" s="8"/>
      <c r="F73" s="8"/>
      <c r="G73" s="8"/>
      <c r="H73" s="8"/>
      <c r="I73" s="8"/>
      <c r="J73" s="8"/>
      <c r="K73" s="8">
        <v>404.3</v>
      </c>
      <c r="L73" s="8">
        <v>402.1</v>
      </c>
      <c r="M73" s="8">
        <v>392.1</v>
      </c>
      <c r="N73" s="8">
        <v>408.6</v>
      </c>
      <c r="O73" s="8">
        <v>379.8</v>
      </c>
      <c r="P73" s="8">
        <v>373.1</v>
      </c>
      <c r="Q73" s="8">
        <v>343.4</v>
      </c>
      <c r="R73" s="8"/>
      <c r="S73" s="8"/>
      <c r="T73" s="8"/>
      <c r="U73" s="8"/>
      <c r="V73" s="8"/>
      <c r="W73" s="8"/>
    </row>
    <row r="74" spans="2:23" s="7" customFormat="1" x14ac:dyDescent="0.2">
      <c r="B74" s="7" t="s">
        <v>4</v>
      </c>
      <c r="C74" s="8"/>
      <c r="D74" s="8"/>
      <c r="E74" s="8"/>
      <c r="F74" s="8"/>
      <c r="G74" s="8"/>
      <c r="H74" s="8"/>
      <c r="I74" s="8"/>
      <c r="J74" s="8"/>
      <c r="K74" s="8">
        <f>20+5439.4</f>
        <v>5459.4</v>
      </c>
      <c r="L74" s="8">
        <f>20+5480.4</f>
        <v>5500.4</v>
      </c>
      <c r="M74" s="8">
        <f>20+5432.8</f>
        <v>5452.8</v>
      </c>
      <c r="N74" s="8">
        <f>5428</f>
        <v>5428</v>
      </c>
      <c r="O74" s="8">
        <f>20+5501.8</f>
        <v>5521.8</v>
      </c>
      <c r="P74" s="8">
        <f>20+5358.2</f>
        <v>5378.2</v>
      </c>
      <c r="Q74" s="8">
        <f>128.1+5197.2</f>
        <v>5325.3</v>
      </c>
      <c r="R74" s="8"/>
      <c r="S74" s="8"/>
      <c r="T74" s="8"/>
      <c r="U74" s="8"/>
      <c r="V74" s="8"/>
      <c r="W74" s="8"/>
    </row>
    <row r="75" spans="2:23" s="7" customFormat="1" x14ac:dyDescent="0.2">
      <c r="B75" s="7" t="s">
        <v>50</v>
      </c>
      <c r="C75" s="8"/>
      <c r="D75" s="8"/>
      <c r="E75" s="8"/>
      <c r="F75" s="8"/>
      <c r="G75" s="8"/>
      <c r="H75" s="8"/>
      <c r="I75" s="8"/>
      <c r="J75" s="8"/>
      <c r="K75" s="8">
        <f>12.5+77.8</f>
        <v>90.3</v>
      </c>
      <c r="L75" s="8">
        <f>9.6+69.8</f>
        <v>79.399999999999991</v>
      </c>
      <c r="M75" s="8">
        <f>66.1+10.2</f>
        <v>76.3</v>
      </c>
      <c r="N75" s="8">
        <f>9.5+63.2</f>
        <v>72.7</v>
      </c>
      <c r="O75" s="8">
        <f>8.2+60.6</f>
        <v>68.8</v>
      </c>
      <c r="P75" s="8">
        <f>6.6+55.3</f>
        <v>61.9</v>
      </c>
      <c r="Q75" s="8">
        <f>5.7+50.5</f>
        <v>56.2</v>
      </c>
      <c r="R75" s="8"/>
      <c r="S75" s="8"/>
      <c r="T75" s="8"/>
      <c r="U75" s="8"/>
      <c r="V75" s="8"/>
      <c r="W75" s="8"/>
    </row>
    <row r="76" spans="2:23" s="7" customFormat="1" x14ac:dyDescent="0.2">
      <c r="B76" s="7" t="s">
        <v>51</v>
      </c>
      <c r="C76" s="8"/>
      <c r="D76" s="8"/>
      <c r="E76" s="8"/>
      <c r="F76" s="8"/>
      <c r="G76" s="8"/>
      <c r="H76" s="8"/>
      <c r="I76" s="8"/>
      <c r="J76" s="8"/>
      <c r="K76" s="8">
        <f>591.1+4908.9</f>
        <v>5500</v>
      </c>
      <c r="L76" s="8">
        <f>604.8+4888.6</f>
        <v>5493.4000000000005</v>
      </c>
      <c r="M76" s="8">
        <f>4786.9+605.9</f>
        <v>5392.7999999999993</v>
      </c>
      <c r="N76" s="8">
        <f>605.2+4645.2</f>
        <v>5250.4</v>
      </c>
      <c r="O76" s="8">
        <f>597.1+4587.7</f>
        <v>5184.8</v>
      </c>
      <c r="P76" s="8">
        <f>4433.7+582.2</f>
        <v>5015.8999999999996</v>
      </c>
      <c r="Q76" s="8">
        <f>565.6+4246.7</f>
        <v>4812.3</v>
      </c>
      <c r="R76" s="8"/>
      <c r="S76" s="8"/>
      <c r="T76" s="8"/>
      <c r="U76" s="8"/>
      <c r="V76" s="8"/>
      <c r="W76" s="8"/>
    </row>
    <row r="77" spans="2:23" s="7" customFormat="1" x14ac:dyDescent="0.2">
      <c r="B77" s="7" t="s">
        <v>52</v>
      </c>
      <c r="C77" s="8"/>
      <c r="D77" s="8"/>
      <c r="E77" s="8"/>
      <c r="F77" s="8"/>
      <c r="G77" s="8"/>
      <c r="H77" s="8"/>
      <c r="I77" s="8"/>
      <c r="J77" s="8"/>
      <c r="K77" s="8">
        <v>524</v>
      </c>
      <c r="L77" s="8">
        <v>519.5</v>
      </c>
      <c r="M77" s="8">
        <v>515</v>
      </c>
      <c r="N77" s="8">
        <v>510.4</v>
      </c>
      <c r="O77" s="8">
        <v>520.70000000000005</v>
      </c>
      <c r="P77" s="8">
        <v>515.79999999999995</v>
      </c>
      <c r="Q77" s="8">
        <v>510.9</v>
      </c>
      <c r="R77" s="8"/>
      <c r="S77" s="8"/>
      <c r="T77" s="8"/>
      <c r="U77" s="8"/>
      <c r="V77" s="8"/>
      <c r="W77" s="8"/>
    </row>
    <row r="78" spans="2:23" s="7" customFormat="1" x14ac:dyDescent="0.2">
      <c r="B78" s="7" t="s">
        <v>45</v>
      </c>
      <c r="C78" s="8"/>
      <c r="D78" s="8"/>
      <c r="E78" s="8"/>
      <c r="F78" s="8"/>
      <c r="G78" s="8"/>
      <c r="H78" s="8"/>
      <c r="I78" s="8"/>
      <c r="J78" s="8"/>
      <c r="K78" s="8">
        <v>34</v>
      </c>
      <c r="L78" s="8">
        <v>28.5</v>
      </c>
      <c r="M78" s="8">
        <v>28.9</v>
      </c>
      <c r="N78" s="8">
        <v>31.3</v>
      </c>
      <c r="O78" s="8">
        <v>31.1</v>
      </c>
      <c r="P78" s="8">
        <v>31.2</v>
      </c>
      <c r="Q78" s="8">
        <v>31.5</v>
      </c>
      <c r="R78" s="8"/>
      <c r="S78" s="8"/>
      <c r="T78" s="8"/>
      <c r="U78" s="8"/>
      <c r="V78" s="8"/>
      <c r="W78" s="8"/>
    </row>
    <row r="79" spans="2:23" s="7" customFormat="1" x14ac:dyDescent="0.2">
      <c r="B79" s="7" t="s">
        <v>53</v>
      </c>
      <c r="C79" s="8"/>
      <c r="D79" s="8"/>
      <c r="E79" s="8"/>
      <c r="F79" s="8"/>
      <c r="G79" s="8"/>
      <c r="H79" s="8"/>
      <c r="I79" s="8"/>
      <c r="J79" s="8"/>
      <c r="K79" s="8">
        <v>207.1</v>
      </c>
      <c r="L79" s="8">
        <v>188.6</v>
      </c>
      <c r="M79" s="8">
        <v>181.4</v>
      </c>
      <c r="N79" s="8">
        <v>165</v>
      </c>
      <c r="O79" s="8">
        <v>156</v>
      </c>
      <c r="P79" s="8">
        <v>134.19999999999999</v>
      </c>
      <c r="Q79" s="8">
        <v>125.7</v>
      </c>
      <c r="R79" s="8"/>
      <c r="S79" s="8"/>
      <c r="T79" s="8"/>
      <c r="U79" s="8"/>
      <c r="V79" s="8"/>
      <c r="W79" s="8"/>
    </row>
    <row r="80" spans="2:23" s="7" customFormat="1" x14ac:dyDescent="0.2">
      <c r="B80" s="7" t="s">
        <v>54</v>
      </c>
      <c r="C80" s="8"/>
      <c r="D80" s="8"/>
      <c r="E80" s="8"/>
      <c r="F80" s="8"/>
      <c r="G80" s="8"/>
      <c r="H80" s="8"/>
      <c r="I80" s="8"/>
      <c r="J80" s="8"/>
      <c r="K80" s="8">
        <v>-2287</v>
      </c>
      <c r="L80" s="8">
        <v>-1404.7</v>
      </c>
      <c r="M80" s="8">
        <v>-1642.7</v>
      </c>
      <c r="N80" s="8">
        <v>-1789.5</v>
      </c>
      <c r="O80" s="8">
        <v>-2178.3000000000002</v>
      </c>
      <c r="P80" s="8">
        <v>-2326.8000000000002</v>
      </c>
      <c r="Q80" s="8">
        <v>-2579</v>
      </c>
      <c r="R80" s="8"/>
      <c r="S80" s="8"/>
      <c r="T80" s="8"/>
      <c r="U80" s="8"/>
      <c r="V80" s="8"/>
      <c r="W80" s="8"/>
    </row>
    <row r="81" spans="2:34" s="7" customFormat="1" x14ac:dyDescent="0.2">
      <c r="B81" s="7" t="s">
        <v>55</v>
      </c>
      <c r="C81" s="8"/>
      <c r="D81" s="8"/>
      <c r="E81" s="8"/>
      <c r="F81" s="8"/>
      <c r="G81" s="8"/>
      <c r="H81" s="8"/>
      <c r="I81" s="8"/>
      <c r="J81" s="8"/>
      <c r="K81" s="8">
        <f t="shared" ref="K81" si="149">SUM(K71:K80)</f>
        <v>10488.699999999999</v>
      </c>
      <c r="L81" s="8">
        <f t="shared" ref="L81" si="150">SUM(L71:L80)</f>
        <v>11329.1</v>
      </c>
      <c r="M81" s="8">
        <f t="shared" ref="M81" si="151">SUM(M71:M80)</f>
        <v>11057.499999999998</v>
      </c>
      <c r="N81" s="8">
        <f>SUM(N71:N80)</f>
        <v>10821.499999999998</v>
      </c>
      <c r="O81" s="8">
        <f>SUM(O71:O80)</f>
        <v>10345.400000000001</v>
      </c>
      <c r="P81" s="8">
        <f>SUM(P71:P80)</f>
        <v>9818.2999999999993</v>
      </c>
      <c r="Q81" s="8">
        <f>SUM(Q71:Q80)</f>
        <v>9206.1</v>
      </c>
      <c r="R81" s="8"/>
      <c r="S81" s="8"/>
      <c r="T81" s="8"/>
      <c r="U81" s="8"/>
      <c r="V81" s="8"/>
      <c r="W81" s="8"/>
    </row>
    <row r="83" spans="2:34" s="7" customFormat="1" x14ac:dyDescent="0.2">
      <c r="B83" s="7" t="s">
        <v>66</v>
      </c>
      <c r="C83" s="8"/>
      <c r="D83" s="8"/>
      <c r="E83" s="8"/>
      <c r="F83" s="8"/>
      <c r="G83" s="8"/>
      <c r="H83" s="8"/>
      <c r="I83" s="8"/>
      <c r="J83" s="8"/>
      <c r="K83" s="8">
        <f t="shared" ref="K83:P83" si="152">K45</f>
        <v>-465.3</v>
      </c>
      <c r="L83" s="8">
        <f t="shared" si="152"/>
        <v>-269.49999999999994</v>
      </c>
      <c r="M83" s="8">
        <f t="shared" si="152"/>
        <v>-126.9</v>
      </c>
      <c r="N83" s="8">
        <f t="shared" si="152"/>
        <v>36.69999999999969</v>
      </c>
      <c r="O83" s="8">
        <f t="shared" si="152"/>
        <v>-149.70000000000019</v>
      </c>
      <c r="P83" s="8">
        <f t="shared" si="152"/>
        <v>0.5</v>
      </c>
      <c r="Q83" s="8"/>
      <c r="R83" s="8"/>
      <c r="S83" s="8"/>
      <c r="T83" s="8"/>
      <c r="U83" s="8"/>
      <c r="V83" s="8"/>
      <c r="W83" s="8"/>
      <c r="AF83" s="7">
        <f>AF45</f>
        <v>415.50000000000017</v>
      </c>
      <c r="AG83" s="7">
        <f>AG45</f>
        <v>-1441.1999999999996</v>
      </c>
      <c r="AH83" s="7">
        <f>AH45</f>
        <v>-824.99999999999989</v>
      </c>
    </row>
    <row r="84" spans="2:34" s="7" customFormat="1" x14ac:dyDescent="0.2">
      <c r="B84" s="7" t="s">
        <v>67</v>
      </c>
      <c r="C84" s="8"/>
      <c r="D84" s="8"/>
      <c r="E84" s="8"/>
      <c r="F84" s="8"/>
      <c r="G84" s="8"/>
      <c r="H84" s="8"/>
      <c r="I84" s="8"/>
      <c r="J84" s="8"/>
      <c r="K84" s="8">
        <v>-567.20000000000005</v>
      </c>
      <c r="L84" s="8">
        <f>-911.2-K84</f>
        <v>-344</v>
      </c>
      <c r="M84" s="8"/>
      <c r="N84" s="8"/>
      <c r="O84" s="8">
        <v>-337.4</v>
      </c>
      <c r="P84" s="8">
        <f>-459-O84</f>
        <v>-121.60000000000002</v>
      </c>
      <c r="Q84" s="8"/>
      <c r="R84" s="8"/>
      <c r="S84" s="8"/>
      <c r="T84" s="8"/>
      <c r="U84" s="8"/>
      <c r="V84" s="8"/>
      <c r="W84" s="8"/>
      <c r="AF84" s="7">
        <v>-149.1</v>
      </c>
      <c r="AG84" s="7">
        <v>-4589.3999999999996</v>
      </c>
      <c r="AH84" s="7">
        <v>-1269.8</v>
      </c>
    </row>
    <row r="85" spans="2:34" s="7" customFormat="1" x14ac:dyDescent="0.2">
      <c r="B85" s="7" t="s">
        <v>68</v>
      </c>
      <c r="C85" s="8"/>
      <c r="D85" s="8"/>
      <c r="E85" s="8"/>
      <c r="F85" s="8"/>
      <c r="G85" s="8"/>
      <c r="H85" s="8"/>
      <c r="I85" s="8"/>
      <c r="J85" s="8"/>
      <c r="K85" s="8">
        <v>114.1</v>
      </c>
      <c r="L85" s="8">
        <f>219.8-K85</f>
        <v>105.70000000000002</v>
      </c>
      <c r="M85" s="8"/>
      <c r="N85" s="8"/>
      <c r="O85" s="8">
        <v>98.7</v>
      </c>
      <c r="P85" s="8">
        <f>196.1-O85</f>
        <v>97.399999999999991</v>
      </c>
      <c r="Q85" s="8"/>
      <c r="R85" s="8"/>
      <c r="S85" s="8"/>
      <c r="T85" s="8"/>
      <c r="U85" s="8"/>
      <c r="V85" s="8"/>
      <c r="W85" s="8"/>
      <c r="AF85" s="7">
        <v>450</v>
      </c>
      <c r="AG85" s="7">
        <v>498.3</v>
      </c>
      <c r="AH85" s="7">
        <v>425</v>
      </c>
    </row>
    <row r="86" spans="2:34" s="7" customFormat="1" x14ac:dyDescent="0.2">
      <c r="B86" s="7" t="s">
        <v>45</v>
      </c>
      <c r="C86" s="8"/>
      <c r="D86" s="8"/>
      <c r="E86" s="8"/>
      <c r="F86" s="8"/>
      <c r="G86" s="8"/>
      <c r="H86" s="8"/>
      <c r="I86" s="8"/>
      <c r="J86" s="8"/>
      <c r="K86" s="8">
        <v>-6.2</v>
      </c>
      <c r="L86" s="8">
        <f>-12.3-K86</f>
        <v>-6.1000000000000005</v>
      </c>
      <c r="M86" s="8"/>
      <c r="N86" s="8"/>
      <c r="O86" s="8">
        <v>-0.1</v>
      </c>
      <c r="P86" s="8">
        <f>0.3-O86</f>
        <v>0.4</v>
      </c>
      <c r="Q86" s="8"/>
      <c r="R86" s="8"/>
      <c r="S86" s="8"/>
      <c r="T86" s="8"/>
      <c r="U86" s="8"/>
      <c r="V86" s="8"/>
      <c r="W86" s="8"/>
      <c r="AF86" s="7">
        <v>-33.700000000000003</v>
      </c>
      <c r="AG86" s="7">
        <v>64</v>
      </c>
      <c r="AH86" s="7">
        <v>-7.6</v>
      </c>
    </row>
    <row r="87" spans="2:34" s="7" customFormat="1" x14ac:dyDescent="0.2">
      <c r="B87" s="7" t="s">
        <v>119</v>
      </c>
      <c r="C87" s="8"/>
      <c r="D87" s="8"/>
      <c r="E87" s="8"/>
      <c r="F87" s="8"/>
      <c r="G87" s="8"/>
      <c r="H87" s="8"/>
      <c r="I87" s="8"/>
      <c r="J87" s="8"/>
      <c r="K87" s="8">
        <v>0</v>
      </c>
      <c r="L87" s="8"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F87" s="7">
        <v>84.3</v>
      </c>
      <c r="AG87" s="7">
        <v>2513.9</v>
      </c>
      <c r="AH87" s="7">
        <v>77.2</v>
      </c>
    </row>
    <row r="88" spans="2:34" s="7" customFormat="1" x14ac:dyDescent="0.2">
      <c r="B88" s="7" t="s">
        <v>70</v>
      </c>
      <c r="C88" s="8"/>
      <c r="D88" s="8"/>
      <c r="E88" s="8"/>
      <c r="F88" s="8"/>
      <c r="G88" s="8"/>
      <c r="H88" s="8"/>
      <c r="I88" s="8"/>
      <c r="J88" s="8"/>
      <c r="K88" s="8">
        <v>0</v>
      </c>
      <c r="L88" s="8">
        <v>0</v>
      </c>
      <c r="M88" s="8"/>
      <c r="N88" s="8"/>
      <c r="O88" s="8">
        <v>135</v>
      </c>
      <c r="P88" s="8">
        <f>96.4-O88</f>
        <v>-38.599999999999994</v>
      </c>
      <c r="Q88" s="8"/>
      <c r="R88" s="8"/>
      <c r="S88" s="8"/>
      <c r="T88" s="8"/>
      <c r="U88" s="8"/>
      <c r="V88" s="8"/>
      <c r="W88" s="8"/>
      <c r="AF88" s="7">
        <v>16.600000000000001</v>
      </c>
      <c r="AG88" s="7">
        <v>-93.6</v>
      </c>
      <c r="AH88" s="7">
        <v>14.1</v>
      </c>
    </row>
    <row r="89" spans="2:34" s="7" customFormat="1" x14ac:dyDescent="0.2">
      <c r="B89" s="7" t="s">
        <v>71</v>
      </c>
      <c r="C89" s="8"/>
      <c r="D89" s="8"/>
      <c r="E89" s="8"/>
      <c r="F89" s="8"/>
      <c r="G89" s="8"/>
      <c r="H89" s="8"/>
      <c r="I89" s="8"/>
      <c r="J89" s="8"/>
      <c r="K89" s="8">
        <v>0</v>
      </c>
      <c r="L89" s="8">
        <v>0</v>
      </c>
      <c r="M89" s="8"/>
      <c r="N89" s="8"/>
      <c r="O89" s="8">
        <v>-63.9</v>
      </c>
      <c r="P89" s="8">
        <f>-16.1-O89+9.5</f>
        <v>57.3</v>
      </c>
      <c r="Q89" s="8"/>
      <c r="R89" s="8"/>
      <c r="S89" s="8"/>
      <c r="T89" s="8"/>
      <c r="U89" s="8"/>
      <c r="V89" s="8"/>
      <c r="W89" s="8"/>
      <c r="AF89" s="7">
        <v>0</v>
      </c>
      <c r="AG89" s="7">
        <v>109</v>
      </c>
      <c r="AH89" s="7">
        <f>-5.5-0.9</f>
        <v>-6.4</v>
      </c>
    </row>
    <row r="90" spans="2:34" s="7" customFormat="1" x14ac:dyDescent="0.2">
      <c r="B90" s="7" t="s">
        <v>80</v>
      </c>
      <c r="C90" s="8"/>
      <c r="D90" s="8"/>
      <c r="E90" s="8"/>
      <c r="F90" s="8"/>
      <c r="G90" s="8"/>
      <c r="H90" s="8"/>
      <c r="I90" s="8"/>
      <c r="J90" s="8"/>
      <c r="K90" s="8">
        <v>42.3</v>
      </c>
      <c r="L90" s="8">
        <f>24.5-K90</f>
        <v>-17.799999999999997</v>
      </c>
      <c r="M90" s="8"/>
      <c r="N90" s="8"/>
      <c r="O90" s="8">
        <v>-15.5</v>
      </c>
      <c r="P90" s="8">
        <f>-32-O90</f>
        <v>-16.5</v>
      </c>
      <c r="Q90" s="8"/>
      <c r="R90" s="8"/>
      <c r="S90" s="8"/>
      <c r="T90" s="8"/>
      <c r="U90" s="8"/>
      <c r="V90" s="8"/>
      <c r="W90" s="8"/>
      <c r="AF90" s="7">
        <v>11.3</v>
      </c>
      <c r="AG90" s="7">
        <v>-22</v>
      </c>
      <c r="AH90" s="7">
        <v>-3.9</v>
      </c>
    </row>
    <row r="91" spans="2:34" s="7" customFormat="1" x14ac:dyDescent="0.2">
      <c r="B91" s="7" t="s">
        <v>79</v>
      </c>
      <c r="C91" s="8"/>
      <c r="D91" s="8"/>
      <c r="E91" s="8"/>
      <c r="F91" s="8"/>
      <c r="G91" s="8"/>
      <c r="H91" s="8"/>
      <c r="I91" s="8"/>
      <c r="J91" s="8"/>
      <c r="K91" s="8">
        <v>12.1</v>
      </c>
      <c r="L91" s="8">
        <f>15.5-K91</f>
        <v>3.4000000000000004</v>
      </c>
      <c r="M91" s="8"/>
      <c r="N91" s="8"/>
      <c r="O91" s="8">
        <v>3.5</v>
      </c>
      <c r="P91" s="8">
        <f>6.8-O91</f>
        <v>3.3</v>
      </c>
      <c r="Q91" s="8"/>
      <c r="R91" s="8"/>
      <c r="S91" s="8"/>
      <c r="T91" s="8"/>
      <c r="U91" s="8"/>
      <c r="V91" s="8"/>
      <c r="W91" s="8"/>
      <c r="AF91" s="7">
        <v>15.8</v>
      </c>
      <c r="AG91" s="7">
        <f>14.2+73.4+1.8</f>
        <v>89.4</v>
      </c>
      <c r="AH91" s="7">
        <f>116.2+23.3</f>
        <v>139.5</v>
      </c>
    </row>
    <row r="92" spans="2:34" s="7" customFormat="1" x14ac:dyDescent="0.2">
      <c r="B92" s="7" t="s">
        <v>123</v>
      </c>
      <c r="C92" s="8"/>
      <c r="D92" s="8"/>
      <c r="E92" s="8"/>
      <c r="F92" s="8"/>
      <c r="G92" s="8"/>
      <c r="H92" s="8"/>
      <c r="I92" s="8"/>
      <c r="J92" s="8"/>
      <c r="K92" s="8">
        <v>52.7</v>
      </c>
      <c r="L92" s="8">
        <f>107.1-K92</f>
        <v>54.399999999999991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2:34" s="7" customFormat="1" x14ac:dyDescent="0.2">
      <c r="B93" s="7" t="s">
        <v>72</v>
      </c>
      <c r="C93" s="8"/>
      <c r="D93" s="8"/>
      <c r="E93" s="8"/>
      <c r="F93" s="8"/>
      <c r="G93" s="8"/>
      <c r="H93" s="8"/>
      <c r="I93" s="8"/>
      <c r="J93" s="8"/>
      <c r="K93" s="8">
        <v>5.4</v>
      </c>
      <c r="L93" s="8">
        <v>5.4</v>
      </c>
      <c r="M93" s="8"/>
      <c r="N93" s="8"/>
      <c r="O93" s="8">
        <v>6.5</v>
      </c>
      <c r="P93" s="8">
        <f>25.9-O93</f>
        <v>19.399999999999999</v>
      </c>
      <c r="Q93" s="8"/>
      <c r="R93" s="8"/>
      <c r="S93" s="8"/>
      <c r="T93" s="8"/>
      <c r="U93" s="8"/>
      <c r="V93" s="8"/>
      <c r="W93" s="8"/>
      <c r="AF93" s="7">
        <v>4.4000000000000004</v>
      </c>
      <c r="AG93" s="7">
        <v>25.4</v>
      </c>
      <c r="AH93" s="7">
        <v>43.1</v>
      </c>
    </row>
    <row r="94" spans="2:34" s="7" customFormat="1" x14ac:dyDescent="0.2">
      <c r="B94" s="7" t="s">
        <v>73</v>
      </c>
      <c r="C94" s="8"/>
      <c r="D94" s="8"/>
      <c r="E94" s="8"/>
      <c r="F94" s="8"/>
      <c r="G94" s="8"/>
      <c r="H94" s="8"/>
      <c r="I94" s="8"/>
      <c r="J94" s="8"/>
      <c r="K94" s="8">
        <v>0</v>
      </c>
      <c r="L94" s="8">
        <v>0</v>
      </c>
      <c r="M94" s="8"/>
      <c r="N94" s="8"/>
      <c r="O94" s="8">
        <v>-0.4</v>
      </c>
      <c r="P94" s="8">
        <f>-0.4-O94</f>
        <v>0</v>
      </c>
      <c r="Q94" s="8"/>
      <c r="R94" s="8"/>
      <c r="S94" s="8"/>
      <c r="T94" s="8"/>
      <c r="U94" s="8"/>
      <c r="V94" s="8"/>
      <c r="W94" s="8"/>
      <c r="AF94" s="7">
        <f>-17.4-5.8</f>
        <v>-23.2</v>
      </c>
      <c r="AG94" s="7">
        <v>-17.399999999999999</v>
      </c>
      <c r="AH94" s="7">
        <v>0.3</v>
      </c>
    </row>
    <row r="95" spans="2:34" s="7" customFormat="1" x14ac:dyDescent="0.2">
      <c r="B95" s="7" t="s">
        <v>74</v>
      </c>
      <c r="C95" s="8"/>
      <c r="D95" s="8"/>
      <c r="E95" s="8"/>
      <c r="F95" s="8"/>
      <c r="G95" s="8"/>
      <c r="H95" s="8"/>
      <c r="I95" s="8"/>
      <c r="J95" s="8"/>
      <c r="K95" s="8">
        <v>2.8</v>
      </c>
      <c r="L95" s="8">
        <v>2.8</v>
      </c>
      <c r="M95" s="8"/>
      <c r="N95" s="8"/>
      <c r="O95" s="8">
        <v>5.8</v>
      </c>
      <c r="P95" s="8">
        <f>6.7-O95</f>
        <v>0.90000000000000036</v>
      </c>
      <c r="Q95" s="8"/>
      <c r="R95" s="8"/>
      <c r="S95" s="8"/>
      <c r="T95" s="8"/>
      <c r="U95" s="8"/>
      <c r="V95" s="8"/>
      <c r="W95" s="8"/>
      <c r="AF95" s="7">
        <v>2.7</v>
      </c>
      <c r="AG95" s="7">
        <v>45.4</v>
      </c>
      <c r="AH95" s="7">
        <v>1.3</v>
      </c>
    </row>
    <row r="96" spans="2:34" s="7" customFormat="1" x14ac:dyDescent="0.2">
      <c r="B96" s="7" t="s">
        <v>75</v>
      </c>
      <c r="C96" s="8"/>
      <c r="D96" s="8"/>
      <c r="E96" s="8"/>
      <c r="F96" s="8"/>
      <c r="G96" s="8"/>
      <c r="H96" s="8"/>
      <c r="I96" s="8"/>
      <c r="J96" s="8"/>
      <c r="K96" s="8">
        <v>3.7</v>
      </c>
      <c r="L96" s="8">
        <v>3.7</v>
      </c>
      <c r="M96" s="8"/>
      <c r="N96" s="8"/>
      <c r="O96" s="8">
        <v>0.6</v>
      </c>
      <c r="P96" s="8">
        <f>5.2-O96</f>
        <v>4.6000000000000005</v>
      </c>
      <c r="Q96" s="8"/>
      <c r="R96" s="8"/>
      <c r="S96" s="8"/>
      <c r="T96" s="8"/>
      <c r="U96" s="8"/>
      <c r="V96" s="8"/>
      <c r="W96" s="8"/>
      <c r="AF96" s="7">
        <v>106.5</v>
      </c>
      <c r="AG96" s="7">
        <v>43.6</v>
      </c>
      <c r="AH96" s="7">
        <v>22</v>
      </c>
    </row>
    <row r="97" spans="2:34" s="7" customFormat="1" x14ac:dyDescent="0.2">
      <c r="B97" s="7" t="s">
        <v>76</v>
      </c>
      <c r="C97" s="8"/>
      <c r="D97" s="8"/>
      <c r="E97" s="8"/>
      <c r="F97" s="8"/>
      <c r="G97" s="8"/>
      <c r="H97" s="8"/>
      <c r="I97" s="8"/>
      <c r="J97" s="8"/>
      <c r="K97" s="8">
        <v>-7.5</v>
      </c>
      <c r="L97" s="8">
        <v>-7.5</v>
      </c>
      <c r="M97" s="8"/>
      <c r="N97" s="8"/>
      <c r="O97" s="8">
        <v>-7.1</v>
      </c>
      <c r="P97" s="8">
        <f>-14-O97</f>
        <v>-6.9</v>
      </c>
      <c r="Q97" s="8"/>
      <c r="R97" s="8"/>
      <c r="S97" s="8"/>
      <c r="T97" s="8"/>
      <c r="U97" s="8"/>
      <c r="V97" s="8"/>
      <c r="W97" s="8"/>
      <c r="AF97" s="7">
        <v>25.7</v>
      </c>
      <c r="AG97" s="7">
        <v>-4.9000000000000004</v>
      </c>
      <c r="AH97" s="7">
        <v>-24.9</v>
      </c>
    </row>
    <row r="98" spans="2:34" s="7" customFormat="1" x14ac:dyDescent="0.2">
      <c r="B98" s="7" t="s">
        <v>77</v>
      </c>
      <c r="C98" s="8"/>
      <c r="D98" s="8"/>
      <c r="E98" s="8"/>
      <c r="F98" s="8"/>
      <c r="G98" s="8"/>
      <c r="H98" s="8"/>
      <c r="I98" s="8"/>
      <c r="J98" s="8"/>
      <c r="K98" s="8">
        <v>-21.8</v>
      </c>
      <c r="L98" s="8">
        <v>-21.8</v>
      </c>
      <c r="M98" s="8"/>
      <c r="N98" s="8"/>
      <c r="O98" s="8">
        <v>-48.7</v>
      </c>
      <c r="P98" s="8">
        <f>-90.7-O98-0.2</f>
        <v>-42.2</v>
      </c>
      <c r="Q98" s="8"/>
      <c r="R98" s="8"/>
      <c r="S98" s="8"/>
      <c r="T98" s="8"/>
      <c r="U98" s="8"/>
      <c r="V98" s="8"/>
      <c r="W98" s="8"/>
      <c r="AF98" s="7">
        <v>-62.3</v>
      </c>
      <c r="AG98" s="7">
        <v>3.4</v>
      </c>
      <c r="AH98" s="7">
        <v>-133.69999999999999</v>
      </c>
    </row>
    <row r="99" spans="2:34" s="7" customFormat="1" x14ac:dyDescent="0.2">
      <c r="B99" s="7" t="s">
        <v>78</v>
      </c>
      <c r="C99" s="8"/>
      <c r="D99" s="8"/>
      <c r="E99" s="8"/>
      <c r="F99" s="8"/>
      <c r="G99" s="8"/>
      <c r="H99" s="8"/>
      <c r="I99" s="8"/>
      <c r="J99" s="8"/>
      <c r="K99" s="8">
        <f>-0.2-2.7-13-11.9+96.4-11.9</f>
        <v>56.70000000000001</v>
      </c>
      <c r="L99" s="8">
        <f>-0.2-2.7-13-11.9+96.4-11.9</f>
        <v>56.70000000000001</v>
      </c>
      <c r="M99" s="8"/>
      <c r="N99" s="8"/>
      <c r="O99" s="8">
        <f>63.6-30.6-80.4-32.8+8.2</f>
        <v>-72</v>
      </c>
      <c r="P99" s="8">
        <f>46.4-26.3-58.4-82.7+14.9-O99</f>
        <v>-34.099999999999994</v>
      </c>
      <c r="Q99" s="8"/>
      <c r="R99" s="8"/>
      <c r="S99" s="8"/>
      <c r="T99" s="8"/>
      <c r="U99" s="8"/>
      <c r="V99" s="8"/>
      <c r="W99" s="8"/>
      <c r="AF99" s="7">
        <f>0.7+30.9+104.8-0.6-7.5+1.7</f>
        <v>130</v>
      </c>
      <c r="AG99" s="7">
        <f>159.3+76.8-176.4+102.5+43.2</f>
        <v>205.40000000000003</v>
      </c>
      <c r="AH99" s="7">
        <f>-82.7-5.8+63.8+164.3-29.9</f>
        <v>109.70000000000002</v>
      </c>
    </row>
    <row r="100" spans="2:34" s="7" customFormat="1" x14ac:dyDescent="0.2">
      <c r="B100" s="7" t="s">
        <v>69</v>
      </c>
      <c r="C100" s="8"/>
      <c r="D100" s="8"/>
      <c r="E100" s="8"/>
      <c r="F100" s="8"/>
      <c r="G100" s="8"/>
      <c r="H100" s="8"/>
      <c r="I100" s="8"/>
      <c r="J100" s="8"/>
      <c r="K100" s="8">
        <f>SUM(K84:K99)</f>
        <v>-312.90000000000003</v>
      </c>
      <c r="L100" s="8">
        <f>SUM(L84:L99)</f>
        <v>-165.10000000000002</v>
      </c>
      <c r="M100" s="8"/>
      <c r="N100" s="8"/>
      <c r="O100" s="8">
        <f>SUM(O84:O99)</f>
        <v>-295</v>
      </c>
      <c r="P100" s="8">
        <f>SUM(P84:P99)</f>
        <v>-76.600000000000023</v>
      </c>
      <c r="Q100" s="8"/>
      <c r="R100" s="8"/>
      <c r="S100" s="8"/>
      <c r="T100" s="8"/>
      <c r="U100" s="8"/>
      <c r="V100" s="8"/>
      <c r="W100" s="8"/>
      <c r="AF100" s="7">
        <f t="shared" ref="AF100:AG100" si="153">SUM(AF84:AF99)</f>
        <v>579</v>
      </c>
      <c r="AG100" s="7">
        <f t="shared" si="153"/>
        <v>-1129.4999999999991</v>
      </c>
      <c r="AH100" s="7">
        <f>SUM(AH84:AH99)</f>
        <v>-614.09999999999991</v>
      </c>
    </row>
    <row r="101" spans="2:34" x14ac:dyDescent="0.2">
      <c r="AG101" s="7"/>
    </row>
    <row r="102" spans="2:34" x14ac:dyDescent="0.2">
      <c r="B102" s="7" t="s">
        <v>86</v>
      </c>
      <c r="O102" s="2">
        <v>-34.799999999999997</v>
      </c>
      <c r="P102" s="2">
        <f>-75.2-O102</f>
        <v>-40.400000000000006</v>
      </c>
      <c r="AF102" s="7">
        <v>-518.1</v>
      </c>
      <c r="AG102" s="7">
        <v>-173.8</v>
      </c>
      <c r="AH102" s="7">
        <v>-92.4</v>
      </c>
    </row>
    <row r="103" spans="2:34" x14ac:dyDescent="0.2">
      <c r="B103" s="7" t="s">
        <v>73</v>
      </c>
      <c r="O103" s="2">
        <v>7.2</v>
      </c>
      <c r="P103" s="2">
        <f>7.2-O103</f>
        <v>0</v>
      </c>
      <c r="AF103" s="7">
        <v>0</v>
      </c>
      <c r="AG103" s="7">
        <v>6.2</v>
      </c>
      <c r="AH103" s="7">
        <v>34.200000000000003</v>
      </c>
    </row>
    <row r="104" spans="2:34" x14ac:dyDescent="0.2">
      <c r="B104" s="7" t="s">
        <v>124</v>
      </c>
      <c r="O104" s="2">
        <v>0</v>
      </c>
      <c r="P104" s="2">
        <f>-17.8-O104</f>
        <v>-17.8</v>
      </c>
      <c r="AF104" s="7"/>
      <c r="AG104" s="7"/>
      <c r="AH104" s="7"/>
    </row>
    <row r="105" spans="2:34" x14ac:dyDescent="0.2">
      <c r="B105" s="7" t="s">
        <v>88</v>
      </c>
      <c r="O105" s="2">
        <v>-27.9</v>
      </c>
      <c r="P105" s="2">
        <f>-27.9-O105+11.4</f>
        <v>11.4</v>
      </c>
      <c r="AF105" s="7">
        <f>-11.8+23.2-9.7</f>
        <v>1.6999999999999993</v>
      </c>
      <c r="AG105" s="7">
        <f>-9.3+19.8</f>
        <v>10.5</v>
      </c>
      <c r="AH105" s="7">
        <f>-11.8+9.7-8.2</f>
        <v>-10.3</v>
      </c>
    </row>
    <row r="106" spans="2:34" x14ac:dyDescent="0.2">
      <c r="B106" s="7" t="s">
        <v>89</v>
      </c>
      <c r="O106" s="2">
        <v>0.6</v>
      </c>
      <c r="P106" s="2">
        <f>-0.6-O106</f>
        <v>-1.2</v>
      </c>
      <c r="AF106" s="7">
        <v>0.3</v>
      </c>
      <c r="AG106" s="7">
        <v>2.5</v>
      </c>
      <c r="AH106" s="7">
        <v>0.3</v>
      </c>
    </row>
    <row r="107" spans="2:34" x14ac:dyDescent="0.2">
      <c r="B107" t="s">
        <v>87</v>
      </c>
      <c r="O107" s="2">
        <f>SUM(O102:O106)</f>
        <v>-54.9</v>
      </c>
      <c r="P107" s="8">
        <f>SUM(P102:P106)</f>
        <v>-48.000000000000007</v>
      </c>
      <c r="AF107" s="7">
        <f>SUM(AF102:AF106)</f>
        <v>-516.1</v>
      </c>
      <c r="AG107" s="7">
        <f t="shared" ref="AG107:AH107" si="154">SUM(AG102:AG106)</f>
        <v>-154.60000000000002</v>
      </c>
      <c r="AH107" s="7">
        <f t="shared" si="154"/>
        <v>-68.2</v>
      </c>
    </row>
    <row r="114" spans="2:23" s="15" customFormat="1" x14ac:dyDescent="0.2">
      <c r="B114" s="15" t="s">
        <v>92</v>
      </c>
      <c r="C114" s="16"/>
      <c r="D114" s="16"/>
      <c r="E114" s="16"/>
      <c r="F114" s="16"/>
      <c r="G114" s="16"/>
      <c r="H114" s="16"/>
      <c r="I114" s="16"/>
      <c r="J114" s="16"/>
      <c r="K114" s="16">
        <v>185</v>
      </c>
      <c r="L114" s="16"/>
      <c r="M114" s="16"/>
      <c r="N114" s="16"/>
      <c r="O114" s="16">
        <v>185</v>
      </c>
      <c r="P114" s="16"/>
      <c r="Q114" s="16"/>
      <c r="R114" s="16"/>
      <c r="S114" s="16"/>
      <c r="T114" s="16"/>
      <c r="U114" s="16"/>
      <c r="V114" s="16"/>
      <c r="W114" s="16"/>
    </row>
    <row r="115" spans="2:23" s="15" customFormat="1" x14ac:dyDescent="0.2">
      <c r="B115" s="15" t="s">
        <v>93</v>
      </c>
      <c r="C115" s="16"/>
      <c r="D115" s="16"/>
      <c r="E115" s="16"/>
      <c r="F115" s="16"/>
      <c r="G115" s="16"/>
      <c r="H115" s="16"/>
      <c r="I115" s="16"/>
      <c r="J115" s="16"/>
      <c r="K115" s="16">
        <v>153</v>
      </c>
      <c r="L115" s="16"/>
      <c r="M115" s="16"/>
      <c r="N115" s="16"/>
      <c r="O115" s="16">
        <v>154</v>
      </c>
      <c r="P115" s="16"/>
      <c r="Q115" s="16"/>
      <c r="R115" s="16"/>
      <c r="S115" s="16"/>
      <c r="T115" s="16"/>
      <c r="U115" s="16"/>
      <c r="V115" s="16"/>
      <c r="W115" s="16"/>
    </row>
    <row r="116" spans="2:23" s="15" customFormat="1" x14ac:dyDescent="0.2">
      <c r="B116" s="15" t="s">
        <v>94</v>
      </c>
      <c r="C116" s="16"/>
      <c r="D116" s="16"/>
      <c r="E116" s="16"/>
      <c r="F116" s="16"/>
      <c r="G116" s="16"/>
      <c r="H116" s="16"/>
      <c r="I116" s="16"/>
      <c r="J116" s="16"/>
      <c r="K116" s="16">
        <v>55</v>
      </c>
      <c r="L116" s="16"/>
      <c r="M116" s="16"/>
      <c r="N116" s="16"/>
      <c r="O116" s="16">
        <v>56</v>
      </c>
      <c r="P116" s="16"/>
      <c r="Q116" s="16"/>
      <c r="R116" s="16"/>
      <c r="S116" s="16"/>
      <c r="T116" s="16"/>
      <c r="U116" s="16"/>
      <c r="V116" s="16"/>
      <c r="W116" s="16"/>
    </row>
    <row r="117" spans="2:23" s="15" customFormat="1" x14ac:dyDescent="0.2">
      <c r="B117" s="15" t="s">
        <v>95</v>
      </c>
      <c r="C117" s="16"/>
      <c r="D117" s="16"/>
      <c r="E117" s="16"/>
      <c r="F117" s="16"/>
      <c r="G117" s="16"/>
      <c r="H117" s="16"/>
      <c r="I117" s="16"/>
      <c r="J117" s="16"/>
      <c r="K117" s="16">
        <v>725</v>
      </c>
      <c r="L117" s="16"/>
      <c r="M117" s="16"/>
      <c r="N117" s="16"/>
      <c r="O117" s="16">
        <v>729</v>
      </c>
      <c r="P117" s="16"/>
      <c r="Q117" s="16"/>
      <c r="R117" s="16"/>
      <c r="S117" s="16"/>
      <c r="T117" s="16"/>
      <c r="U117" s="16"/>
      <c r="V117" s="16"/>
      <c r="W117" s="16"/>
    </row>
    <row r="118" spans="2:23" s="15" customFormat="1" x14ac:dyDescent="0.2">
      <c r="B118" s="15" t="s">
        <v>96</v>
      </c>
      <c r="C118" s="16"/>
      <c r="D118" s="16"/>
      <c r="E118" s="16"/>
      <c r="F118" s="16"/>
      <c r="G118" s="16"/>
      <c r="H118" s="16"/>
      <c r="I118" s="16"/>
      <c r="J118" s="16"/>
      <c r="K118" s="16">
        <v>3339</v>
      </c>
      <c r="L118" s="16"/>
      <c r="M118" s="16"/>
      <c r="N118" s="16"/>
      <c r="O118" s="16">
        <v>3395</v>
      </c>
      <c r="P118" s="16"/>
      <c r="Q118" s="16"/>
      <c r="R118" s="16"/>
      <c r="S118" s="16"/>
      <c r="T118" s="16"/>
      <c r="U118" s="16"/>
      <c r="V118" s="16"/>
      <c r="W118" s="16"/>
    </row>
    <row r="120" spans="2:23" x14ac:dyDescent="0.2">
      <c r="B120" s="15" t="s">
        <v>97</v>
      </c>
      <c r="O120" s="8">
        <v>25.7</v>
      </c>
    </row>
    <row r="121" spans="2:23" x14ac:dyDescent="0.2">
      <c r="O121" s="16"/>
    </row>
  </sheetData>
  <hyperlinks>
    <hyperlink ref="A1" location="Main!A1" display="Main" xr:uid="{B81062D5-BF83-47A2-9DBF-ED38863027E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2022-07-02T03:46:33Z</dcterms:created>
  <dcterms:modified xsi:type="dcterms:W3CDTF">2023-04-16T20:42:17Z</dcterms:modified>
</cp:coreProperties>
</file>