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E356776-E35F-4EA7-90FE-460FCD89795D}" xr6:coauthVersionLast="47" xr6:coauthVersionMax="47" xr10:uidLastSave="{00000000-0000-0000-0000-000000000000}"/>
  <bookViews>
    <workbookView xWindow="-51720" yWindow="-120" windowWidth="51840" windowHeight="21120" activeTab="7" xr2:uid="{00000000-000D-0000-FFFF-FFFF00000000}"/>
  </bookViews>
  <sheets>
    <sheet name="Management and Structure" sheetId="121" r:id="rId1"/>
    <sheet name="Debt" sheetId="129" r:id="rId2"/>
    <sheet name="Master" sheetId="132" r:id="rId3"/>
    <sheet name="Main" sheetId="101" r:id="rId4"/>
    <sheet name="Model" sheetId="99" r:id="rId5"/>
    <sheet name="Tecentriq" sheetId="131" r:id="rId6"/>
    <sheet name="Diagnostics" sheetId="124" r:id="rId7"/>
    <sheet name="MabThera" sheetId="115" r:id="rId8"/>
    <sheet name="Avastin" sheetId="113" r:id="rId9"/>
    <sheet name="Avastin Model" sheetId="128" r:id="rId10"/>
    <sheet name="Polivy" sheetId="133" r:id="rId11"/>
    <sheet name="Herceptin" sheetId="118" r:id="rId12"/>
    <sheet name="Pegasys" sheetId="119" r:id="rId13"/>
    <sheet name="Xeloda" sheetId="127" r:id="rId14"/>
    <sheet name="Actemra" sheetId="112" r:id="rId15"/>
    <sheet name="Lucentis" sheetId="123" r:id="rId16"/>
    <sheet name="Perjeta" sheetId="117" r:id="rId17"/>
    <sheet name="Ocrevus" sheetId="126" r:id="rId18"/>
    <sheet name="Kadcyla" sheetId="130" r:id="rId19"/>
    <sheet name="Mircera" sheetId="102" r:id="rId20"/>
    <sheet name="Tarceva" sheetId="122" r:id="rId21"/>
    <sheet name="Failures" sheetId="125" r:id="rId22"/>
    <sheet name="dalcetrapib" sheetId="111" r:id="rId23"/>
    <sheet name="aleglitazar" sheetId="120" r:id="rId24"/>
    <sheet name="R1626" sheetId="114" r:id="rId25"/>
    <sheet name="taspoglutide" sheetId="116" r:id="rId26"/>
  </sheets>
  <externalReferences>
    <externalReference r:id="rId27"/>
    <externalReference r:id="rId28"/>
    <externalReference r:id="rId29"/>
    <externalReference r:id="rId30"/>
    <externalReference r:id="rId31"/>
  </externalReferences>
  <definedNames>
    <definedName name="__FDS_HYPERLINK_TOGGLE_STATE__" hidden="1">"ON"</definedName>
    <definedName name="_50__Special_Reserve">#REF!</definedName>
    <definedName name="_SKF107647">[1]Sales!#REF!</definedName>
    <definedName name="Accrued_Expenditure">#REF!</definedName>
    <definedName name="Acellular_pertussis_booster">[1]Sales!$A$90:$AG$90</definedName>
    <definedName name="Acquisitions">#REF!</definedName>
    <definedName name="Amortisation">#REF!</definedName>
    <definedName name="Amortization_of_Acquired_Technology_Rights">#REF!</definedName>
    <definedName name="Amortization_of_Goodwill">#REF!</definedName>
    <definedName name="Amoxil">[1]Sales!$A$27:$AG$27</definedName>
    <definedName name="Androderm">[1]Sales!#REF!</definedName>
    <definedName name="Argentina">#REF!</definedName>
    <definedName name="ASSOC">#REF!</definedName>
    <definedName name="Associates">#REF!</definedName>
    <definedName name="Augmentin">[1]Sales!$A$26:$AG$26</definedName>
    <definedName name="Bactroban">[1]Sales!$A$35:$AG$35</definedName>
    <definedName name="beta_company">#REF!</definedName>
    <definedName name="beta_current">#REF!</definedName>
    <definedName name="beta_rd">#REF!</definedName>
    <definedName name="BLPH3" hidden="1">[2]stats!#REF!</definedName>
    <definedName name="BRL_32872">[1]Sales!#REF!</definedName>
    <definedName name="BRL_49653">[1]Sales!#REF!</definedName>
    <definedName name="BSMinorities">#REF!</definedName>
    <definedName name="Campylobacter">[1]Sales!$A$89:$AG$89</definedName>
    <definedName name="CAPEX">#REF!</definedName>
    <definedName name="CAPEX__Financial">#REF!</definedName>
    <definedName name="CAPEX__Intangibles">#REF!</definedName>
    <definedName name="CAPEX_SALES">#REF!</definedName>
    <definedName name="Case">#REF!</definedName>
    <definedName name="CASH_FLOW_ANALYSIS">#REF!</definedName>
    <definedName name="cash_min">'[3]earnings model'!#REF!</definedName>
    <definedName name="CFPS__DM">#REF!</definedName>
    <definedName name="Change_in_NWC">#REF!</definedName>
    <definedName name="Charts">#REF!</definedName>
    <definedName name="Charts1">#REF!</definedName>
    <definedName name="Charts2">#REF!</definedName>
    <definedName name="Chile1">#REF!</definedName>
    <definedName name="Chile2">#REF!</definedName>
    <definedName name="Classic_flu">[1]Sales!$A$67:$AG$67</definedName>
    <definedName name="Closed_End">#REF!</definedName>
    <definedName name="cogs">#REF!</definedName>
    <definedName name="COGS_1997_EBIT">#REF!</definedName>
    <definedName name="COGS_1998_EBIT">#REF!</definedName>
    <definedName name="COGS_1999_EBIT">#REF!</definedName>
    <definedName name="COGS_2000_EBIT">#REF!</definedName>
    <definedName name="COGS_2001_EBIT">#REF!</definedName>
    <definedName name="COGS_2002_EBIT">#REF!</definedName>
    <definedName name="COGS_2003_EBIT">#REF!</definedName>
    <definedName name="COGS_2004_EBIT">#REF!</definedName>
    <definedName name="COGS_2005_EBIT">#REF!</definedName>
    <definedName name="COGS_2006_EBIT">#REF!</definedName>
    <definedName name="CONSOLIDATED_BALANCE_SHEET">#REF!</definedName>
    <definedName name="ConversionRate">#REF!</definedName>
    <definedName name="Coreg_Kredex">[1]Sales!$A$100:$AG$100</definedName>
    <definedName name="Cost_capital_copy">#REF!</definedName>
    <definedName name="cost_debt">#REF!</definedName>
    <definedName name="Cost_of_capital">#REF!</definedName>
    <definedName name="Cost_of_Sales">#REF!</definedName>
    <definedName name="cost_pref">#REF!</definedName>
    <definedName name="costperhead">#REF!</definedName>
    <definedName name="Creditor_days">#REF!</definedName>
    <definedName name="_xlnm.Criteria">[4]gelxwork!#REF!</definedName>
    <definedName name="current_bus_wacc">#REF!</definedName>
    <definedName name="Date">#REF!</definedName>
    <definedName name="Debtor_days">#REF!</definedName>
    <definedName name="Deferred_Charges">#REF!</definedName>
    <definedName name="Depreciation">#REF!</definedName>
    <definedName name="Depreciation___Amortization">#REF!</definedName>
    <definedName name="Depreciation_of_PP_E">#REF!</definedName>
    <definedName name="Disposals">#REF!</definedName>
    <definedName name="Diversified">[1]Sales!#REF!</definedName>
    <definedName name="DOSESPLIT_1">'[5]Scenario Builder'!$C$5:$L$5</definedName>
    <definedName name="DOSESPLIT_10">'[5]Scenario Builder'!$C$14:$L$14</definedName>
    <definedName name="DOSESPLIT_11">'[5]Scenario Builder'!$C$15:$L$15</definedName>
    <definedName name="DOSESPLIT_2">'[5]Scenario Builder'!$C$6:$L$6</definedName>
    <definedName name="DOSESPLIT_3">'[5]Scenario Builder'!$C$7:$L$7</definedName>
    <definedName name="DOSESPLIT_4">'[5]Scenario Builder'!$C$8:$L$8</definedName>
    <definedName name="DOSESPLIT_5">'[5]Scenario Builder'!$C$9:$L$9</definedName>
    <definedName name="DOSESPLIT_6">'[5]Scenario Builder'!$C$10:$L$10</definedName>
    <definedName name="DOSESPLIT_7">'[5]Scenario Builder'!$C$11:$L$11</definedName>
    <definedName name="DOSESPLIT_8">'[5]Scenario Builder'!$C$12:$L$12</definedName>
    <definedName name="DOSESPLIT_9">'[5]Scenario Builder'!$C$13:$L$13</definedName>
    <definedName name="Doubt_Case">#REF!</definedName>
    <definedName name="dps_">#REF!</definedName>
    <definedName name="DPS__DM__Ord">#REF!</definedName>
    <definedName name="DPS__DM__Pref">#REF!</definedName>
    <definedName name="dps_ratio">#REF!</definedName>
    <definedName name="DVFA___SG_EPS__DM">#REF!</definedName>
    <definedName name="DVFA___SG_Net_Profit">#REF!</definedName>
    <definedName name="Dyazide">[1]Sales!#REF!</definedName>
    <definedName name="EBDIT">#REF!</definedName>
    <definedName name="ebit">#REF!</definedName>
    <definedName name="EBIT_CONT_BUS_NO_RD">#REF!</definedName>
    <definedName name="EBIT_CONT_BUS_RD">#REF!</definedName>
    <definedName name="ebit_margin">#REF!</definedName>
    <definedName name="ebita">#REF!</definedName>
    <definedName name="Engerix_B">[1]Sales!$A$64:$AG$64</definedName>
    <definedName name="Enterotoxogenic_E_coli">[1]Sales!$A$91:$AG$91</definedName>
    <definedName name="ENTERPRISE_VALUE">#REF!</definedName>
    <definedName name="eps">#REF!</definedName>
    <definedName name="EV">#REF!</definedName>
    <definedName name="EV_EBDIT">#REF!</definedName>
    <definedName name="EV_EBIT">#REF!</definedName>
    <definedName name="EV_SALES">#REF!</definedName>
    <definedName name="EXIT">#REF!</definedName>
    <definedName name="EXPLICIT_SWITCH">#REF!</definedName>
    <definedName name="Extraordinary_Expenses">#REF!</definedName>
    <definedName name="Extraordinary_Income">#REF!</definedName>
    <definedName name="Famvir">[1]Sales!#REF!</definedName>
    <definedName name="fixed_assets">#REF!</definedName>
    <definedName name="Form_AEPS">#REF!</definedName>
    <definedName name="Form_QEPS">#REF!</definedName>
    <definedName name="Form_QRev">#REF!</definedName>
    <definedName name="Germany_Sales">#REF!</definedName>
    <definedName name="guidance_new">#REF!</definedName>
    <definedName name="Halfan">[1]Sales!#REF!</definedName>
    <definedName name="Havrix">[1]Sales!$A$65:$AG$65</definedName>
    <definedName name="Headcount">#REF!</definedName>
    <definedName name="Herpes_simplex_Hep_B">[1]Sales!$A$94:$AG$94</definedName>
    <definedName name="Human_Papilloma_virus">[1]Sales!$A$95:$AG$95</definedName>
    <definedName name="Hycamtin">[1]Sales!$A$80:$AG$80</definedName>
    <definedName name="Idoxifene">[1]Sales!$A$81:$AG$81</definedName>
    <definedName name="inc_tax">#REF!</definedName>
    <definedName name="Income_tax">#REF!</definedName>
    <definedName name="Infanrix">[1]Sales!$A$86:$AG$86</definedName>
    <definedName name="InpatAdmiss_Case">#REF!</definedName>
    <definedName name="InpatRev_Case">#REF!</definedName>
    <definedName name="Intangible_Assets">#REF!</definedName>
    <definedName name="Keliximab">[1]Sales!#REF!</definedName>
    <definedName name="Kytril">[1]Sales!$A$46:$AG$46</definedName>
    <definedName name="Latin_Amercia">#REF!</definedName>
    <definedName name="LaunchYear_YYYY">YEAR(LaunchDate)</definedName>
    <definedName name="Lavanex">[1]Sales!$A$108:$AG$108</definedName>
    <definedName name="Lyme_Disease">[1]Sales!$A$87:$AG$87</definedName>
    <definedName name="MARGINS_1997_EBIT">#REF!</definedName>
    <definedName name="MARGINS_1998_EBIT">#REF!</definedName>
    <definedName name="MARGINS_1999_EBIT">#REF!</definedName>
    <definedName name="MARGINS_2000_EBIT">#REF!</definedName>
    <definedName name="MARGINS_2001_EBIT">#REF!</definedName>
    <definedName name="MARGINS_2002_EBIT">#REF!</definedName>
    <definedName name="MARGINS_2003_EBIT">#REF!</definedName>
    <definedName name="MARGINS_2004_EBIT">#REF!</definedName>
    <definedName name="MARGINS_2005_EBIT">#REF!</definedName>
    <definedName name="MARGINS_2006_EBIT">#REF!</definedName>
    <definedName name="market_cap">#REF!</definedName>
    <definedName name="MC">#REF!</definedName>
    <definedName name="Melanoma">[1]Sales!$A$93:$AG$93</definedName>
    <definedName name="Memric">[1]Sales!#REF!</definedName>
    <definedName name="Mexico1">#REF!</definedName>
    <definedName name="Mexico2">#REF!</definedName>
    <definedName name="Minorities">#REF!</definedName>
    <definedName name="Minority_Dividends">#REF!</definedName>
    <definedName name="Misc_Other">[1]Sales!#REF!</definedName>
    <definedName name="MKT_SHARE_1">'[5]Scenario Builder'!$C$19:$L$19</definedName>
    <definedName name="MKT_SHARE_10">'[5]Scenario Builder'!$C$28:$L$28</definedName>
    <definedName name="MKT_SHARE_11">'[5]Scenario Builder'!$C$29:$L$29</definedName>
    <definedName name="MKT_SHARE_2">'[5]Scenario Builder'!$C$20:$L$20</definedName>
    <definedName name="MKT_SHARE_3">'[5]Scenario Builder'!$C$21:$L$21</definedName>
    <definedName name="MKT_SHARE_4">'[5]Scenario Builder'!$C$22:$L$22</definedName>
    <definedName name="MKT_SHARE_5">'[5]Scenario Builder'!$C$23:$L$23</definedName>
    <definedName name="MKT_SHARE_6">'[5]Scenario Builder'!$C$24:$L$24</definedName>
    <definedName name="MKT_SHARE_7">'[5]Scenario Builder'!$C$25:$L$25</definedName>
    <definedName name="MKT_SHARE_8">'[5]Scenario Builder'!$C$26:$L$26</definedName>
    <definedName name="MKT_SHARE_9">'[5]Scenario Builder'!$C$27:$L$27</definedName>
    <definedName name="MMR_Varicella">[1]Sales!$A$96:$AG$96</definedName>
    <definedName name="mrp">#REF!</definedName>
    <definedName name="net">#REF!</definedName>
    <definedName name="net_cash">#REF!</definedName>
    <definedName name="Net_Interest">#REF!</definedName>
    <definedName name="Net_profit">#REF!</definedName>
    <definedName name="Net_Profit_after_Minorities">#REF!</definedName>
    <definedName name="Net_Working_Capital">#REF!</definedName>
    <definedName name="Net_Worth_Share__DM">#REF!</definedName>
    <definedName name="NEUP_MKT_SHARE_1">'[5]Scenario Builder'!$C$33:$L$33</definedName>
    <definedName name="NEUP_MKT_SHARE_10">'[5]Scenario Builder'!$C$42:$L$42</definedName>
    <definedName name="NEUP_MKT_SHARE_11">'[5]Scenario Builder'!$C$43:$L$43</definedName>
    <definedName name="NEUP_MKT_SHARE_2">'[5]Scenario Builder'!$C$34:$L$34</definedName>
    <definedName name="NEUP_MKT_SHARE_3">'[5]Scenario Builder'!$C$35:$L$35</definedName>
    <definedName name="NEUP_MKT_SHARE_4">'[5]Scenario Builder'!$C$36:$L$36</definedName>
    <definedName name="NEUP_MKT_SHARE_5">'[5]Scenario Builder'!$C$37:$L$37</definedName>
    <definedName name="NEUP_MKT_SHARE_6">'[5]Scenario Builder'!$C$38:$L$38</definedName>
    <definedName name="NEUP_MKT_SHARE_7">'[5]Scenario Builder'!$C$39:$L$39</definedName>
    <definedName name="NEUP_MKT_SHARE_8">'[5]Scenario Builder'!$C$40:$L$40</definedName>
    <definedName name="NEUP_MKT_SHARE_9">'[5]Scenario Builder'!$C$41:$L$41</definedName>
    <definedName name="NEW_SALES">[1]Sales!$X$112:$AG$112</definedName>
    <definedName name="New_sales_copy">[1]Sales!$AJ$112</definedName>
    <definedName name="NINT">#REF!</definedName>
    <definedName name="NOPAT_NCI">#REF!</definedName>
    <definedName name="North_America">#REF!</definedName>
    <definedName name="ONEPAGER">#REF!</definedName>
    <definedName name="Operating_profit">#REF!</definedName>
    <definedName name="Other_Cash_Items">#REF!</definedName>
    <definedName name="Other_Creditors">#REF!</definedName>
    <definedName name="Other_Europe_Sales">#REF!</definedName>
    <definedName name="Other_Financial_Assets">#REF!</definedName>
    <definedName name="Other_Provisions">#REF!</definedName>
    <definedName name="Other_Taxes">#REF!</definedName>
    <definedName name="Other1">#REF!</definedName>
    <definedName name="OutpatRev_Case">#REF!</definedName>
    <definedName name="OutpatVisit_Case">#REF!</definedName>
    <definedName name="Page1">#REF!</definedName>
    <definedName name="Page12">#REF!</definedName>
    <definedName name="Page2">#REF!</definedName>
    <definedName name="Parent_Company_Dividend">#REF!</definedName>
    <definedName name="PE">#REF!</definedName>
    <definedName name="Penbritin">[1]Sales!$A$33:$AG$33</definedName>
    <definedName name="Pension_Provisions">#REF!</definedName>
    <definedName name="PERSONNEL_ANALYSIS">#REF!</definedName>
    <definedName name="personnel_cost">#REF!</definedName>
    <definedName name="Personnel_Costs">#REF!</definedName>
    <definedName name="PHA_NI_00">#REF!</definedName>
    <definedName name="PHA_NI_01">#REF!</definedName>
    <definedName name="PHA_NI_02">#REF!</definedName>
    <definedName name="PHA_NI_03">#REF!</definedName>
    <definedName name="PHA_NI_04">#REF!</definedName>
    <definedName name="PHA_NI_98">#REF!</definedName>
    <definedName name="PHA_NI_99">#REF!</definedName>
    <definedName name="PHA_PHR_NI_00">#REF!</definedName>
    <definedName name="PHA_PHR_NI_01">#REF!</definedName>
    <definedName name="PHA_PHR_NI_02">#REF!</definedName>
    <definedName name="PHA_PHR_NI_03">#REF!</definedName>
    <definedName name="PHA_PHR_NI_04">#REF!</definedName>
    <definedName name="PHA_PHR_NI_99">#REF!</definedName>
    <definedName name="PHA_SHRS_00">#REF!</definedName>
    <definedName name="PHA_SHRS_01">#REF!</definedName>
    <definedName name="PHA_SHRS_02">#REF!</definedName>
    <definedName name="PHA_SHRS_03">#REF!</definedName>
    <definedName name="PHA_SHRS_04">#REF!</definedName>
    <definedName name="PHA_SHRS_98">#REF!</definedName>
    <definedName name="PHA_SHRS_99">#REF!</definedName>
    <definedName name="pharma_ebit">#REF!</definedName>
    <definedName name="pharma_sales">#REF!</definedName>
    <definedName name="pharma_staff">#REF!</definedName>
    <definedName name="PL">#REF!</definedName>
    <definedName name="PL_1997_EBIT">#REF!</definedName>
    <definedName name="PL_1998_EBIT">#REF!</definedName>
    <definedName name="PL_1999_EBIT">#REF!</definedName>
    <definedName name="PL_2000_EBIT">#REF!</definedName>
    <definedName name="PL_2001_EBIT">#REF!</definedName>
    <definedName name="PL_2002_EBIT">#REF!</definedName>
    <definedName name="PL_2003_EBIT">#REF!</definedName>
    <definedName name="PL_2004_EBIT">#REF!</definedName>
    <definedName name="PL_2005_EBIT">#REF!</definedName>
    <definedName name="PL_2006_EBIT">#REF!</definedName>
    <definedName name="PL_account">#REF!</definedName>
    <definedName name="PL_ADMIN">#REF!</definedName>
    <definedName name="PL_ADMIN_COPY">#REF!</definedName>
    <definedName name="PL_COGS">#REF!</definedName>
    <definedName name="PL_COGS_COPY">#REF!</definedName>
    <definedName name="PL_OP_EXP">#REF!</definedName>
    <definedName name="PL_OP_EXP_COPY">#REF!</definedName>
    <definedName name="PL_RD">#REF!</definedName>
    <definedName name="PL_RD_COPY">#REF!</definedName>
    <definedName name="PL_SGA">#REF!</definedName>
    <definedName name="PL_SGA_COPY">#REF!</definedName>
    <definedName name="Pre_Tax__Profit">#REF!</definedName>
    <definedName name="Pre_Tax_Profit">#REF!</definedName>
    <definedName name="PRICE_1">'[5]Scenario Builder'!$C$61:$L$61</definedName>
    <definedName name="PRICE_2">'[5]Scenario Builder'!$C$62:$L$62</definedName>
    <definedName name="PRICE_3">'[5]Scenario Builder'!$C$63:$L$63</definedName>
    <definedName name="PRICE_4">'[5]Scenario Builder'!$C$64:$L$64</definedName>
    <definedName name="PRICE_5">'[5]Scenario Builder'!$C$65:$L$65</definedName>
    <definedName name="PRICE_NUMBER">'[5]LRP Scenarios'!$G$98</definedName>
    <definedName name="Print_Area_MI">#REF!</definedName>
    <definedName name="PRINT_BS">#REF!</definedName>
    <definedName name="PRINT_CF">#REF!</definedName>
    <definedName name="PRINT_PL">#REF!</definedName>
    <definedName name="PRINT_RATIOS">#REF!</definedName>
    <definedName name="PRINT_SALES">[1]Sales!$A$1:$AG$230</definedName>
    <definedName name="PRINT_VALUE">#REF!</definedName>
    <definedName name="Proceeds_of_New_Issue">#REF!</definedName>
    <definedName name="ptp">#REF!</definedName>
    <definedName name="Rate_WACC">#REF!</definedName>
    <definedName name="RD">#REF!</definedName>
    <definedName name="rd_pharma">#REF!</definedName>
    <definedName name="Relafen">[1]Sales!#REF!</definedName>
    <definedName name="ReQuip">[1]Sales!#REF!</definedName>
    <definedName name="rfr">#REF!</definedName>
    <definedName name="sales">#REF!</definedName>
    <definedName name="Salmonella_typhi">[1]Sales!$A$92:$AG$92</definedName>
    <definedName name="SB_204269">[1]Sales!#REF!</definedName>
    <definedName name="SB_207266">[1]Sales!#REF!</definedName>
    <definedName name="SB_207499">[1]Sales!#REF!</definedName>
    <definedName name="SB_209509">[1]Sales!#REF!</definedName>
    <definedName name="SB_209670">[1]Sales!$A$105:$AG$105</definedName>
    <definedName name="SB_210396">[1]Sales!#REF!</definedName>
    <definedName name="SB_214857">[1]Sales!$A$103:$AG$103</definedName>
    <definedName name="SB_217242">[1]Sales!$A$104:$AG$104</definedName>
    <definedName name="SB_217969">[1]Sales!#REF!</definedName>
    <definedName name="SB_220453">[1]Sales!#REF!</definedName>
    <definedName name="SCENARIO_NUMBER">'[5]LRP Scenarios'!$D$98</definedName>
    <definedName name="Seroxat">[1]Sales!$A$45:$AG$45</definedName>
    <definedName name="SharePrice">#REF!</definedName>
    <definedName name="SharePriceEuro">#REF!</definedName>
    <definedName name="SHARES">#REF!</definedName>
    <definedName name="Short_Flow_Data">#REF!</definedName>
    <definedName name="Smithkline_beecham_ethical_sales">[1]Sales!$T$114:$AG$114</definedName>
    <definedName name="SPLIT_MULT_1">'[5]Scenario Builder'!$C$48:$L$48</definedName>
    <definedName name="SPLIT_MULT_10">'[5]Scenario Builder'!$C$57:$L$57</definedName>
    <definedName name="SPLIT_MULT_11">'[5]Scenario Builder'!$C$58:$L$58</definedName>
    <definedName name="SPLIT_MULT_2">'[5]Scenario Builder'!$C$49:$L$49</definedName>
    <definedName name="SPLIT_MULT_3">'[5]Scenario Builder'!$C$50:$L$50</definedName>
    <definedName name="SPLIT_MULT_4">'[5]Scenario Builder'!$C$51:$L$51</definedName>
    <definedName name="SPLIT_MULT_5">'[5]Scenario Builder'!$C$52:$L$52</definedName>
    <definedName name="SPLIT_MULT_6">'[5]Scenario Builder'!$C$53:$L$53</definedName>
    <definedName name="SPLIT_MULT_7">'[5]Scenario Builder'!$C$54:$L$54</definedName>
    <definedName name="SPLIT_MULT_8">'[5]Scenario Builder'!$C$55:$L$55</definedName>
    <definedName name="SPLIT_MULT_9">'[5]Scenario Builder'!$C$56:$L$56</definedName>
    <definedName name="staff">#REF!</definedName>
    <definedName name="Staff_costs">#REF!</definedName>
    <definedName name="Stock_days">#REF!</definedName>
    <definedName name="STOCK_PRICE">#REF!</definedName>
    <definedName name="Tagamet">[1]Sales!$A$60:$AG$60</definedName>
    <definedName name="Tangible_Assets">#REF!</definedName>
    <definedName name="Teveten">[1]Sales!$A$102:$AG$102</definedName>
    <definedName name="Timentin">[1]Sales!$A$34:$AG$34</definedName>
    <definedName name="total_ebit">#REF!</definedName>
    <definedName name="TPROF">#REF!</definedName>
    <definedName name="Twinrix">[1]Sales!$A$85:$AG$85</definedName>
    <definedName name="Ultair">[1]Sales!#REF!</definedName>
    <definedName name="va">#REF!</definedName>
    <definedName name="VALUATION_CONT_BUS">#REF!</definedName>
    <definedName name="VALUATION_CONT_BUS_NO_RD">#REF!</definedName>
    <definedName name="valuation_rd">#REF!</definedName>
    <definedName name="VALUATION_SHARE">#REF!</definedName>
    <definedName name="Variation_in_other_provisions">#REF!</definedName>
    <definedName name="Variation_in_Pension_Provisions">#REF!</definedName>
    <definedName name="Variation_Special_reserve">#REF!</definedName>
    <definedName name="Vectovir">[1]Sales!#REF!</definedName>
    <definedName name="WACC">#REF!</definedName>
    <definedName name="WACC_company">#REF!</definedName>
    <definedName name="Working_capital">#REF!</definedName>
    <definedName name="wrn.Earnings._.Model." hidden="1">{#N/A,#N/A,FALSE,"Product Revenue";#N/A,#N/A,FALSE,"Geographic Revenue";#N/A,#N/A,FALSE,"Income Statement - As Reported";#N/A,#N/A,FALSE,"Income Statement - Operating";#N/A,#N/A,FALSE,"Income Statement - %Revenue";#N/A,#N/A,FALSE,"Year-over-Year Growth";#N/A,#N/A,FALSE,"Sequential Growth";#N/A,#N/A,FALSE,"Balance Sheet";#N/A,#N/A,FALSE,"Cash Flow";#N/A,#N/A,FALSE,"Ratios";#N/A,#N/A,FALSE,"Valuation"}</definedName>
    <definedName name="wrn.Ligand._.Model." hidden="1">{#N/A,#N/A,FALSE,"Inc";#N/A,#N/A,FALSE,"QInc";#N/A,#N/A,FALSE,"Pro";#N/A,#N/A,FALSE,"QPro"}</definedName>
    <definedName name="xxxxx" hidden="1">{#N/A,#N/A,FALSE,"Inc";#N/A,#N/A,FALSE,"QInc";#N/A,#N/A,FALSE,"Pro";#N/A,#N/A,FALSE,"QPro"}</definedName>
    <definedName name="xxxxxx" hidden="1">{#N/A,#N/A,FALSE,"Inc";#N/A,#N/A,FALSE,"QInc";#N/A,#N/A,FALSE,"Pro";#N/A,#N/A,FALSE,"QPro"}</definedName>
    <definedName name="Year_End_Net_Cash____Debt">#REF!</definedName>
    <definedName name="Year_End_Number_of_Employees">#REF!</definedName>
    <definedName name="Yield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U28" i="99" l="1"/>
  <c r="DU27" i="99"/>
  <c r="DU26" i="99"/>
  <c r="DU25" i="99"/>
  <c r="DU24" i="99"/>
  <c r="DU23" i="99"/>
  <c r="DU22" i="99"/>
  <c r="DU21" i="99"/>
  <c r="DU20" i="99"/>
  <c r="DU19" i="99"/>
  <c r="DU18" i="99"/>
  <c r="DU17" i="99"/>
  <c r="DU16" i="99"/>
  <c r="DU15" i="99"/>
  <c r="DU14" i="99"/>
  <c r="DU13" i="99"/>
  <c r="DU12" i="99"/>
  <c r="DU11" i="99"/>
  <c r="DU10" i="99"/>
  <c r="DU9" i="99"/>
  <c r="DU6" i="99"/>
  <c r="EZ6" i="99"/>
  <c r="EZ30" i="99"/>
  <c r="EZ29" i="99"/>
  <c r="EZ28" i="99"/>
  <c r="EZ27" i="99"/>
  <c r="EZ26" i="99"/>
  <c r="EZ25" i="99"/>
  <c r="EZ24" i="99"/>
  <c r="EZ23" i="99"/>
  <c r="EZ22" i="99"/>
  <c r="EZ21" i="99"/>
  <c r="EZ20" i="99"/>
  <c r="EZ19" i="99"/>
  <c r="EZ18" i="99"/>
  <c r="EZ17" i="99"/>
  <c r="EZ16" i="99"/>
  <c r="EZ15" i="99"/>
  <c r="EZ14" i="99"/>
  <c r="EZ13" i="99"/>
  <c r="EZ12" i="99"/>
  <c r="EZ11" i="99"/>
  <c r="EZ10" i="99"/>
  <c r="EZ9" i="99"/>
  <c r="DY3" i="99"/>
  <c r="DX3" i="99"/>
  <c r="DW3" i="99"/>
  <c r="DV3" i="99"/>
  <c r="DU3" i="99"/>
  <c r="DQ3" i="99"/>
  <c r="DP3" i="99"/>
  <c r="DO3" i="99"/>
  <c r="DN3" i="99"/>
  <c r="DT3" i="99"/>
  <c r="DS3" i="99"/>
  <c r="EZ62" i="99" l="1"/>
  <c r="EY100" i="99"/>
  <c r="EX72" i="99"/>
  <c r="EX70" i="99"/>
  <c r="EY72" i="99"/>
  <c r="EY70" i="99"/>
  <c r="EX61" i="99"/>
  <c r="EY61" i="99"/>
  <c r="EY15" i="99"/>
  <c r="EY3" i="99" s="1"/>
  <c r="EX15" i="99"/>
  <c r="EX3" i="99" s="1"/>
  <c r="J5" i="101"/>
  <c r="DR3" i="99"/>
  <c r="EY62" i="99" l="1"/>
  <c r="EY87" i="99" s="1"/>
  <c r="EX62" i="99"/>
  <c r="EX65" i="99" s="1"/>
  <c r="EX84" i="99" s="1"/>
  <c r="EY65" i="99"/>
  <c r="EY85" i="99"/>
  <c r="EY86" i="99"/>
  <c r="EL15" i="99"/>
  <c r="EM15" i="99"/>
  <c r="EP15" i="99"/>
  <c r="EQ15" i="99"/>
  <c r="EY94" i="99" l="1"/>
  <c r="EY71" i="99"/>
  <c r="EY84" i="99"/>
  <c r="EQ58" i="99"/>
  <c r="EP58" i="99"/>
  <c r="EQ10" i="99"/>
  <c r="ER10" i="99" s="1"/>
  <c r="ES10" i="99" s="1"/>
  <c r="ET10" i="99" s="1"/>
  <c r="EU10" i="99" s="1"/>
  <c r="EV10" i="99" s="1"/>
  <c r="EP10" i="99"/>
  <c r="EQ57" i="99"/>
  <c r="ER57" i="99" s="1"/>
  <c r="ES57" i="99" s="1"/>
  <c r="ET57" i="99" s="1"/>
  <c r="EU57" i="99" s="1"/>
  <c r="EV57" i="99" s="1"/>
  <c r="EP57" i="99"/>
  <c r="EQ56" i="99"/>
  <c r="EP56" i="99"/>
  <c r="EQ55" i="99"/>
  <c r="EP55" i="99"/>
  <c r="EQ54" i="99"/>
  <c r="EP54" i="99"/>
  <c r="EQ53" i="99"/>
  <c r="EP53" i="99"/>
  <c r="EQ52" i="99"/>
  <c r="EP52" i="99"/>
  <c r="EQ51" i="99"/>
  <c r="EP51" i="99"/>
  <c r="EQ50" i="99"/>
  <c r="EP50" i="99"/>
  <c r="EQ49" i="99"/>
  <c r="EP49" i="99"/>
  <c r="EQ48" i="99"/>
  <c r="ER48" i="99" s="1"/>
  <c r="ES48" i="99" s="1"/>
  <c r="ET48" i="99" s="1"/>
  <c r="EU48" i="99" s="1"/>
  <c r="EV48" i="99" s="1"/>
  <c r="EP48" i="99"/>
  <c r="EQ47" i="99"/>
  <c r="EP47" i="99"/>
  <c r="EQ22" i="99"/>
  <c r="EP22" i="99"/>
  <c r="EQ27" i="99"/>
  <c r="EP27" i="99"/>
  <c r="EQ45" i="99"/>
  <c r="EP45" i="99"/>
  <c r="EQ44" i="99"/>
  <c r="ER44" i="99" s="1"/>
  <c r="ES44" i="99" s="1"/>
  <c r="ET44" i="99" s="1"/>
  <c r="EU44" i="99" s="1"/>
  <c r="EV44" i="99" s="1"/>
  <c r="EW44" i="99" s="1"/>
  <c r="EP44" i="99"/>
  <c r="EQ19" i="99"/>
  <c r="EP19" i="99"/>
  <c r="EQ28" i="99"/>
  <c r="EP28" i="99"/>
  <c r="EQ43" i="99"/>
  <c r="EP43" i="99"/>
  <c r="EQ13" i="99"/>
  <c r="EP13" i="99"/>
  <c r="EQ41" i="99"/>
  <c r="EP41" i="99"/>
  <c r="EQ40" i="99"/>
  <c r="EP40" i="99"/>
  <c r="EQ39" i="99"/>
  <c r="EP39" i="99"/>
  <c r="EQ38" i="99"/>
  <c r="EP38" i="99"/>
  <c r="EQ21" i="99"/>
  <c r="EP21" i="99"/>
  <c r="EQ16" i="99"/>
  <c r="EP16" i="99"/>
  <c r="EP14" i="99"/>
  <c r="EO56" i="99"/>
  <c r="EO55" i="99"/>
  <c r="EO54" i="99"/>
  <c r="EO53" i="99"/>
  <c r="EO52" i="99"/>
  <c r="EO51" i="99"/>
  <c r="EO50" i="99"/>
  <c r="EO49" i="99"/>
  <c r="EQ14" i="99"/>
  <c r="EM14" i="99"/>
  <c r="EL14" i="99"/>
  <c r="EI14" i="99"/>
  <c r="EH14" i="99"/>
  <c r="EY88" i="99" l="1"/>
  <c r="EY74" i="99"/>
  <c r="EN84" i="99"/>
  <c r="EO72" i="99"/>
  <c r="EO70" i="99"/>
  <c r="EO8" i="99"/>
  <c r="EO7" i="99"/>
  <c r="EO6" i="99"/>
  <c r="EO5" i="99"/>
  <c r="EO4" i="99"/>
  <c r="EO47" i="99"/>
  <c r="ER47" i="99" s="1"/>
  <c r="ES47" i="99" s="1"/>
  <c r="ET47" i="99" s="1"/>
  <c r="EU47" i="99" s="1"/>
  <c r="EV47" i="99" s="1"/>
  <c r="EW47" i="99" s="1"/>
  <c r="EO46" i="99"/>
  <c r="CC61" i="99"/>
  <c r="CC62" i="99" s="1"/>
  <c r="CB61" i="99"/>
  <c r="CB62" i="99" s="1"/>
  <c r="BZ61" i="99"/>
  <c r="V13" i="99"/>
  <c r="V47" i="99"/>
  <c r="V46" i="99"/>
  <c r="BY61" i="99"/>
  <c r="BY62" i="99" s="1"/>
  <c r="V6" i="99"/>
  <c r="V22" i="99"/>
  <c r="V27" i="99"/>
  <c r="V45" i="99"/>
  <c r="V44" i="99"/>
  <c r="V19" i="99"/>
  <c r="V28" i="99"/>
  <c r="V43" i="99"/>
  <c r="V42" i="99"/>
  <c r="V41" i="99"/>
  <c r="V40" i="99"/>
  <c r="V39" i="99"/>
  <c r="V38" i="99"/>
  <c r="V21" i="99"/>
  <c r="V16" i="99"/>
  <c r="X16" i="99" s="1"/>
  <c r="V15" i="99"/>
  <c r="X15" i="99" s="1"/>
  <c r="V14" i="99"/>
  <c r="X14" i="99" s="1"/>
  <c r="CA41" i="99"/>
  <c r="EO41" i="99" s="1"/>
  <c r="EY90" i="99" l="1"/>
  <c r="EY89" i="99"/>
  <c r="EY76" i="99"/>
  <c r="EY78" i="99" s="1"/>
  <c r="EY91" i="99" s="1"/>
  <c r="BZ62" i="99"/>
  <c r="BY117" i="99"/>
  <c r="BZ117" i="99"/>
  <c r="CC117" i="99"/>
  <c r="BY118" i="99"/>
  <c r="BZ118" i="99"/>
  <c r="CC118" i="99"/>
  <c r="CA48" i="99"/>
  <c r="CA13" i="99"/>
  <c r="EO13" i="99" s="1"/>
  <c r="U47" i="99"/>
  <c r="CA22" i="99"/>
  <c r="CA27" i="99"/>
  <c r="CA45" i="99"/>
  <c r="CA44" i="99"/>
  <c r="EO44" i="99" s="1"/>
  <c r="CA19" i="99"/>
  <c r="CA43" i="99"/>
  <c r="CA42" i="99"/>
  <c r="U41" i="99"/>
  <c r="CA40" i="99"/>
  <c r="CA39" i="99"/>
  <c r="CA38" i="99"/>
  <c r="CA28" i="99"/>
  <c r="CA21" i="99"/>
  <c r="CA16" i="99"/>
  <c r="CA15" i="99"/>
  <c r="EO15" i="99" s="1"/>
  <c r="CA14" i="99"/>
  <c r="EO14" i="99" s="1"/>
  <c r="CC3" i="99"/>
  <c r="CB3" i="99"/>
  <c r="BZ3" i="99"/>
  <c r="U15" i="99" l="1"/>
  <c r="W15" i="99" s="1"/>
  <c r="ER15" i="99"/>
  <c r="ES15" i="99" s="1"/>
  <c r="ET15" i="99" s="1"/>
  <c r="EU15" i="99" s="1"/>
  <c r="EV15" i="99" s="1"/>
  <c r="EW15" i="99" s="1"/>
  <c r="U38" i="99"/>
  <c r="EO38" i="99"/>
  <c r="U45" i="99"/>
  <c r="EO45" i="99"/>
  <c r="U13" i="99"/>
  <c r="U16" i="99"/>
  <c r="W16" i="99" s="1"/>
  <c r="EO16" i="99"/>
  <c r="ER16" i="99" s="1"/>
  <c r="ES16" i="99" s="1"/>
  <c r="ET16" i="99" s="1"/>
  <c r="EU16" i="99" s="1"/>
  <c r="EV16" i="99" s="1"/>
  <c r="EW16" i="99" s="1"/>
  <c r="U43" i="99"/>
  <c r="EO43" i="99"/>
  <c r="U21" i="99"/>
  <c r="EO21" i="99"/>
  <c r="U40" i="99"/>
  <c r="EO40" i="99"/>
  <c r="U19" i="99"/>
  <c r="EO19" i="99"/>
  <c r="U22" i="99"/>
  <c r="EO22" i="99"/>
  <c r="U44" i="99"/>
  <c r="U42" i="99"/>
  <c r="EO42" i="99"/>
  <c r="U39" i="99"/>
  <c r="EO39" i="99"/>
  <c r="U27" i="99"/>
  <c r="EO27" i="99"/>
  <c r="U48" i="99"/>
  <c r="V48" i="99" s="1"/>
  <c r="V62" i="99" s="1"/>
  <c r="EO48" i="99"/>
  <c r="U14" i="99"/>
  <c r="W14" i="99" s="1"/>
  <c r="CA61" i="99"/>
  <c r="EO61" i="99" s="1"/>
  <c r="U28" i="99"/>
  <c r="EO28" i="99"/>
  <c r="U46" i="99"/>
  <c r="ER61" i="99" l="1"/>
  <c r="ES61" i="99" s="1"/>
  <c r="ET61" i="99" s="1"/>
  <c r="EU61" i="99" s="1"/>
  <c r="EV61" i="99" s="1"/>
  <c r="EW61" i="99" s="1"/>
  <c r="CA62" i="99"/>
  <c r="U62" i="99"/>
  <c r="CA3" i="99"/>
  <c r="EO3" i="99" s="1"/>
  <c r="EO62" i="99" s="1"/>
  <c r="EO65" i="99" s="1"/>
  <c r="E3" i="128"/>
  <c r="F3" i="128" s="1"/>
  <c r="G3" i="128" s="1"/>
  <c r="H3" i="128" s="1"/>
  <c r="I3" i="128" s="1"/>
  <c r="J3" i="128" s="1"/>
  <c r="K3" i="128" s="1"/>
  <c r="L3" i="128" s="1"/>
  <c r="M3" i="128" s="1"/>
  <c r="N3" i="128" s="1"/>
  <c r="O3" i="128" s="1"/>
  <c r="P3" i="128" s="1"/>
  <c r="Q3" i="128" s="1"/>
  <c r="R3" i="128" s="1"/>
  <c r="S3" i="128" s="1"/>
  <c r="T3" i="128" s="1"/>
  <c r="U3" i="128" s="1"/>
  <c r="V3" i="128" s="1"/>
  <c r="W3" i="128" s="1"/>
  <c r="X3" i="128" s="1"/>
  <c r="Y3" i="128" s="1"/>
  <c r="Z3" i="128" s="1"/>
  <c r="D8" i="128"/>
  <c r="D9" i="128"/>
  <c r="E9" i="128" s="1"/>
  <c r="F9" i="128" s="1"/>
  <c r="F14" i="128" s="1"/>
  <c r="C11" i="128"/>
  <c r="C14" i="128"/>
  <c r="AB43" i="115"/>
  <c r="AC43" i="115" s="1"/>
  <c r="D44" i="115"/>
  <c r="E44" i="115"/>
  <c r="F44" i="115"/>
  <c r="G44" i="115"/>
  <c r="H44" i="115"/>
  <c r="I44" i="115"/>
  <c r="J44" i="115"/>
  <c r="K44" i="115"/>
  <c r="L44" i="115"/>
  <c r="M44" i="115"/>
  <c r="N44" i="115"/>
  <c r="O44" i="115"/>
  <c r="P44" i="115"/>
  <c r="Q44" i="115"/>
  <c r="R44" i="115"/>
  <c r="S44" i="115"/>
  <c r="T44" i="115"/>
  <c r="Y45" i="115"/>
  <c r="Z45" i="115"/>
  <c r="AA45" i="115"/>
  <c r="Y46" i="115"/>
  <c r="Z46" i="115"/>
  <c r="AA46" i="115"/>
  <c r="Y47" i="115"/>
  <c r="Z47" i="115"/>
  <c r="AA47" i="115"/>
  <c r="C12" i="124"/>
  <c r="C13" i="124"/>
  <c r="C14" i="124"/>
  <c r="C15" i="124"/>
  <c r="C16" i="124"/>
  <c r="EL2" i="99"/>
  <c r="EM2" i="99" s="1"/>
  <c r="EN2" i="99" s="1"/>
  <c r="EO2" i="99" s="1"/>
  <c r="EP2" i="99" s="1"/>
  <c r="EQ2" i="99" s="1"/>
  <c r="ER2" i="99" s="1"/>
  <c r="ES2" i="99" s="1"/>
  <c r="ET2" i="99" s="1"/>
  <c r="EU2" i="99" s="1"/>
  <c r="EV2" i="99" s="1"/>
  <c r="EW2" i="99" s="1"/>
  <c r="EX2" i="99" s="1"/>
  <c r="EY2" i="99" s="1"/>
  <c r="EZ2" i="99" s="1"/>
  <c r="FA2" i="99" s="1"/>
  <c r="FB2" i="99" s="1"/>
  <c r="FC2" i="99" s="1"/>
  <c r="FD2" i="99" s="1"/>
  <c r="FE2" i="99" s="1"/>
  <c r="FF2" i="99" s="1"/>
  <c r="FG2" i="99" s="1"/>
  <c r="FH2" i="99" s="1"/>
  <c r="FI2" i="99" s="1"/>
  <c r="Q14" i="99"/>
  <c r="Q15" i="99"/>
  <c r="Q16" i="99"/>
  <c r="Q21" i="99"/>
  <c r="Q28" i="99"/>
  <c r="Q38" i="99"/>
  <c r="Q39" i="99"/>
  <c r="Q40" i="99"/>
  <c r="Q41" i="99"/>
  <c r="Q42" i="99"/>
  <c r="Q43" i="99"/>
  <c r="Q49" i="99"/>
  <c r="Q19" i="99"/>
  <c r="Q44" i="99"/>
  <c r="Q45" i="99"/>
  <c r="Q27" i="99"/>
  <c r="Q58" i="99"/>
  <c r="Q22" i="99"/>
  <c r="Q46" i="99"/>
  <c r="Q47" i="99"/>
  <c r="Q8" i="99"/>
  <c r="Q62" i="99" s="1"/>
  <c r="Q87" i="99" s="1"/>
  <c r="BT28" i="99"/>
  <c r="EM28" i="99" s="1"/>
  <c r="BT38" i="99"/>
  <c r="EM38" i="99" s="1"/>
  <c r="BT39" i="99"/>
  <c r="R39" i="99" s="1"/>
  <c r="BT40" i="99"/>
  <c r="BT124" i="99" s="1"/>
  <c r="BT41" i="99"/>
  <c r="R41" i="99" s="1"/>
  <c r="BT43" i="99"/>
  <c r="R43" i="99" s="1"/>
  <c r="BS4" i="99"/>
  <c r="BT4" i="99" s="1"/>
  <c r="BS5" i="99"/>
  <c r="BT5" i="99" s="1"/>
  <c r="R5" i="99" s="1"/>
  <c r="BS8" i="99"/>
  <c r="BT8" i="99" s="1"/>
  <c r="BU8" i="99"/>
  <c r="BU61" i="99" s="1"/>
  <c r="BV3" i="99"/>
  <c r="AX3" i="99"/>
  <c r="AY3" i="99"/>
  <c r="AZ3" i="99"/>
  <c r="BA3" i="99"/>
  <c r="BB3" i="99"/>
  <c r="BC3" i="99"/>
  <c r="BD3" i="99"/>
  <c r="BE3" i="99"/>
  <c r="BF3" i="99"/>
  <c r="BG3" i="99"/>
  <c r="BH3" i="99"/>
  <c r="BI3" i="99"/>
  <c r="BJ3" i="99"/>
  <c r="BK3" i="99"/>
  <c r="BL61" i="99"/>
  <c r="BL3" i="99" s="1"/>
  <c r="BM61" i="99"/>
  <c r="BM3" i="99" s="1"/>
  <c r="BN61" i="99"/>
  <c r="BN62" i="99" s="1"/>
  <c r="BO61" i="99"/>
  <c r="BO3" i="99" s="1"/>
  <c r="BP61" i="99"/>
  <c r="BP3" i="99" s="1"/>
  <c r="BQ61" i="99"/>
  <c r="BQ3" i="99" s="1"/>
  <c r="BR61" i="99"/>
  <c r="BW14" i="99"/>
  <c r="BW15" i="99"/>
  <c r="BW16" i="99"/>
  <c r="BW21" i="99"/>
  <c r="BX21" i="99" s="1"/>
  <c r="T21" i="99" s="1"/>
  <c r="BW28" i="99"/>
  <c r="BW38" i="99"/>
  <c r="BX38" i="99" s="1"/>
  <c r="T38" i="99" s="1"/>
  <c r="BW39" i="99"/>
  <c r="BX39" i="99" s="1"/>
  <c r="BW40" i="99"/>
  <c r="BX40" i="99" s="1"/>
  <c r="BW41" i="99"/>
  <c r="BW42" i="99"/>
  <c r="BX42" i="99" s="1"/>
  <c r="BW43" i="99"/>
  <c r="BX43" i="99" s="1"/>
  <c r="BW49" i="99"/>
  <c r="BX49" i="99" s="1"/>
  <c r="T49" i="99" s="1"/>
  <c r="BW19" i="99"/>
  <c r="BW44" i="99"/>
  <c r="BX44" i="99" s="1"/>
  <c r="T44" i="99" s="1"/>
  <c r="BW45" i="99"/>
  <c r="BX45" i="99" s="1"/>
  <c r="EN45" i="99" s="1"/>
  <c r="ER45" i="99" s="1"/>
  <c r="ES45" i="99" s="1"/>
  <c r="ET45" i="99" s="1"/>
  <c r="EU45" i="99" s="1"/>
  <c r="EV45" i="99" s="1"/>
  <c r="EW45" i="99" s="1"/>
  <c r="BW27" i="99"/>
  <c r="BX27" i="99" s="1"/>
  <c r="BW58" i="99"/>
  <c r="BW22" i="99"/>
  <c r="BX22" i="99" s="1"/>
  <c r="BW46" i="99"/>
  <c r="BX46" i="99" s="1"/>
  <c r="BW13" i="99"/>
  <c r="EN13" i="99" s="1"/>
  <c r="EE3" i="99"/>
  <c r="EF3" i="99"/>
  <c r="EG3" i="99"/>
  <c r="EH16" i="99"/>
  <c r="EH21" i="99"/>
  <c r="EH28" i="99"/>
  <c r="EH38" i="99"/>
  <c r="EH39" i="99"/>
  <c r="EH40" i="99"/>
  <c r="EH41" i="99"/>
  <c r="EH42" i="99"/>
  <c r="EH43" i="99"/>
  <c r="EH49" i="99"/>
  <c r="EH19" i="99"/>
  <c r="EH44" i="99"/>
  <c r="EH45" i="99"/>
  <c r="EH27" i="99"/>
  <c r="EH58" i="99"/>
  <c r="EH22" i="99"/>
  <c r="EH46" i="99"/>
  <c r="EH50" i="99"/>
  <c r="EH51" i="99"/>
  <c r="EH52" i="99"/>
  <c r="EH53" i="99"/>
  <c r="EH54" i="99"/>
  <c r="EH55" i="99"/>
  <c r="EH56" i="99"/>
  <c r="EH60" i="99"/>
  <c r="EI16" i="99"/>
  <c r="EI21" i="99"/>
  <c r="EI28" i="99"/>
  <c r="EI38" i="99"/>
  <c r="EI39" i="99"/>
  <c r="EI40" i="99"/>
  <c r="EI41" i="99"/>
  <c r="EI42" i="99"/>
  <c r="EI43" i="99"/>
  <c r="EI49" i="99"/>
  <c r="EI19" i="99"/>
  <c r="EI44" i="99"/>
  <c r="EI45" i="99"/>
  <c r="EI27" i="99"/>
  <c r="EI58" i="99"/>
  <c r="EI22" i="99"/>
  <c r="EI46" i="99"/>
  <c r="EI50" i="99"/>
  <c r="EI51" i="99"/>
  <c r="EI52" i="99"/>
  <c r="EI53" i="99"/>
  <c r="EI54" i="99"/>
  <c r="EI55" i="99"/>
  <c r="EI56" i="99"/>
  <c r="EI60" i="99"/>
  <c r="L14" i="99"/>
  <c r="EJ14" i="99" s="1"/>
  <c r="L15" i="99"/>
  <c r="EJ15" i="99" s="1"/>
  <c r="L16" i="99"/>
  <c r="EJ16" i="99" s="1"/>
  <c r="L21" i="99"/>
  <c r="EJ21" i="99" s="1"/>
  <c r="L28" i="99"/>
  <c r="EJ28" i="99" s="1"/>
  <c r="L38" i="99"/>
  <c r="EJ38" i="99" s="1"/>
  <c r="L39" i="99"/>
  <c r="EJ39" i="99" s="1"/>
  <c r="L40" i="99"/>
  <c r="EJ40" i="99" s="1"/>
  <c r="L41" i="99"/>
  <c r="EJ41" i="99" s="1"/>
  <c r="L42" i="99"/>
  <c r="EJ42" i="99" s="1"/>
  <c r="L43" i="99"/>
  <c r="EJ43" i="99" s="1"/>
  <c r="L49" i="99"/>
  <c r="EJ49" i="99" s="1"/>
  <c r="L19" i="99"/>
  <c r="EJ19" i="99" s="1"/>
  <c r="L44" i="99"/>
  <c r="EJ44" i="99" s="1"/>
  <c r="L45" i="99"/>
  <c r="EJ45" i="99" s="1"/>
  <c r="L27" i="99"/>
  <c r="EJ27" i="99" s="1"/>
  <c r="L58" i="99"/>
  <c r="EJ58" i="99" s="1"/>
  <c r="L22" i="99"/>
  <c r="EJ22" i="99" s="1"/>
  <c r="L46" i="99"/>
  <c r="EJ46" i="99" s="1"/>
  <c r="L50" i="99"/>
  <c r="EJ50" i="99" s="1"/>
  <c r="EJ60" i="99"/>
  <c r="N14" i="99"/>
  <c r="EK14" i="99" s="1"/>
  <c r="N15" i="99"/>
  <c r="EK15" i="99" s="1"/>
  <c r="N16" i="99"/>
  <c r="EK16" i="99" s="1"/>
  <c r="N21" i="99"/>
  <c r="EK21" i="99" s="1"/>
  <c r="N28" i="99"/>
  <c r="EK28" i="99" s="1"/>
  <c r="N38" i="99"/>
  <c r="EK38" i="99" s="1"/>
  <c r="N39" i="99"/>
  <c r="EK39" i="99" s="1"/>
  <c r="N40" i="99"/>
  <c r="EK40" i="99" s="1"/>
  <c r="N41" i="99"/>
  <c r="EK41" i="99" s="1"/>
  <c r="N42" i="99"/>
  <c r="EK42" i="99" s="1"/>
  <c r="N43" i="99"/>
  <c r="EK43" i="99" s="1"/>
  <c r="N49" i="99"/>
  <c r="EK49" i="99" s="1"/>
  <c r="N19" i="99"/>
  <c r="EK19" i="99" s="1"/>
  <c r="N44" i="99"/>
  <c r="EK44" i="99" s="1"/>
  <c r="N45" i="99"/>
  <c r="EK45" i="99" s="1"/>
  <c r="N27" i="99"/>
  <c r="EK27" i="99" s="1"/>
  <c r="N58" i="99"/>
  <c r="EK58" i="99" s="1"/>
  <c r="N22" i="99"/>
  <c r="EK22" i="99" s="1"/>
  <c r="N46" i="99"/>
  <c r="EK46" i="99" s="1"/>
  <c r="EK47" i="99"/>
  <c r="N50" i="99"/>
  <c r="EK50" i="99" s="1"/>
  <c r="EL16" i="99"/>
  <c r="EL21" i="99"/>
  <c r="EL28" i="99"/>
  <c r="EL38" i="99"/>
  <c r="EL39" i="99"/>
  <c r="EL40" i="99"/>
  <c r="EL41" i="99"/>
  <c r="EL42" i="99"/>
  <c r="EL43" i="99"/>
  <c r="EL49" i="99"/>
  <c r="EL19" i="99"/>
  <c r="EL44" i="99"/>
  <c r="EL45" i="99"/>
  <c r="EL27" i="99"/>
  <c r="EL58" i="99"/>
  <c r="EL22" i="99"/>
  <c r="EL46" i="99"/>
  <c r="EL47" i="99"/>
  <c r="EM16" i="99"/>
  <c r="EM21" i="99"/>
  <c r="EM42" i="99"/>
  <c r="EM49" i="99"/>
  <c r="EM19" i="99"/>
  <c r="EM44" i="99"/>
  <c r="EM45" i="99"/>
  <c r="EM27" i="99"/>
  <c r="EM58" i="99"/>
  <c r="EM22" i="99"/>
  <c r="EM46" i="99"/>
  <c r="EM47" i="99"/>
  <c r="BV61" i="99"/>
  <c r="ER43" i="99"/>
  <c r="ES43" i="99" s="1"/>
  <c r="ET43" i="99" s="1"/>
  <c r="EU43" i="99" s="1"/>
  <c r="EV43" i="99" s="1"/>
  <c r="EW43" i="99" s="1"/>
  <c r="ER13" i="99"/>
  <c r="ES13" i="99" s="1"/>
  <c r="ET13" i="99" s="1"/>
  <c r="EU13" i="99" s="1"/>
  <c r="EV13" i="99" s="1"/>
  <c r="EW13" i="99" s="1"/>
  <c r="J4" i="99"/>
  <c r="L4" i="99"/>
  <c r="N4" i="99"/>
  <c r="EK4" i="99" s="1"/>
  <c r="P4" i="99"/>
  <c r="T4" i="99"/>
  <c r="EN4" i="99"/>
  <c r="J5" i="99"/>
  <c r="L5" i="99"/>
  <c r="EJ5" i="99" s="1"/>
  <c r="N5" i="99"/>
  <c r="EK5" i="99" s="1"/>
  <c r="P5" i="99"/>
  <c r="EL5" i="99" s="1"/>
  <c r="T5" i="99"/>
  <c r="EH5" i="99"/>
  <c r="EI5" i="99"/>
  <c r="EN5" i="99"/>
  <c r="J6" i="99"/>
  <c r="L6" i="99"/>
  <c r="EJ6" i="99" s="1"/>
  <c r="N6" i="99"/>
  <c r="EK6" i="99" s="1"/>
  <c r="P6" i="99"/>
  <c r="EL6" i="99" s="1"/>
  <c r="BS6" i="99"/>
  <c r="BT6" i="99" s="1"/>
  <c r="R6" i="99" s="1"/>
  <c r="T6" i="99"/>
  <c r="EE6" i="99"/>
  <c r="EF6" i="99"/>
  <c r="EG6" i="99"/>
  <c r="EH8" i="99"/>
  <c r="EI8" i="99"/>
  <c r="EN6" i="99"/>
  <c r="EX100" i="99" s="1"/>
  <c r="S7" i="99"/>
  <c r="T7" i="99" s="1"/>
  <c r="EM7" i="99"/>
  <c r="EN7" i="99"/>
  <c r="J8" i="99"/>
  <c r="L8" i="99"/>
  <c r="M8" i="99"/>
  <c r="N8" i="99" s="1"/>
  <c r="P8" i="99"/>
  <c r="EL8" i="99" s="1"/>
  <c r="S8" i="99"/>
  <c r="T8" i="99" s="1"/>
  <c r="EN8" i="99"/>
  <c r="J14" i="99"/>
  <c r="P14" i="99"/>
  <c r="R14" i="99"/>
  <c r="J15" i="99"/>
  <c r="P15" i="99"/>
  <c r="R15" i="99"/>
  <c r="J16" i="99"/>
  <c r="P16" i="99"/>
  <c r="R16" i="99"/>
  <c r="P21" i="99"/>
  <c r="R21" i="99"/>
  <c r="J28" i="99"/>
  <c r="P28" i="99"/>
  <c r="J38" i="99"/>
  <c r="P38" i="99"/>
  <c r="J39" i="99"/>
  <c r="P39" i="99"/>
  <c r="J40" i="99"/>
  <c r="P40" i="99"/>
  <c r="J41" i="99"/>
  <c r="P41" i="99"/>
  <c r="J42" i="99"/>
  <c r="P42" i="99"/>
  <c r="R42" i="99"/>
  <c r="J43" i="99"/>
  <c r="P43" i="99"/>
  <c r="J49" i="99"/>
  <c r="P49" i="99"/>
  <c r="R49" i="99"/>
  <c r="J19" i="99"/>
  <c r="P19" i="99"/>
  <c r="R19" i="99"/>
  <c r="J44" i="99"/>
  <c r="P44" i="99"/>
  <c r="R44" i="99"/>
  <c r="J45" i="99"/>
  <c r="P45" i="99"/>
  <c r="R45" i="99"/>
  <c r="J27" i="99"/>
  <c r="P27" i="99"/>
  <c r="R27" i="99"/>
  <c r="J58" i="99"/>
  <c r="P58" i="99"/>
  <c r="R58" i="99"/>
  <c r="J22" i="99"/>
  <c r="P22" i="99"/>
  <c r="R22" i="99"/>
  <c r="J46" i="99"/>
  <c r="P46" i="99"/>
  <c r="R46" i="99"/>
  <c r="P47" i="99"/>
  <c r="R47" i="99"/>
  <c r="T47" i="99"/>
  <c r="J50" i="99"/>
  <c r="T13" i="99"/>
  <c r="I61" i="99"/>
  <c r="K61" i="99"/>
  <c r="O61" i="99"/>
  <c r="BH61" i="99"/>
  <c r="BH62" i="99" s="1"/>
  <c r="BI61" i="99"/>
  <c r="BI62" i="99" s="1"/>
  <c r="BJ61" i="99"/>
  <c r="BJ62" i="99" s="1"/>
  <c r="BK61" i="99"/>
  <c r="BK62" i="99" s="1"/>
  <c r="I62" i="99"/>
  <c r="K62" i="99"/>
  <c r="K65" i="99" s="1"/>
  <c r="K84" i="99" s="1"/>
  <c r="O62" i="99"/>
  <c r="O65" i="99" s="1"/>
  <c r="BV62" i="99"/>
  <c r="J63" i="99"/>
  <c r="EI63" i="99" s="1"/>
  <c r="L63" i="99"/>
  <c r="EJ63" i="99" s="1"/>
  <c r="M63" i="99"/>
  <c r="N63" i="99" s="1"/>
  <c r="EK63" i="99" s="1"/>
  <c r="P63" i="99"/>
  <c r="EL63" i="99" s="1"/>
  <c r="R63" i="99"/>
  <c r="EM63" i="99" s="1"/>
  <c r="T63" i="99"/>
  <c r="J64" i="99"/>
  <c r="EI64" i="99" s="1"/>
  <c r="L64" i="99"/>
  <c r="EJ64" i="99" s="1"/>
  <c r="N64" i="99"/>
  <c r="EK64" i="99" s="1"/>
  <c r="P64" i="99"/>
  <c r="EL64" i="99" s="1"/>
  <c r="R64" i="99"/>
  <c r="EM64" i="99" s="1"/>
  <c r="T64" i="99"/>
  <c r="EN64" i="99" s="1"/>
  <c r="J66" i="99"/>
  <c r="L66" i="99"/>
  <c r="EJ66" i="99" s="1"/>
  <c r="N66" i="99"/>
  <c r="EK66" i="99" s="1"/>
  <c r="P66" i="99"/>
  <c r="EL66" i="99" s="1"/>
  <c r="R66" i="99"/>
  <c r="EM66" i="99" s="1"/>
  <c r="T66" i="99"/>
  <c r="EN66" i="99" s="1"/>
  <c r="EP66" i="99" s="1"/>
  <c r="J67" i="99"/>
  <c r="L67" i="99"/>
  <c r="EJ67" i="99" s="1"/>
  <c r="EJ103" i="99" s="1"/>
  <c r="N67" i="99"/>
  <c r="EK67" i="99" s="1"/>
  <c r="P67" i="99"/>
  <c r="R67" i="99"/>
  <c r="EM67" i="99" s="1"/>
  <c r="T67" i="99"/>
  <c r="J68" i="99"/>
  <c r="EI68" i="99" s="1"/>
  <c r="EI104" i="99" s="1"/>
  <c r="L68" i="99"/>
  <c r="EJ68" i="99" s="1"/>
  <c r="N68" i="99"/>
  <c r="P68" i="99"/>
  <c r="EL68" i="99" s="1"/>
  <c r="R68" i="99"/>
  <c r="EM68" i="99" s="1"/>
  <c r="T68" i="99"/>
  <c r="EN68" i="99" s="1"/>
  <c r="M69" i="99"/>
  <c r="N69" i="99" s="1"/>
  <c r="O70" i="99"/>
  <c r="Q70" i="99"/>
  <c r="S70" i="99"/>
  <c r="J72" i="99"/>
  <c r="L72" i="99"/>
  <c r="EJ72" i="99" s="1"/>
  <c r="N72" i="99"/>
  <c r="EK72" i="99" s="1"/>
  <c r="P72" i="99"/>
  <c r="R72" i="99"/>
  <c r="EM72" i="99" s="1"/>
  <c r="T72" i="99"/>
  <c r="EN72" i="99" s="1"/>
  <c r="EN82" i="99"/>
  <c r="T73" i="99"/>
  <c r="EN73" i="99" s="1"/>
  <c r="T75" i="99"/>
  <c r="EN75" i="99" s="1"/>
  <c r="T77" i="99"/>
  <c r="EN77" i="99" s="1"/>
  <c r="J73" i="99"/>
  <c r="L73" i="99"/>
  <c r="EJ73" i="99" s="1"/>
  <c r="N73" i="99"/>
  <c r="EK73" i="99" s="1"/>
  <c r="P73" i="99"/>
  <c r="R73" i="99"/>
  <c r="EM73" i="99" s="1"/>
  <c r="J75" i="99"/>
  <c r="L75" i="99"/>
  <c r="EJ75" i="99" s="1"/>
  <c r="N75" i="99"/>
  <c r="EK75" i="99" s="1"/>
  <c r="R75" i="99"/>
  <c r="EM75" i="99" s="1"/>
  <c r="J77" i="99"/>
  <c r="L77" i="99"/>
  <c r="EJ77" i="99" s="1"/>
  <c r="N77" i="99"/>
  <c r="EK77" i="99" s="1"/>
  <c r="P77" i="99"/>
  <c r="R77" i="99"/>
  <c r="EM77" i="99" s="1"/>
  <c r="P80" i="99"/>
  <c r="Q80" i="99" s="1"/>
  <c r="R80" i="99" s="1"/>
  <c r="S80" i="99" s="1"/>
  <c r="T80" i="99" s="1"/>
  <c r="EJ80" i="99"/>
  <c r="EK80" i="99" s="1"/>
  <c r="EL80" i="99" s="1"/>
  <c r="EM80" i="99" s="1"/>
  <c r="EN80" i="99" s="1"/>
  <c r="EO80" i="99" s="1"/>
  <c r="EP80" i="99" s="1"/>
  <c r="EQ80" i="99" s="1"/>
  <c r="ER80" i="99" s="1"/>
  <c r="EL82" i="99"/>
  <c r="EM82" i="99"/>
  <c r="EF84" i="99"/>
  <c r="EG84" i="99"/>
  <c r="EH84" i="99"/>
  <c r="EI102" i="99"/>
  <c r="EI103" i="99"/>
  <c r="BB117" i="99"/>
  <c r="BC117" i="99"/>
  <c r="BD117" i="99"/>
  <c r="BE117" i="99"/>
  <c r="BF117" i="99"/>
  <c r="BG117" i="99"/>
  <c r="BH117" i="99"/>
  <c r="BI117" i="99"/>
  <c r="BJ117" i="99"/>
  <c r="BK117" i="99"/>
  <c r="BL117" i="99"/>
  <c r="BM117" i="99"/>
  <c r="BN117" i="99"/>
  <c r="BO117" i="99"/>
  <c r="BP117" i="99"/>
  <c r="BQ117" i="99"/>
  <c r="BR117" i="99"/>
  <c r="BS117" i="99"/>
  <c r="BT117" i="99"/>
  <c r="BU117" i="99"/>
  <c r="BV117" i="99"/>
  <c r="BB118" i="99"/>
  <c r="BC118" i="99"/>
  <c r="BD118" i="99"/>
  <c r="BE118" i="99"/>
  <c r="BF118" i="99"/>
  <c r="BG118" i="99"/>
  <c r="BH118" i="99"/>
  <c r="BI118" i="99"/>
  <c r="BJ118" i="99"/>
  <c r="BK118" i="99"/>
  <c r="BL118" i="99"/>
  <c r="BM118" i="99"/>
  <c r="BN118" i="99"/>
  <c r="BO118" i="99"/>
  <c r="BP118" i="99"/>
  <c r="BQ118" i="99"/>
  <c r="BR118" i="99"/>
  <c r="BS118" i="99"/>
  <c r="BT118" i="99"/>
  <c r="BU118" i="99"/>
  <c r="BV118" i="99"/>
  <c r="BB119" i="99"/>
  <c r="BC119" i="99"/>
  <c r="BD119" i="99"/>
  <c r="BE119" i="99"/>
  <c r="BF119" i="99"/>
  <c r="BG119" i="99"/>
  <c r="BH119" i="99"/>
  <c r="BI119" i="99"/>
  <c r="BJ119" i="99"/>
  <c r="BK119" i="99"/>
  <c r="BL119" i="99"/>
  <c r="BM119" i="99"/>
  <c r="BN119" i="99"/>
  <c r="BO119" i="99"/>
  <c r="BP119" i="99"/>
  <c r="BQ119" i="99"/>
  <c r="BR119" i="99"/>
  <c r="BS119" i="99"/>
  <c r="BT119" i="99"/>
  <c r="BU119" i="99"/>
  <c r="BV119" i="99"/>
  <c r="BY119" i="99"/>
  <c r="BZ119" i="99"/>
  <c r="CC119" i="99"/>
  <c r="BB120" i="99"/>
  <c r="BC120" i="99"/>
  <c r="BD120" i="99"/>
  <c r="BE120" i="99"/>
  <c r="BF120" i="99"/>
  <c r="BG120" i="99"/>
  <c r="BH120" i="99"/>
  <c r="BI120" i="99"/>
  <c r="BJ120" i="99"/>
  <c r="BK120" i="99"/>
  <c r="BL120" i="99"/>
  <c r="BM120" i="99"/>
  <c r="BN120" i="99"/>
  <c r="BO120" i="99"/>
  <c r="BP120" i="99"/>
  <c r="BQ120" i="99"/>
  <c r="BR120" i="99"/>
  <c r="BS120" i="99"/>
  <c r="BU120" i="99"/>
  <c r="BV120" i="99"/>
  <c r="BB121" i="99"/>
  <c r="BC121" i="99"/>
  <c r="BD121" i="99"/>
  <c r="BE121" i="99"/>
  <c r="BF121" i="99"/>
  <c r="BG121" i="99"/>
  <c r="BH121" i="99"/>
  <c r="BI121" i="99"/>
  <c r="BJ121" i="99"/>
  <c r="BK121" i="99"/>
  <c r="BL121" i="99"/>
  <c r="BM121" i="99"/>
  <c r="BN121" i="99"/>
  <c r="BO121" i="99"/>
  <c r="BP121" i="99"/>
  <c r="BQ121" i="99"/>
  <c r="BR121" i="99"/>
  <c r="BS121" i="99"/>
  <c r="BU121" i="99"/>
  <c r="BV121" i="99"/>
  <c r="BB122" i="99"/>
  <c r="BC122" i="99"/>
  <c r="BD122" i="99"/>
  <c r="BE122" i="99"/>
  <c r="BF122" i="99"/>
  <c r="BG122" i="99"/>
  <c r="BH122" i="99"/>
  <c r="BI122" i="99"/>
  <c r="BJ122" i="99"/>
  <c r="BK122" i="99"/>
  <c r="BL122" i="99"/>
  <c r="BM122" i="99"/>
  <c r="BN122" i="99"/>
  <c r="BO122" i="99"/>
  <c r="BP122" i="99"/>
  <c r="BQ122" i="99"/>
  <c r="BR122" i="99"/>
  <c r="BS122" i="99"/>
  <c r="BU122" i="99"/>
  <c r="BV122" i="99"/>
  <c r="BB123" i="99"/>
  <c r="BC123" i="99"/>
  <c r="BD123" i="99"/>
  <c r="BE123" i="99"/>
  <c r="BF123" i="99"/>
  <c r="BG123" i="99"/>
  <c r="BH123" i="99"/>
  <c r="BI123" i="99"/>
  <c r="BJ123" i="99"/>
  <c r="BK123" i="99"/>
  <c r="BL123" i="99"/>
  <c r="BM123" i="99"/>
  <c r="BN123" i="99"/>
  <c r="BO123" i="99"/>
  <c r="BP123" i="99"/>
  <c r="BQ123" i="99"/>
  <c r="BR123" i="99"/>
  <c r="BS123" i="99"/>
  <c r="BU123" i="99"/>
  <c r="BV123" i="99"/>
  <c r="BB124" i="99"/>
  <c r="BC124" i="99"/>
  <c r="BD124" i="99"/>
  <c r="BE124" i="99"/>
  <c r="BF124" i="99"/>
  <c r="BG124" i="99"/>
  <c r="BH124" i="99"/>
  <c r="BI124" i="99"/>
  <c r="BJ124" i="99"/>
  <c r="BK124" i="99"/>
  <c r="BL124" i="99"/>
  <c r="BM124" i="99"/>
  <c r="BN124" i="99"/>
  <c r="BO124" i="99"/>
  <c r="BP124" i="99"/>
  <c r="BQ124" i="99"/>
  <c r="BR124" i="99"/>
  <c r="BS124" i="99"/>
  <c r="BU124" i="99"/>
  <c r="BV124" i="99"/>
  <c r="BE125" i="99"/>
  <c r="BF125" i="99"/>
  <c r="BG125" i="99"/>
  <c r="BH125" i="99"/>
  <c r="BI125" i="99"/>
  <c r="BJ125" i="99"/>
  <c r="BK125" i="99"/>
  <c r="BL125" i="99"/>
  <c r="BM125" i="99"/>
  <c r="BN125" i="99"/>
  <c r="BO125" i="99"/>
  <c r="BP125" i="99"/>
  <c r="BQ125" i="99"/>
  <c r="BR125" i="99"/>
  <c r="BS125" i="99"/>
  <c r="BU125" i="99"/>
  <c r="BV125" i="99"/>
  <c r="BL126" i="99"/>
  <c r="BM126" i="99"/>
  <c r="BN126" i="99"/>
  <c r="BO126" i="99"/>
  <c r="BP126" i="99"/>
  <c r="BQ126" i="99"/>
  <c r="BR126" i="99"/>
  <c r="BS126" i="99"/>
  <c r="BT126" i="99"/>
  <c r="BU126" i="99"/>
  <c r="BV126" i="99"/>
  <c r="BG127" i="99"/>
  <c r="BH127" i="99"/>
  <c r="BI127" i="99"/>
  <c r="BJ127" i="99"/>
  <c r="BK127" i="99"/>
  <c r="BL127" i="99"/>
  <c r="BM127" i="99"/>
  <c r="BN127" i="99"/>
  <c r="BO127" i="99"/>
  <c r="BP127" i="99"/>
  <c r="BQ127" i="99"/>
  <c r="BR127" i="99"/>
  <c r="BS127" i="99"/>
  <c r="BT127" i="99"/>
  <c r="BU127" i="99"/>
  <c r="BV127" i="99"/>
  <c r="BB128" i="99"/>
  <c r="BC128" i="99"/>
  <c r="BD128" i="99"/>
  <c r="BE128" i="99"/>
  <c r="BF128" i="99"/>
  <c r="BG128" i="99"/>
  <c r="BH128" i="99"/>
  <c r="BI128" i="99"/>
  <c r="BJ128" i="99"/>
  <c r="BK128" i="99"/>
  <c r="BL128" i="99"/>
  <c r="BM128" i="99"/>
  <c r="BN128" i="99"/>
  <c r="BO128" i="99"/>
  <c r="BP128" i="99"/>
  <c r="BQ128" i="99"/>
  <c r="BR128" i="99"/>
  <c r="BS128" i="99"/>
  <c r="BT128" i="99"/>
  <c r="BU128" i="99"/>
  <c r="BV128" i="99"/>
  <c r="BB129" i="99"/>
  <c r="BC129" i="99"/>
  <c r="BD129" i="99"/>
  <c r="BE129" i="99"/>
  <c r="BF129" i="99"/>
  <c r="BG129" i="99"/>
  <c r="BH129" i="99"/>
  <c r="BI129" i="99"/>
  <c r="BJ129" i="99"/>
  <c r="BK129" i="99"/>
  <c r="BL129" i="99"/>
  <c r="BM129" i="99"/>
  <c r="BN129" i="99"/>
  <c r="BO129" i="99"/>
  <c r="BP129" i="99"/>
  <c r="BQ129" i="99"/>
  <c r="BR129" i="99"/>
  <c r="BS129" i="99"/>
  <c r="BT129" i="99"/>
  <c r="BU129" i="99"/>
  <c r="BV129" i="99"/>
  <c r="BB130" i="99"/>
  <c r="BC130" i="99"/>
  <c r="BD130" i="99"/>
  <c r="BE130" i="99"/>
  <c r="BF130" i="99"/>
  <c r="BG130" i="99"/>
  <c r="BH130" i="99"/>
  <c r="BI130" i="99"/>
  <c r="BJ130" i="99"/>
  <c r="BK130" i="99"/>
  <c r="BL130" i="99"/>
  <c r="BM130" i="99"/>
  <c r="BN130" i="99"/>
  <c r="BO130" i="99"/>
  <c r="BP130" i="99"/>
  <c r="BQ130" i="99"/>
  <c r="BR130" i="99"/>
  <c r="BS130" i="99"/>
  <c r="BT130" i="99"/>
  <c r="BU130" i="99"/>
  <c r="BV130" i="99"/>
  <c r="BB131" i="99"/>
  <c r="BC131" i="99"/>
  <c r="BD131" i="99"/>
  <c r="BE131" i="99"/>
  <c r="BF131" i="99"/>
  <c r="BG131" i="99"/>
  <c r="BH131" i="99"/>
  <c r="BI131" i="99"/>
  <c r="BJ131" i="99"/>
  <c r="BK131" i="99"/>
  <c r="BL131" i="99"/>
  <c r="BM131" i="99"/>
  <c r="BN131" i="99"/>
  <c r="BO131" i="99"/>
  <c r="BP131" i="99"/>
  <c r="BQ131" i="99"/>
  <c r="BR131" i="99"/>
  <c r="BS131" i="99"/>
  <c r="BT131" i="99"/>
  <c r="BU131" i="99"/>
  <c r="BV131" i="99"/>
  <c r="BB132" i="99"/>
  <c r="BC132" i="99"/>
  <c r="BD132" i="99"/>
  <c r="BE132" i="99"/>
  <c r="BF132" i="99"/>
  <c r="BG132" i="99"/>
  <c r="BH132" i="99"/>
  <c r="BI132" i="99"/>
  <c r="BJ132" i="99"/>
  <c r="BK132" i="99"/>
  <c r="BL132" i="99"/>
  <c r="BM132" i="99"/>
  <c r="BN132" i="99"/>
  <c r="BO132" i="99"/>
  <c r="BP132" i="99"/>
  <c r="BQ132" i="99"/>
  <c r="BR132" i="99"/>
  <c r="BS132" i="99"/>
  <c r="BT132" i="99"/>
  <c r="BU132" i="99"/>
  <c r="BV132" i="99"/>
  <c r="EL140" i="99"/>
  <c r="EM140" i="99"/>
  <c r="J4" i="101"/>
  <c r="S10" i="129"/>
  <c r="S11" i="129"/>
  <c r="S12" i="129"/>
  <c r="R13" i="129"/>
  <c r="S13" i="129" s="1"/>
  <c r="S14" i="129"/>
  <c r="S15" i="129"/>
  <c r="S16" i="129"/>
  <c r="S17" i="129"/>
  <c r="S18" i="129"/>
  <c r="S19" i="129"/>
  <c r="AA44" i="115" l="1"/>
  <c r="D14" i="128"/>
  <c r="Z44" i="115"/>
  <c r="EO71" i="99"/>
  <c r="EO84" i="99"/>
  <c r="AB44" i="115"/>
  <c r="Y44" i="115"/>
  <c r="ER14" i="99"/>
  <c r="EP63" i="99"/>
  <c r="EQ63" i="99" s="1"/>
  <c r="ER63" i="99" s="1"/>
  <c r="ES63" i="99" s="1"/>
  <c r="ET63" i="99" s="1"/>
  <c r="EU63" i="99" s="1"/>
  <c r="EV63" i="99" s="1"/>
  <c r="EW63" i="99" s="1"/>
  <c r="EN63" i="99"/>
  <c r="BW119" i="99"/>
  <c r="BR62" i="99"/>
  <c r="BV94" i="99" s="1"/>
  <c r="Q86" i="99"/>
  <c r="BW118" i="99"/>
  <c r="CA118" i="99"/>
  <c r="BX15" i="99"/>
  <c r="EN15" i="99" s="1"/>
  <c r="BW117" i="99"/>
  <c r="CA117" i="99"/>
  <c r="BT120" i="99"/>
  <c r="CA119" i="99"/>
  <c r="EO100" i="99"/>
  <c r="EM41" i="99"/>
  <c r="EK103" i="99"/>
  <c r="R28" i="99"/>
  <c r="BM62" i="99"/>
  <c r="EW100" i="99"/>
  <c r="K85" i="99"/>
  <c r="BL62" i="99"/>
  <c r="EL100" i="99"/>
  <c r="BT123" i="99"/>
  <c r="EV100" i="99"/>
  <c r="EJ104" i="99"/>
  <c r="K87" i="99"/>
  <c r="K94" i="99"/>
  <c r="ES100" i="99"/>
  <c r="ER100" i="99"/>
  <c r="K86" i="99"/>
  <c r="R70" i="99"/>
  <c r="BP62" i="99"/>
  <c r="EM39" i="99"/>
  <c r="EN44" i="99"/>
  <c r="EU100" i="99"/>
  <c r="EQ100" i="99"/>
  <c r="ET100" i="99"/>
  <c r="EP100" i="99"/>
  <c r="EN22" i="99"/>
  <c r="ER22" i="99" s="1"/>
  <c r="ES22" i="99" s="1"/>
  <c r="ET22" i="99" s="1"/>
  <c r="EU22" i="99" s="1"/>
  <c r="EV22" i="99" s="1"/>
  <c r="T22" i="99"/>
  <c r="EN42" i="99"/>
  <c r="T42" i="99"/>
  <c r="EM8" i="99"/>
  <c r="R8" i="99"/>
  <c r="EK100" i="99"/>
  <c r="BT125" i="99"/>
  <c r="BT122" i="99"/>
  <c r="O87" i="99"/>
  <c r="O86" i="99"/>
  <c r="BQ62" i="99"/>
  <c r="R38" i="99"/>
  <c r="EK8" i="99"/>
  <c r="EI6" i="99"/>
  <c r="EM5" i="99"/>
  <c r="EM43" i="99"/>
  <c r="BW61" i="99"/>
  <c r="BW3" i="99" s="1"/>
  <c r="M62" i="99"/>
  <c r="M61" i="99"/>
  <c r="BY3" i="99"/>
  <c r="BX16" i="99"/>
  <c r="BT121" i="99"/>
  <c r="Q94" i="99"/>
  <c r="EH6" i="99"/>
  <c r="EN38" i="99"/>
  <c r="ER38" i="99" s="1"/>
  <c r="ES38" i="99" s="1"/>
  <c r="ET38" i="99" s="1"/>
  <c r="EU38" i="99" s="1"/>
  <c r="EV38" i="99" s="1"/>
  <c r="EW38" i="99" s="1"/>
  <c r="EN21" i="99"/>
  <c r="BS61" i="99"/>
  <c r="BS3" i="99" s="1"/>
  <c r="O84" i="99"/>
  <c r="O71" i="99"/>
  <c r="O74" i="99" s="1"/>
  <c r="O76" i="99" s="1"/>
  <c r="O78" i="99" s="1"/>
  <c r="O79" i="99" s="1"/>
  <c r="EN43" i="99"/>
  <c r="T43" i="99"/>
  <c r="EN39" i="99"/>
  <c r="ER39" i="99" s="1"/>
  <c r="ES39" i="99" s="1"/>
  <c r="ET39" i="99" s="1"/>
  <c r="EU39" i="99" s="1"/>
  <c r="EV39" i="99" s="1"/>
  <c r="EW39" i="99" s="1"/>
  <c r="T39" i="99"/>
  <c r="EJ102" i="99"/>
  <c r="EK102" i="99"/>
  <c r="EK69" i="99"/>
  <c r="N70" i="99"/>
  <c r="BU3" i="99"/>
  <c r="BU62" i="99"/>
  <c r="T27" i="99"/>
  <c r="EN27" i="99"/>
  <c r="ER27" i="99" s="1"/>
  <c r="ES27" i="99" s="1"/>
  <c r="ET27" i="99" s="1"/>
  <c r="EU27" i="99" s="1"/>
  <c r="EV27" i="99" s="1"/>
  <c r="EW27" i="99" s="1"/>
  <c r="T40" i="99"/>
  <c r="EN40" i="99"/>
  <c r="ER40" i="99" s="1"/>
  <c r="ES40" i="99" s="1"/>
  <c r="ET40" i="99" s="1"/>
  <c r="EU40" i="99" s="1"/>
  <c r="EV40" i="99" s="1"/>
  <c r="EW40" i="99" s="1"/>
  <c r="EM70" i="99"/>
  <c r="E14" i="128"/>
  <c r="J7" i="101"/>
  <c r="Q85" i="99"/>
  <c r="I85" i="99"/>
  <c r="M70" i="99"/>
  <c r="I65" i="99"/>
  <c r="I71" i="99" s="1"/>
  <c r="I74" i="99" s="1"/>
  <c r="I76" i="99" s="1"/>
  <c r="I78" i="99" s="1"/>
  <c r="I79" i="99" s="1"/>
  <c r="BO62" i="99"/>
  <c r="T45" i="99"/>
  <c r="O85" i="99"/>
  <c r="EJ69" i="99"/>
  <c r="EJ70" i="99" s="1"/>
  <c r="EN67" i="99"/>
  <c r="EN70" i="99" s="1"/>
  <c r="Q65" i="99"/>
  <c r="EN49" i="99"/>
  <c r="D11" i="128"/>
  <c r="T70" i="99"/>
  <c r="K71" i="99"/>
  <c r="L62" i="99"/>
  <c r="EK68" i="99"/>
  <c r="EL67" i="99"/>
  <c r="EL70" i="99" s="1"/>
  <c r="P70" i="99"/>
  <c r="EQ66" i="99"/>
  <c r="P61" i="99"/>
  <c r="EJ8" i="99"/>
  <c r="L61" i="99"/>
  <c r="EJ61" i="99" s="1"/>
  <c r="J61" i="99"/>
  <c r="J62" i="99"/>
  <c r="EL4" i="99"/>
  <c r="P62" i="99"/>
  <c r="BT61" i="99"/>
  <c r="BT3" i="99" s="1"/>
  <c r="R4" i="99"/>
  <c r="EM4" i="99"/>
  <c r="EM40" i="99"/>
  <c r="R40" i="99"/>
  <c r="EK3" i="99"/>
  <c r="N61" i="99"/>
  <c r="EJ3" i="99"/>
  <c r="EN46" i="99"/>
  <c r="T46" i="99"/>
  <c r="BR3" i="99"/>
  <c r="BN3" i="99"/>
  <c r="EL61" i="99"/>
  <c r="EL62" i="99" s="1"/>
  <c r="N62" i="99"/>
  <c r="EM6" i="99"/>
  <c r="EJ4" i="99"/>
  <c r="Q60" i="99"/>
  <c r="Q3" i="99" s="1"/>
  <c r="G9" i="128"/>
  <c r="EH3" i="99"/>
  <c r="BX58" i="99"/>
  <c r="T58" i="99" s="1"/>
  <c r="BX19" i="99"/>
  <c r="T19" i="99" s="1"/>
  <c r="BX41" i="99"/>
  <c r="T41" i="99" s="1"/>
  <c r="BX28" i="99"/>
  <c r="T28" i="99" s="1"/>
  <c r="BX14" i="99"/>
  <c r="T14" i="99" s="1"/>
  <c r="EL3" i="99"/>
  <c r="EI3" i="99"/>
  <c r="E8" i="128"/>
  <c r="EN14" i="99" l="1"/>
  <c r="BR94" i="99"/>
  <c r="ES14" i="99"/>
  <c r="EM61" i="99"/>
  <c r="EM62" i="99" s="1"/>
  <c r="EN16" i="99"/>
  <c r="BX118" i="99"/>
  <c r="CB118" i="99"/>
  <c r="BX117" i="99"/>
  <c r="CB117" i="99"/>
  <c r="T15" i="99"/>
  <c r="BP94" i="99"/>
  <c r="O88" i="99"/>
  <c r="BQ94" i="99"/>
  <c r="BS62" i="99"/>
  <c r="BS94" i="99" s="1"/>
  <c r="EK61" i="99"/>
  <c r="T16" i="99"/>
  <c r="BW62" i="99"/>
  <c r="S3" i="99"/>
  <c r="T3" i="99" s="1"/>
  <c r="EN58" i="99"/>
  <c r="O90" i="99"/>
  <c r="EN41" i="99"/>
  <c r="ER41" i="99" s="1"/>
  <c r="ES41" i="99" s="1"/>
  <c r="ET41" i="99" s="1"/>
  <c r="EU41" i="99" s="1"/>
  <c r="EV41" i="99" s="1"/>
  <c r="M65" i="99"/>
  <c r="M86" i="99"/>
  <c r="M87" i="99"/>
  <c r="M85" i="99"/>
  <c r="M94" i="99"/>
  <c r="O94" i="99"/>
  <c r="EP67" i="99"/>
  <c r="EQ67" i="99" s="1"/>
  <c r="ER67" i="99" s="1"/>
  <c r="BU94" i="99"/>
  <c r="S61" i="99"/>
  <c r="S62" i="99" s="1"/>
  <c r="BY94" i="99"/>
  <c r="EN28" i="99"/>
  <c r="ER28" i="99" s="1"/>
  <c r="ES28" i="99" s="1"/>
  <c r="ET28" i="99" s="1"/>
  <c r="EU28" i="99" s="1"/>
  <c r="EV28" i="99" s="1"/>
  <c r="EW28" i="99" s="1"/>
  <c r="EN19" i="99"/>
  <c r="ER19" i="99" s="1"/>
  <c r="ES19" i="99" s="1"/>
  <c r="ET19" i="99" s="1"/>
  <c r="EU19" i="99" s="1"/>
  <c r="EV19" i="99" s="1"/>
  <c r="EW19" i="99" s="1"/>
  <c r="BT62" i="99"/>
  <c r="BT94" i="99" s="1"/>
  <c r="R60" i="99"/>
  <c r="Q71" i="99"/>
  <c r="Q84" i="99"/>
  <c r="R3" i="99"/>
  <c r="R62" i="99" s="1"/>
  <c r="R86" i="99" s="1"/>
  <c r="EK104" i="99"/>
  <c r="EK70" i="99"/>
  <c r="J65" i="99"/>
  <c r="J71" i="99" s="1"/>
  <c r="J74" i="99" s="1"/>
  <c r="J76" i="99" s="1"/>
  <c r="J78" i="99" s="1"/>
  <c r="J79" i="99" s="1"/>
  <c r="J85" i="99"/>
  <c r="EI62" i="99"/>
  <c r="ER66" i="99"/>
  <c r="EL86" i="99"/>
  <c r="K74" i="99"/>
  <c r="K88" i="99"/>
  <c r="EL65" i="99"/>
  <c r="EL85" i="99"/>
  <c r="EL87" i="99"/>
  <c r="BX61" i="99"/>
  <c r="BX62" i="99" s="1"/>
  <c r="BX119" i="99"/>
  <c r="CB119" i="99"/>
  <c r="EM100" i="99"/>
  <c r="EN100" i="99"/>
  <c r="E11" i="128"/>
  <c r="F8" i="128"/>
  <c r="H9" i="128"/>
  <c r="G14" i="128"/>
  <c r="EK62" i="99"/>
  <c r="EL94" i="99" s="1"/>
  <c r="N65" i="99"/>
  <c r="N85" i="99"/>
  <c r="N86" i="99"/>
  <c r="N94" i="99"/>
  <c r="P65" i="99"/>
  <c r="P87" i="99"/>
  <c r="P85" i="99"/>
  <c r="P94" i="99"/>
  <c r="P86" i="99"/>
  <c r="N87" i="99"/>
  <c r="EJ62" i="99"/>
  <c r="L65" i="99"/>
  <c r="L87" i="99"/>
  <c r="L85" i="99"/>
  <c r="L86" i="99"/>
  <c r="L94" i="99"/>
  <c r="EP3" i="99" l="1"/>
  <c r="ER21" i="99"/>
  <c r="EQ3" i="99"/>
  <c r="ET14" i="99"/>
  <c r="EN61" i="99"/>
  <c r="EN62" i="99" s="1"/>
  <c r="EN65" i="99" s="1"/>
  <c r="EP62" i="99"/>
  <c r="BW94" i="99"/>
  <c r="EM3" i="99"/>
  <c r="EP70" i="99"/>
  <c r="BX94" i="99"/>
  <c r="R87" i="99"/>
  <c r="EQ70" i="99"/>
  <c r="S65" i="99"/>
  <c r="S87" i="99"/>
  <c r="S86" i="99"/>
  <c r="S94" i="99"/>
  <c r="S85" i="99"/>
  <c r="R94" i="99"/>
  <c r="BX3" i="99"/>
  <c r="T61" i="99"/>
  <c r="T62" i="99" s="1"/>
  <c r="R85" i="99"/>
  <c r="M71" i="99"/>
  <c r="M84" i="99"/>
  <c r="R65" i="99"/>
  <c r="R84" i="99" s="1"/>
  <c r="Q74" i="99"/>
  <c r="Q88" i="99"/>
  <c r="N84" i="99"/>
  <c r="N71" i="99"/>
  <c r="K76" i="99"/>
  <c r="K78" i="99" s="1"/>
  <c r="K79" i="99" s="1"/>
  <c r="K90" i="99"/>
  <c r="EI65" i="99"/>
  <c r="EI94" i="99"/>
  <c r="EJ65" i="99"/>
  <c r="EJ94" i="99"/>
  <c r="EK65" i="99"/>
  <c r="EK94" i="99"/>
  <c r="G8" i="128"/>
  <c r="F11" i="128"/>
  <c r="EM85" i="99"/>
  <c r="EM94" i="99"/>
  <c r="EM87" i="99"/>
  <c r="EM86" i="99"/>
  <c r="ES66" i="99"/>
  <c r="ER70" i="99"/>
  <c r="EL71" i="99"/>
  <c r="EL84" i="99"/>
  <c r="ES67" i="99"/>
  <c r="L71" i="99"/>
  <c r="L84" i="99"/>
  <c r="P71" i="99"/>
  <c r="P84" i="99"/>
  <c r="H14" i="128"/>
  <c r="I9" i="128"/>
  <c r="EU14" i="99" l="1"/>
  <c r="ES21" i="99"/>
  <c r="ER3" i="99"/>
  <c r="EM65" i="99"/>
  <c r="EM71" i="99" s="1"/>
  <c r="EM88" i="99" s="1"/>
  <c r="R71" i="99"/>
  <c r="R88" i="99" s="1"/>
  <c r="M74" i="99"/>
  <c r="M88" i="99"/>
  <c r="S84" i="99"/>
  <c r="S71" i="99"/>
  <c r="Q76" i="99"/>
  <c r="Q78" i="99" s="1"/>
  <c r="Q79" i="99" s="1"/>
  <c r="Q90" i="99"/>
  <c r="ET67" i="99"/>
  <c r="T65" i="99"/>
  <c r="T87" i="99"/>
  <c r="T85" i="99"/>
  <c r="T94" i="99"/>
  <c r="T86" i="99"/>
  <c r="P74" i="99"/>
  <c r="P88" i="99"/>
  <c r="H8" i="128"/>
  <c r="G11" i="128"/>
  <c r="EJ84" i="99"/>
  <c r="EJ71" i="99"/>
  <c r="ET66" i="99"/>
  <c r="ES70" i="99"/>
  <c r="N74" i="99"/>
  <c r="N88" i="99"/>
  <c r="I14" i="128"/>
  <c r="J9" i="128"/>
  <c r="L74" i="99"/>
  <c r="L88" i="99"/>
  <c r="EL74" i="99"/>
  <c r="EL88" i="99"/>
  <c r="EN3" i="99"/>
  <c r="EK84" i="99"/>
  <c r="EK71" i="99"/>
  <c r="EL105" i="99" s="1"/>
  <c r="EI71" i="99"/>
  <c r="EI84" i="99"/>
  <c r="EM105" i="99" l="1"/>
  <c r="ET21" i="99"/>
  <c r="ES3" i="99"/>
  <c r="EV14" i="99"/>
  <c r="EM74" i="99"/>
  <c r="EM76" i="99" s="1"/>
  <c r="EM78" i="99" s="1"/>
  <c r="R74" i="99"/>
  <c r="R90" i="99" s="1"/>
  <c r="S88" i="99"/>
  <c r="S74" i="99"/>
  <c r="M76" i="99"/>
  <c r="M78" i="99" s="1"/>
  <c r="M79" i="99" s="1"/>
  <c r="M90" i="99"/>
  <c r="EN71" i="99"/>
  <c r="EN105" i="99" s="1"/>
  <c r="EN86" i="99"/>
  <c r="EN85" i="99"/>
  <c r="EN87" i="99"/>
  <c r="EN94" i="99"/>
  <c r="EJ74" i="99"/>
  <c r="EJ76" i="99" s="1"/>
  <c r="EJ78" i="99" s="1"/>
  <c r="EJ79" i="99" s="1"/>
  <c r="EJ88" i="99"/>
  <c r="EL89" i="99"/>
  <c r="EL90" i="99"/>
  <c r="EL76" i="99"/>
  <c r="EL78" i="99" s="1"/>
  <c r="EU66" i="99"/>
  <c r="ET70" i="99"/>
  <c r="EO87" i="99"/>
  <c r="EO85" i="99"/>
  <c r="EO94" i="99"/>
  <c r="EO86" i="99"/>
  <c r="T71" i="99"/>
  <c r="T84" i="99"/>
  <c r="P76" i="99"/>
  <c r="P78" i="99" s="1"/>
  <c r="P79" i="99" s="1"/>
  <c r="P90" i="99"/>
  <c r="EK88" i="99"/>
  <c r="EK74" i="99"/>
  <c r="EK76" i="99" s="1"/>
  <c r="EK78" i="99" s="1"/>
  <c r="EK79" i="99" s="1"/>
  <c r="J14" i="128"/>
  <c r="K9" i="128"/>
  <c r="EI74" i="99"/>
  <c r="EI76" i="99" s="1"/>
  <c r="EI78" i="99" s="1"/>
  <c r="EI105" i="99"/>
  <c r="L76" i="99"/>
  <c r="L78" i="99" s="1"/>
  <c r="L79" i="99" s="1"/>
  <c r="L90" i="99"/>
  <c r="N76" i="99"/>
  <c r="N78" i="99" s="1"/>
  <c r="N79" i="99" s="1"/>
  <c r="N90" i="99"/>
  <c r="H11" i="128"/>
  <c r="I8" i="128"/>
  <c r="EU67" i="99"/>
  <c r="EM89" i="99" l="1"/>
  <c r="R89" i="99"/>
  <c r="R76" i="99"/>
  <c r="R78" i="99" s="1"/>
  <c r="R82" i="99" s="1"/>
  <c r="EW14" i="99"/>
  <c r="EU21" i="99"/>
  <c r="ET3" i="99"/>
  <c r="EM90" i="99"/>
  <c r="S90" i="99"/>
  <c r="S89" i="99"/>
  <c r="S76" i="99"/>
  <c r="S78" i="99" s="1"/>
  <c r="S79" i="99" s="1"/>
  <c r="EV67" i="99"/>
  <c r="T74" i="99"/>
  <c r="T88" i="99"/>
  <c r="EU70" i="99"/>
  <c r="EV66" i="99"/>
  <c r="EL79" i="99"/>
  <c r="EL112" i="99" s="1"/>
  <c r="EL137" i="99"/>
  <c r="EL91" i="99"/>
  <c r="EM79" i="99"/>
  <c r="EM137" i="99"/>
  <c r="EM91" i="99"/>
  <c r="I11" i="128"/>
  <c r="J8" i="128"/>
  <c r="L9" i="128"/>
  <c r="K14" i="128"/>
  <c r="EP65" i="99"/>
  <c r="EP71" i="99" s="1"/>
  <c r="EP87" i="99"/>
  <c r="EP94" i="99"/>
  <c r="EP85" i="99"/>
  <c r="EP86" i="99"/>
  <c r="EO88" i="99"/>
  <c r="EN74" i="99"/>
  <c r="EN88" i="99"/>
  <c r="R79" i="99" l="1"/>
  <c r="EV21" i="99"/>
  <c r="EU3" i="99"/>
  <c r="EN76" i="99"/>
  <c r="EN78" i="99" s="1"/>
  <c r="EN89" i="99"/>
  <c r="EN90" i="99"/>
  <c r="EP64" i="99"/>
  <c r="EW66" i="99"/>
  <c r="EV70" i="99"/>
  <c r="T76" i="99"/>
  <c r="T78" i="99" s="1"/>
  <c r="T79" i="99" s="1"/>
  <c r="T89" i="99"/>
  <c r="T90" i="99"/>
  <c r="K8" i="128"/>
  <c r="J11" i="128"/>
  <c r="EM112" i="99"/>
  <c r="EP88" i="99"/>
  <c r="L14" i="128"/>
  <c r="M9" i="128"/>
  <c r="EQ65" i="99"/>
  <c r="EQ71" i="99" s="1"/>
  <c r="EQ87" i="99"/>
  <c r="EQ94" i="99"/>
  <c r="EQ85" i="99"/>
  <c r="EQ86" i="99"/>
  <c r="EW67" i="99"/>
  <c r="EW21" i="99" l="1"/>
  <c r="EV3" i="99"/>
  <c r="EQ64" i="99"/>
  <c r="M14" i="128"/>
  <c r="N9" i="128"/>
  <c r="EN79" i="99"/>
  <c r="EN112" i="99" s="1"/>
  <c r="EN91" i="99"/>
  <c r="EO82" i="99"/>
  <c r="L8" i="128"/>
  <c r="K11" i="128"/>
  <c r="EW70" i="99"/>
  <c r="EQ88" i="99"/>
  <c r="ER94" i="99"/>
  <c r="ER87" i="99"/>
  <c r="ER65" i="99"/>
  <c r="ER71" i="99" s="1"/>
  <c r="ER85" i="99"/>
  <c r="ER86" i="99"/>
  <c r="EW3" i="99" l="1"/>
  <c r="ER64" i="99"/>
  <c r="L11" i="128"/>
  <c r="M8" i="128"/>
  <c r="N14" i="128"/>
  <c r="O9" i="128"/>
  <c r="ER88" i="99"/>
  <c r="ES65" i="99"/>
  <c r="ES71" i="99" s="1"/>
  <c r="ES87" i="99"/>
  <c r="ES94" i="99"/>
  <c r="ES86" i="99"/>
  <c r="ES85" i="99"/>
  <c r="EO74" i="99"/>
  <c r="EO90" i="99" l="1"/>
  <c r="EO89" i="99"/>
  <c r="ES64" i="99"/>
  <c r="M11" i="128"/>
  <c r="N8" i="128"/>
  <c r="ET65" i="99"/>
  <c r="ET71" i="99" s="1"/>
  <c r="ET94" i="99"/>
  <c r="ET87" i="99"/>
  <c r="ET86" i="99"/>
  <c r="ET85" i="99"/>
  <c r="P9" i="128"/>
  <c r="O14" i="128"/>
  <c r="ES88" i="99"/>
  <c r="EO76" i="99" l="1"/>
  <c r="EO78" i="99" s="1"/>
  <c r="EP82" i="99" s="1"/>
  <c r="ET64" i="99"/>
  <c r="O8" i="128"/>
  <c r="N11" i="128"/>
  <c r="ET88" i="99"/>
  <c r="EU65" i="99"/>
  <c r="EU71" i="99" s="1"/>
  <c r="EU87" i="99"/>
  <c r="EU94" i="99"/>
  <c r="EU85" i="99"/>
  <c r="EU86" i="99"/>
  <c r="P14" i="128"/>
  <c r="Q9" i="128"/>
  <c r="EO91" i="99" l="1"/>
  <c r="EO79" i="99"/>
  <c r="EU88" i="99"/>
  <c r="Q14" i="128"/>
  <c r="R9" i="128"/>
  <c r="EU64" i="99"/>
  <c r="EP72" i="99"/>
  <c r="EP74" i="99" s="1"/>
  <c r="P8" i="128"/>
  <c r="O11" i="128"/>
  <c r="EV65" i="99"/>
  <c r="EV71" i="99" s="1"/>
  <c r="EV87" i="99"/>
  <c r="EV94" i="99"/>
  <c r="EV86" i="99"/>
  <c r="EV85" i="99"/>
  <c r="R14" i="128" l="1"/>
  <c r="S9" i="128"/>
  <c r="P11" i="128"/>
  <c r="Q8" i="128"/>
  <c r="EW65" i="99"/>
  <c r="EW71" i="99" s="1"/>
  <c r="EW87" i="99"/>
  <c r="EW94" i="99"/>
  <c r="EW85" i="99"/>
  <c r="EW86" i="99"/>
  <c r="EV88" i="99"/>
  <c r="EV64" i="99"/>
  <c r="EP89" i="99"/>
  <c r="EP75" i="99"/>
  <c r="EP90" i="99" s="1"/>
  <c r="EW64" i="99" l="1"/>
  <c r="EP76" i="99"/>
  <c r="EP78" i="99" s="1"/>
  <c r="EP79" i="99" s="1"/>
  <c r="Q11" i="128"/>
  <c r="R8" i="128"/>
  <c r="T9" i="128"/>
  <c r="S14" i="128"/>
  <c r="EX71" i="99"/>
  <c r="EX87" i="99"/>
  <c r="EX94" i="99"/>
  <c r="EX85" i="99"/>
  <c r="EX86" i="99"/>
  <c r="EW88" i="99"/>
  <c r="EQ82" i="99" l="1"/>
  <c r="EQ72" i="99" s="1"/>
  <c r="EQ74" i="99" s="1"/>
  <c r="EP91" i="99"/>
  <c r="T14" i="128"/>
  <c r="U9" i="128"/>
  <c r="S8" i="128"/>
  <c r="R11" i="128"/>
  <c r="EX88" i="99"/>
  <c r="U14" i="128" l="1"/>
  <c r="V9" i="128"/>
  <c r="T8" i="128"/>
  <c r="S11" i="128"/>
  <c r="EQ75" i="99"/>
  <c r="EQ90" i="99" s="1"/>
  <c r="EQ89" i="99"/>
  <c r="EQ76" i="99" l="1"/>
  <c r="EQ78" i="99" s="1"/>
  <c r="T11" i="128"/>
  <c r="U8" i="128"/>
  <c r="V14" i="128"/>
  <c r="W9" i="128"/>
  <c r="ER82" i="99" l="1"/>
  <c r="ER72" i="99" s="1"/>
  <c r="ER74" i="99" s="1"/>
  <c r="EQ91" i="99"/>
  <c r="EQ79" i="99"/>
  <c r="X9" i="128"/>
  <c r="W14" i="128"/>
  <c r="U11" i="128"/>
  <c r="V8" i="128"/>
  <c r="X14" i="128" l="1"/>
  <c r="Y9" i="128"/>
  <c r="W8" i="128"/>
  <c r="V11" i="128"/>
  <c r="ER75" i="99"/>
  <c r="ER90" i="99" s="1"/>
  <c r="ER89" i="99"/>
  <c r="ER76" i="99" l="1"/>
  <c r="ER78" i="99" s="1"/>
  <c r="X8" i="128"/>
  <c r="W11" i="128"/>
  <c r="Y14" i="128"/>
  <c r="Z9" i="128"/>
  <c r="Z14" i="128" s="1"/>
  <c r="ES82" i="99" l="1"/>
  <c r="ES72" i="99" s="1"/>
  <c r="ES74" i="99" s="1"/>
  <c r="ER91" i="99"/>
  <c r="ER79" i="99"/>
  <c r="X11" i="128"/>
  <c r="Y8" i="128"/>
  <c r="Y11" i="128" l="1"/>
  <c r="Z8" i="128"/>
  <c r="Z11" i="128" s="1"/>
  <c r="ES75" i="99"/>
  <c r="ES90" i="99" s="1"/>
  <c r="ES89" i="99"/>
  <c r="ES76" i="99" l="1"/>
  <c r="ES78" i="99" s="1"/>
  <c r="ES91" i="99" l="1"/>
  <c r="ET82" i="99"/>
  <c r="ET72" i="99" s="1"/>
  <c r="ET74" i="99" s="1"/>
  <c r="ET89" i="99" l="1"/>
  <c r="ET75" i="99"/>
  <c r="ET90" i="99" s="1"/>
  <c r="ET76" i="99" l="1"/>
  <c r="ET78" i="99" s="1"/>
  <c r="ET91" i="99" l="1"/>
  <c r="EU82" i="99"/>
  <c r="EU72" i="99" l="1"/>
  <c r="EU74" i="99" s="1"/>
  <c r="EU75" i="99" l="1"/>
  <c r="EU90" i="99" s="1"/>
  <c r="EU89" i="99"/>
  <c r="EU76" i="99" l="1"/>
  <c r="EU78" i="99" s="1"/>
  <c r="EU91" i="99" s="1"/>
  <c r="EV82" i="99" l="1"/>
  <c r="EV72" i="99" s="1"/>
  <c r="EV74" i="99" s="1"/>
  <c r="EV75" i="99" l="1"/>
  <c r="EV90" i="99" s="1"/>
  <c r="EV89" i="99"/>
  <c r="EV76" i="99" l="1"/>
  <c r="EV78" i="99" s="1"/>
  <c r="EV91" i="99" s="1"/>
  <c r="EW82" i="99" l="1"/>
  <c r="EW72" i="99" s="1"/>
  <c r="EW74" i="99" s="1"/>
  <c r="EW75" i="99" l="1"/>
  <c r="EW90" i="99" s="1"/>
  <c r="EW89" i="99"/>
  <c r="EW76" i="99" l="1"/>
  <c r="EW78" i="99" s="1"/>
  <c r="EW91" i="99" s="1"/>
  <c r="EX74" i="99" l="1"/>
  <c r="EX89" i="99" l="1"/>
  <c r="EX90" i="99"/>
  <c r="EX76" i="99"/>
  <c r="EX78" i="99" s="1"/>
  <c r="EX91" i="99" s="1"/>
  <c r="EZ78" i="99" l="1"/>
  <c r="FA78" i="99" s="1"/>
  <c r="FB78" i="99" s="1"/>
  <c r="FC78" i="99" s="1"/>
  <c r="FD78" i="99" s="1"/>
  <c r="FE78" i="99" s="1"/>
  <c r="FF78" i="99" s="1"/>
  <c r="FG78" i="99" s="1"/>
  <c r="FH78" i="99" s="1"/>
  <c r="FI78" i="99" s="1"/>
  <c r="FJ78" i="99" s="1"/>
  <c r="FK78" i="99" s="1"/>
  <c r="FL78" i="99" s="1"/>
  <c r="FM78" i="99" s="1"/>
  <c r="FN78" i="99" s="1"/>
  <c r="FO78" i="99" s="1"/>
  <c r="FP78" i="99" s="1"/>
  <c r="FQ78" i="99" s="1"/>
  <c r="FR78" i="99" s="1"/>
  <c r="FS78" i="99" s="1"/>
  <c r="FT78" i="99" s="1"/>
  <c r="FU78" i="99" s="1"/>
  <c r="FV78" i="99" s="1"/>
  <c r="FW78" i="99" s="1"/>
  <c r="FX78" i="99" s="1"/>
  <c r="FY78" i="99" s="1"/>
  <c r="FZ78" i="99" s="1"/>
  <c r="GA78" i="99" s="1"/>
  <c r="GB78" i="99" s="1"/>
  <c r="GC78" i="99" s="1"/>
  <c r="GD78" i="99" s="1"/>
  <c r="GE78" i="99" s="1"/>
  <c r="GF78" i="99" s="1"/>
  <c r="GG78" i="99" s="1"/>
  <c r="GH78" i="99" s="1"/>
  <c r="GI78" i="99" s="1"/>
  <c r="GJ78" i="99" s="1"/>
  <c r="GK78" i="99" s="1"/>
  <c r="GL78" i="99" s="1"/>
  <c r="GM78" i="99" s="1"/>
  <c r="GN78" i="99" s="1"/>
  <c r="GO78" i="99" s="1"/>
  <c r="GP78" i="99" s="1"/>
  <c r="GQ78" i="99" s="1"/>
  <c r="GR78" i="99" s="1"/>
  <c r="GS78" i="99" s="1"/>
  <c r="GT78" i="99" s="1"/>
  <c r="GU78" i="99" s="1"/>
  <c r="GV78" i="99" s="1"/>
  <c r="GW78" i="99" s="1"/>
  <c r="GX78" i="99" s="1"/>
  <c r="GY78" i="99" s="1"/>
  <c r="GZ78" i="99" s="1"/>
  <c r="HA78" i="99" s="1"/>
  <c r="HB78" i="99" s="1"/>
  <c r="HC78" i="99" s="1"/>
  <c r="HD78" i="99" s="1"/>
  <c r="HE78" i="99" s="1"/>
  <c r="HF78" i="99" s="1"/>
  <c r="HG78" i="99" s="1"/>
  <c r="HH78" i="99" s="1"/>
  <c r="HI78" i="99" s="1"/>
  <c r="HJ78" i="99" s="1"/>
  <c r="HK78" i="99" s="1"/>
  <c r="HL78" i="99" s="1"/>
  <c r="HM78" i="99" s="1"/>
  <c r="HN78" i="99" s="1"/>
  <c r="HO78" i="99" s="1"/>
  <c r="HP78" i="99" s="1"/>
  <c r="HQ78" i="99" s="1"/>
  <c r="HR78" i="99" s="1"/>
  <c r="HS78" i="99" s="1"/>
  <c r="HT78" i="99" s="1"/>
  <c r="HU78" i="99" s="1"/>
  <c r="HV78" i="99" s="1"/>
  <c r="HW78" i="99" s="1"/>
  <c r="FB87" i="99" l="1"/>
  <c r="FB88" i="99" s="1"/>
  <c r="FB89" i="9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</authors>
  <commentList>
    <comment ref="J1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96.677</t>
        </r>
      </text>
    </comment>
    <comment ref="K18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5.49%</t>
        </r>
      </text>
    </comment>
    <comment ref="R18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  <comment ref="J19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119.4888</t>
        </r>
      </text>
    </comment>
    <comment ref="K19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5.62%</t>
        </r>
      </text>
    </comment>
    <comment ref="R19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4.67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 Shkreli</author>
    <author>MSMB - Andre</author>
    <author>Martin</author>
    <author>Marek Biestek</author>
    <author>Prudential Financial</author>
    <author>tc={4F67C440-F225-48E5-8977-D72DD0D3FDD6}</author>
    <author>MSMB</author>
  </authors>
  <commentList>
    <comment ref="EH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Post-IFRS
</t>
        </r>
      </text>
    </comment>
    <comment ref="EM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March 26 2009: Genentech acquisition closes</t>
        </r>
      </text>
    </comment>
    <comment ref="BN4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Former DNA-only 2399</t>
        </r>
      </text>
    </comment>
    <comment ref="BN8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Was 5,498. Reclassified some from "Europe" (Eg Roche USA) to "US" (Eg former DNA)</t>
        </r>
      </text>
    </comment>
    <comment ref="EM13" authorId="1" shapeId="0" xr:uid="{00000000-0006-0000-0300-00001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146m</t>
        </r>
      </text>
    </comment>
    <comment ref="BT14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21% LC growth</t>
        </r>
      </text>
    </comment>
    <comment ref="BU14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LC</t>
        </r>
      </text>
    </comment>
    <comment ref="BV14" authorId="1" shapeId="0" xr:uid="{00000000-0006-0000-0300-00000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18% LC</t>
        </r>
      </text>
    </comment>
    <comment ref="BX14" authorId="2" shapeId="0" xr:uid="{00000000-0006-0000-0300-00000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Launched in China</t>
        </r>
      </text>
    </comment>
    <comment ref="BZ14" authorId="2" shapeId="0" xr:uid="{00000000-0006-0000-0300-00000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-6% lc</t>
        </r>
      </text>
    </comment>
    <comment ref="CA14" authorId="2" shapeId="0" xr:uid="{00000000-0006-0000-0300-00000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-8% 1H LC</t>
        </r>
      </text>
    </comment>
    <comment ref="EN14" authorId="1" shapeId="0" xr:uid="{00000000-0006-0000-03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Company notes CHF8-9m with mCRC, mBC, mNSCLC, RCC. GBM, Ovarian, Prostate, Gastric all add 500m-2bn.
Approval in China in 2010.</t>
        </r>
      </text>
    </comment>
    <comment ref="EP14" authorId="2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9600 consensus 11/09</t>
        </r>
      </text>
    </comment>
    <comment ref="BT15" authorId="2" shapeId="0" xr:uid="{00000000-0006-0000-03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PML problems with RA indication. FDA refuses label expansion for RA.</t>
        </r>
      </text>
    </comment>
    <comment ref="BU15" authorId="1" shapeId="0" xr:uid="{00000000-0006-0000-0300-00000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0% LC growth</t>
        </r>
      </text>
    </comment>
    <comment ref="BV15" authorId="1" shapeId="0" xr:uid="{00000000-0006-0000-0300-00000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13% LC growth</t>
        </r>
      </text>
    </comment>
    <comment ref="BY15" authorId="2" shapeId="0" xr:uid="{00000000-0006-0000-03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BZ15" authorId="2" shapeId="0" xr:uid="{00000000-0006-0000-03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A15" authorId="2" shapeId="0" xr:uid="{00000000-0006-0000-0300-000012000000}">
      <text>
        <r>
          <rPr>
            <sz val="9"/>
            <color indexed="81"/>
            <rFont val="Tahoma"/>
            <family val="2"/>
          </rPr>
          <t xml:space="preserve">6% CER
1H +6% lc </t>
        </r>
      </text>
    </comment>
    <comment ref="CB15" authorId="2" shapeId="0" xr:uid="{00000000-0006-0000-0300-00001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7% CER</t>
        </r>
      </text>
    </comment>
    <comment ref="CC15" authorId="2" shapeId="0" xr:uid="{00000000-0006-0000-0300-00001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10% CER</t>
        </r>
      </text>
    </comment>
    <comment ref="EL15" authorId="0" shapeId="0" xr:uid="{00000000-0006-0000-0300-00001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800m in RA. Increasing maintenance use.</t>
        </r>
      </text>
    </comment>
    <comment ref="BV16" authorId="1" shapeId="0" xr:uid="{00000000-0006-0000-0300-00001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11% LC growth</t>
        </r>
      </text>
    </comment>
    <comment ref="BZ16" authorId="2" shapeId="0" xr:uid="{00000000-0006-0000-0300-00001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8% lc</t>
        </r>
      </text>
    </comment>
    <comment ref="CA16" authorId="2" shapeId="0" xr:uid="{00000000-0006-0000-03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1H LC</t>
        </r>
      </text>
    </comment>
    <comment ref="BT21" authorId="2" shapeId="0" xr:uid="{00000000-0006-0000-03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Medicare reverses Avastin payment - negative for Lucentis</t>
        </r>
      </text>
    </comment>
    <comment ref="BS28" authorId="3" shapeId="0" xr:uid="{00000000-0006-0000-0300-00001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US patent expiry</t>
        </r>
      </text>
    </comment>
    <comment ref="EM38" authorId="1" shapeId="0" xr:uid="{00000000-0006-0000-0300-00001A000000}">
      <text>
        <r>
          <rPr>
            <sz val="9"/>
            <color indexed="81"/>
            <rFont val="Tahoma"/>
            <family val="2"/>
          </rPr>
          <t>CERA 179</t>
        </r>
      </text>
    </comment>
    <comment ref="EM43" authorId="3" shapeId="0" xr:uid="{00000000-0006-0000-0300-00001C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2.7bn guidance</t>
        </r>
      </text>
    </comment>
    <comment ref="EN43" authorId="1" shapeId="0" xr:uid="{00000000-0006-0000-0300-00001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2010 guidance of 1.2bn</t>
        </r>
      </text>
    </comment>
    <comment ref="EM44" authorId="3" shapeId="0" xr:uid="{00000000-0006-0000-0300-00001F000000}">
      <text>
        <r>
          <rPr>
            <sz val="8"/>
            <color indexed="81"/>
            <rFont val="Tahoma"/>
            <family val="2"/>
          </rPr>
          <t>Ranbaxy wins in court, judge finds 6083953 crystal patent is valid but not infringed.</t>
        </r>
      </text>
    </comment>
    <comment ref="EL61" authorId="0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Other Pharma 5203</t>
        </r>
      </text>
    </comment>
    <comment ref="BU62" authorId="1" shapeId="0" xr:uid="{00000000-0006-0000-0300-000021000000}">
      <text>
        <r>
          <rPr>
            <sz val="9"/>
            <color indexed="81"/>
            <rFont val="Tahoma"/>
            <family val="2"/>
          </rPr>
          <t>Major inventory adjustment</t>
        </r>
      </text>
    </comment>
    <comment ref="BV62" authorId="1" shapeId="0" xr:uid="{00000000-0006-0000-0300-000022000000}">
      <text>
        <r>
          <rPr>
            <sz val="9"/>
            <color indexed="81"/>
            <rFont val="Tahoma"/>
            <family val="2"/>
          </rPr>
          <t>Q409: 2010 started with strong sales growth</t>
        </r>
      </text>
    </comment>
    <comment ref="EH62" authorId="4" shapeId="0" xr:uid="{00000000-0006-0000-0300-000023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-$888M for OTC</t>
        </r>
      </text>
    </comment>
    <comment ref="EL62" authorId="0" shapeId="0" xr:uid="{00000000-0006-0000-0300-00002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HSD y/y confirmed in Q2 (ex-Tamiflu)
HSD y/y confirmed in Q1</t>
        </r>
      </text>
    </comment>
    <comment ref="EM62" authorId="3" shapeId="0" xr:uid="{00000000-0006-0000-0300-00002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HSD pharmaceutical growth
49,051 final</t>
        </r>
      </text>
    </comment>
    <comment ref="EN62" authorId="2" shapeId="0" xr:uid="{00000000-0006-0000-03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47,473 final</t>
        </r>
      </text>
    </comment>
    <comment ref="EO62" authorId="2" shapeId="0" xr:uid="{00000000-0006-0000-0300-00002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42531 official</t>
        </r>
      </text>
    </comment>
    <comment ref="EP62" authorId="5" shapeId="0" xr:uid="{4F67C440-F225-48E5-8977-D72DD0D3FDD6}">
      <text>
        <t>[Threaded comment]
Your version of Excel allows you to read this threaded comment; however, any edits to it will get removed if the file is opened in a newer version of Excel. Learn more: https://go.microsoft.com/fwlink/?linkid=870924
Comment:
    45499</t>
      </text>
    </comment>
    <comment ref="EH64" authorId="3" shapeId="0" xr:uid="{00000000-0006-0000-0300-000028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6556 pre-IFRS</t>
        </r>
      </text>
    </comment>
    <comment ref="EH66" authorId="3" shapeId="0" xr:uid="{00000000-0006-0000-0300-000029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8275 pre-IFRS</t>
        </r>
      </text>
    </comment>
    <comment ref="EH67" authorId="3" shapeId="0" xr:uid="{00000000-0006-0000-0300-00002A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1398 G&amp;A pre-IFRS</t>
        </r>
      </text>
    </comment>
    <comment ref="EH68" authorId="3" shapeId="0" xr:uid="{00000000-0006-0000-0300-00002B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5053 R&amp;D pre-IFRS</t>
        </r>
      </text>
    </comment>
    <comment ref="EN68" authorId="1" shapeId="0" xr:uid="{00000000-0006-0000-0300-00002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Decline slightly y/y</t>
        </r>
      </text>
    </comment>
    <comment ref="EH72" authorId="3" shapeId="0" xr:uid="{00000000-0006-0000-0300-00002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237 pre-IFRS</t>
        </r>
      </text>
    </comment>
    <comment ref="EH73" authorId="3" shapeId="0" xr:uid="{00000000-0006-0000-0300-00002E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-576 pre-IFRS</t>
        </r>
      </text>
    </comment>
    <comment ref="I75" authorId="4" shapeId="0" xr:uid="{00000000-0006-0000-0300-00002F000000}">
      <text>
        <r>
          <rPr>
            <sz val="10"/>
            <color indexed="81"/>
            <rFont val="Tahoma"/>
            <family val="2"/>
          </rPr>
          <t>072005 ID:
Tax effect of 146M one time legal charge was 55M</t>
        </r>
      </text>
    </comment>
    <comment ref="EG75" authorId="4" shapeId="0" xr:uid="{00000000-0006-0000-0300-000030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$87M for major legal case </t>
        </r>
      </text>
    </comment>
    <comment ref="EH75" authorId="4" shapeId="0" xr:uid="{00000000-0006-0000-0300-000031000000}">
      <text>
        <r>
          <rPr>
            <b/>
            <sz val="10"/>
            <color indexed="81"/>
            <rFont val="Tahoma"/>
            <family val="2"/>
          </rPr>
          <t>Prudential Financial:</t>
        </r>
        <r>
          <rPr>
            <sz val="10"/>
            <color indexed="81"/>
            <rFont val="Tahoma"/>
            <family val="2"/>
          </rPr>
          <t xml:space="preserve">
see p 143 of AR for exceptional items plus 3M for tax for 46M impairment excluded
-1645 pre-IFRS</t>
        </r>
      </text>
    </comment>
    <comment ref="EH77" authorId="4" shapeId="0" xr:uid="{00000000-0006-0000-0300-000032000000}">
      <text>
        <r>
          <rPr>
            <b/>
            <sz val="11"/>
            <color indexed="81"/>
            <rFont val="Tahoma"/>
            <family val="2"/>
          </rPr>
          <t>Prudential Financial:</t>
        </r>
        <r>
          <rPr>
            <sz val="11"/>
            <color indexed="81"/>
            <rFont val="Tahoma"/>
            <family val="2"/>
          </rPr>
          <t xml:space="preserve">
see p 143 of AR 
-580 pre-IFRS</t>
        </r>
      </text>
    </comment>
    <comment ref="EK79" authorId="1" shapeId="0" xr:uid="{00000000-0006-0000-0300-00003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11.85 formal #</t>
        </r>
      </text>
    </comment>
    <comment ref="EL79" authorId="0" shapeId="0" xr:uid="{00000000-0006-0000-0300-000034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In-line Y/Y confirmed in Q1
11.04 formal #.</t>
        </r>
      </text>
    </comment>
    <comment ref="EM79" authorId="3" shapeId="0" xr:uid="{00000000-0006-0000-0300-000035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Q309: DD y/y incr.
12.19 formal #</t>
        </r>
      </text>
    </comment>
    <comment ref="EN79" authorId="3" shapeId="0" xr:uid="{00000000-0006-0000-0300-000036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Q210: DD y/y increase
DD y/y increase</t>
        </r>
      </text>
    </comment>
    <comment ref="H80" authorId="4" shapeId="0" xr:uid="{00000000-0006-0000-0300-000037000000}">
      <text>
        <r>
          <rPr>
            <b/>
            <sz val="8"/>
            <color indexed="81"/>
            <rFont val="Tahoma"/>
            <family val="2"/>
          </rPr>
          <t>Prudential Financial:</t>
        </r>
        <r>
          <rPr>
            <sz val="8"/>
            <color indexed="81"/>
            <rFont val="Tahoma"/>
            <family val="2"/>
          </rPr>
          <t xml:space="preserve">
estimate</t>
        </r>
      </text>
    </comment>
    <comment ref="EH80" authorId="4" shapeId="0" xr:uid="{00000000-0006-0000-0300-000038000000}">
      <text>
        <r>
          <rPr>
            <b/>
            <sz val="12"/>
            <color indexed="81"/>
            <rFont val="Tahoma"/>
            <family val="2"/>
          </rPr>
          <t>Prudential Financial:</t>
        </r>
        <r>
          <rPr>
            <sz val="12"/>
            <color indexed="81"/>
            <rFont val="Tahoma"/>
            <family val="2"/>
          </rPr>
          <t xml:space="preserve">
no share repurchase program</t>
        </r>
      </text>
    </comment>
    <comment ref="ES82" authorId="2" shapeId="0" xr:uid="{00000000-0006-0000-0300-000039000000}">
      <text>
        <r>
          <rPr>
            <sz val="9"/>
            <color indexed="81"/>
            <rFont val="Tahoma"/>
            <family val="2"/>
          </rPr>
          <t>Q309, Q409: Guiding for positive cash position by 2015</t>
        </r>
      </text>
    </comment>
    <comment ref="EN90" authorId="1" shapeId="0" xr:uid="{00000000-0006-0000-0300-00003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Q409: 22-24% long term</t>
        </r>
      </text>
    </comment>
    <comment ref="BR94" authorId="0" shapeId="0" xr:uid="{00000000-0006-0000-0300-00003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8% LC</t>
        </r>
      </text>
    </comment>
    <comment ref="EM94" authorId="1" shapeId="0" xr:uid="{00000000-0006-0000-0300-00003C000000}">
      <text>
        <r>
          <rPr>
            <sz val="9"/>
            <color indexed="81"/>
            <rFont val="Tahoma"/>
            <family val="2"/>
          </rPr>
          <t>up 2% ex-Tamiflu</t>
        </r>
      </text>
    </comment>
    <comment ref="BT95" authorId="3" shapeId="0" xr:uid="{00000000-0006-0000-0300-00003D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11% YTD
6% ex-Tamiflu</t>
        </r>
      </text>
    </comment>
    <comment ref="BW95" authorId="6" shapeId="0" xr:uid="{00000000-0006-0000-0300-00003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Group sales +5% in LC for 1H</t>
        </r>
      </text>
    </comment>
    <comment ref="EL95" authorId="0" shapeId="0" xr:uid="{00000000-0006-0000-0300-00003F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Ex-Tamiflu 10%</t>
        </r>
      </text>
    </comment>
    <comment ref="EN95" authorId="2" shapeId="0" xr:uid="{00000000-0006-0000-03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ex-Tamiflu</t>
        </r>
      </text>
    </comment>
    <comment ref="BT96" authorId="3" shapeId="0" xr:uid="{00000000-0006-0000-0300-000041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12% YTD
5% ex-Tamiflu</t>
        </r>
      </text>
    </comment>
    <comment ref="BW96" authorId="6" shapeId="0" xr:uid="{00000000-0006-0000-0300-00004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+3.7% LC for 1H</t>
        </r>
      </text>
    </comment>
    <comment ref="EL96" authorId="0" shapeId="0" xr:uid="{00000000-0006-0000-0300-00004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10% Ex-Tamiflu</t>
        </r>
      </text>
    </comment>
    <comment ref="EM96" authorId="3" shapeId="0" xr:uid="{00000000-0006-0000-0300-000044000000}">
      <text>
        <r>
          <rPr>
            <b/>
            <sz val="8"/>
            <color indexed="81"/>
            <rFont val="Tahoma"/>
            <family val="2"/>
          </rPr>
          <t>4% ex-Tamiflu</t>
        </r>
        <r>
          <rPr>
            <sz val="8"/>
            <color indexed="81"/>
            <rFont val="Tahoma"/>
            <family val="2"/>
          </rPr>
          <t xml:space="preserve">
Q3: "at least" HSD y/y
Q2: HSD y/y</t>
        </r>
      </text>
    </comment>
    <comment ref="EN96" authorId="1" shapeId="0" xr:uid="{00000000-0006-0000-0300-000045000000}">
      <text>
        <r>
          <rPr>
            <sz val="9"/>
            <color indexed="81"/>
            <rFont val="Tahoma"/>
            <family val="2"/>
          </rPr>
          <t>finished at 5% ex-Tami
Q210, Q110, Q409: 2010 MSD y/y ex-Tamiflu</t>
        </r>
      </text>
    </comment>
    <comment ref="EO96" authorId="2" shapeId="0" xr:uid="{00000000-0006-0000-0300-00004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1H11: LSD LC ex Tami</t>
        </r>
      </text>
    </comment>
    <comment ref="BT101" authorId="3" shapeId="0" xr:uid="{00000000-0006-0000-0300-000047000000}">
      <text>
        <r>
          <rPr>
            <b/>
            <sz val="8"/>
            <color indexed="81"/>
            <rFont val="Tahoma"/>
            <family val="2"/>
          </rPr>
          <t>Marek Biestek:</t>
        </r>
        <r>
          <rPr>
            <sz val="8"/>
            <color indexed="81"/>
            <rFont val="Tahoma"/>
            <family val="2"/>
          </rPr>
          <t xml:space="preserve">
8% YTD</t>
        </r>
      </text>
    </comment>
    <comment ref="EL101" authorId="0" shapeId="0" xr:uid="{00000000-0006-0000-0300-00004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Ventana added 4%</t>
        </r>
      </text>
    </comment>
    <comment ref="EL105" authorId="0" shapeId="0" xr:uid="{00000000-0006-0000-0300-00004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4% in LC</t>
        </r>
      </text>
    </comment>
    <comment ref="EN105" authorId="0" shapeId="0" xr:uid="{00000000-0006-0000-0300-00004A000000}">
      <text>
        <r>
          <rPr>
            <b/>
            <sz val="8"/>
            <color indexed="81"/>
            <rFont val="Tahoma"/>
            <family val="2"/>
          </rPr>
          <t>+2% reported
+7% LC</t>
        </r>
      </text>
    </comment>
    <comment ref="EM112" authorId="2" shapeId="0" xr:uid="{00000000-0006-0000-0300-00004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1H09: DD Growth</t>
        </r>
      </text>
    </comment>
    <comment ref="EN112" authorId="2" shapeId="0" xr:uid="{00000000-0006-0000-0300-00004C000000}">
      <text>
        <r>
          <rPr>
            <sz val="9"/>
            <color indexed="81"/>
            <rFont val="Tahoma"/>
            <family val="2"/>
          </rPr>
          <t>+4% reported
+10% CC
Q409: DD core at CER
1H09: DD growth</t>
        </r>
      </text>
    </comment>
    <comment ref="EO112" authorId="2" shapeId="0" xr:uid="{00000000-0006-0000-0300-00004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Core EPS +10% LC</t>
        </r>
      </text>
    </comment>
  </commentList>
</comments>
</file>

<file path=xl/sharedStrings.xml><?xml version="1.0" encoding="utf-8"?>
<sst xmlns="http://schemas.openxmlformats.org/spreadsheetml/2006/main" count="1385" uniqueCount="920">
  <si>
    <t>Gross Profit</t>
  </si>
  <si>
    <t>R&amp;D</t>
  </si>
  <si>
    <t>Financial Income</t>
  </si>
  <si>
    <t>Financing Costs</t>
  </si>
  <si>
    <t>Minority Interests</t>
  </si>
  <si>
    <t>Income Taxes</t>
  </si>
  <si>
    <t>Profit After Taxes</t>
  </si>
  <si>
    <t>Reported Net Income</t>
  </si>
  <si>
    <t>Gross Margin</t>
  </si>
  <si>
    <t>Administration</t>
  </si>
  <si>
    <t xml:space="preserve">Profit Before Taxes </t>
  </si>
  <si>
    <t xml:space="preserve">Tax Rate </t>
  </si>
  <si>
    <t>-</t>
  </si>
  <si>
    <t>Cost of Sales</t>
  </si>
  <si>
    <t>Net Financial Income</t>
  </si>
  <si>
    <t>Profit Before Taxes</t>
  </si>
  <si>
    <t>Net Income After Exceptionals</t>
  </si>
  <si>
    <t>Reported Diluted EPS After Exceptionals</t>
  </si>
  <si>
    <t>Other</t>
  </si>
  <si>
    <t>Chugai</t>
  </si>
  <si>
    <t>Net Income</t>
  </si>
  <si>
    <t>EPS</t>
  </si>
  <si>
    <t/>
  </si>
  <si>
    <t>Avastin</t>
  </si>
  <si>
    <t>Herceptin</t>
  </si>
  <si>
    <t>Tarceva</t>
  </si>
  <si>
    <t>Activase/TNKase</t>
  </si>
  <si>
    <t>Pulmozyme</t>
  </si>
  <si>
    <t>Xolair</t>
  </si>
  <si>
    <t>Lucentis</t>
  </si>
  <si>
    <t>Neutrogin</t>
  </si>
  <si>
    <t>Xeloda</t>
  </si>
  <si>
    <t>Kytril</t>
  </si>
  <si>
    <t>Tamiflu</t>
  </si>
  <si>
    <t>Pegasys</t>
  </si>
  <si>
    <t>Copegus</t>
  </si>
  <si>
    <t>Fuzeon</t>
  </si>
  <si>
    <t>Rocephin</t>
  </si>
  <si>
    <t>Madopar</t>
  </si>
  <si>
    <t>Xenical</t>
  </si>
  <si>
    <t>CellCept</t>
  </si>
  <si>
    <t>Diagnostics</t>
  </si>
  <si>
    <t>Shares</t>
  </si>
  <si>
    <t>Name</t>
  </si>
  <si>
    <t>Indication</t>
  </si>
  <si>
    <t>Anemia</t>
  </si>
  <si>
    <t>Phase</t>
  </si>
  <si>
    <t>Mircera (CERA)</t>
  </si>
  <si>
    <t>Avastin (bevacizumab)</t>
  </si>
  <si>
    <t>Brand Name</t>
  </si>
  <si>
    <t>Mircera</t>
  </si>
  <si>
    <t>Generic Name</t>
  </si>
  <si>
    <t>C.E.R.A.</t>
  </si>
  <si>
    <t>Clinical Trials</t>
  </si>
  <si>
    <t>EDTA 2006: p3 data shows switching dialysis patients to qm dosing of CERA is possible</t>
  </si>
  <si>
    <t>Main</t>
  </si>
  <si>
    <t>SFr millions</t>
  </si>
  <si>
    <t>FY2001A</t>
  </si>
  <si>
    <t>FY2002A</t>
  </si>
  <si>
    <t>FY2003A</t>
  </si>
  <si>
    <t>FY2004A</t>
  </si>
  <si>
    <t xml:space="preserve">MabThera/ Rituxan </t>
  </si>
  <si>
    <t>Actemra</t>
  </si>
  <si>
    <t>Revenue</t>
  </si>
  <si>
    <t>Royalties</t>
  </si>
  <si>
    <t>Economics</t>
  </si>
  <si>
    <t>Mechanism</t>
  </si>
  <si>
    <t>T2D</t>
  </si>
  <si>
    <t>DPP-IV</t>
  </si>
  <si>
    <t>R1440</t>
  </si>
  <si>
    <t>Dyslipidemia</t>
  </si>
  <si>
    <t>VEGF mab</t>
  </si>
  <si>
    <t>EPO</t>
  </si>
  <si>
    <t>NKTR</t>
  </si>
  <si>
    <t>IP</t>
  </si>
  <si>
    <t>Safety</t>
  </si>
  <si>
    <t>No BP increases?</t>
  </si>
  <si>
    <t>WW rights; Japan Tobacco royalty</t>
  </si>
  <si>
    <t>R1626</t>
  </si>
  <si>
    <t>HCV</t>
  </si>
  <si>
    <t>II</t>
  </si>
  <si>
    <t>Competition</t>
  </si>
  <si>
    <t>CD20</t>
  </si>
  <si>
    <t>IL-6</t>
  </si>
  <si>
    <t>RA</t>
  </si>
  <si>
    <t>IL-6 antibody</t>
  </si>
  <si>
    <t>Influenza</t>
  </si>
  <si>
    <t>Approved</t>
  </si>
  <si>
    <t>Recruitment halted on 2/23/07.</t>
  </si>
  <si>
    <t>Phase II dose-finding study in 1L NSCLC patients with anemia</t>
  </si>
  <si>
    <t>"Imbalance" in the number of deaths across the four arms of the study.</t>
  </si>
  <si>
    <t>Investigators report all deaths are unrelated to the study drugs.</t>
  </si>
  <si>
    <t>Japan (Chugai)</t>
  </si>
  <si>
    <t>US (DNA)</t>
  </si>
  <si>
    <t>Herceptin (trastuzumab)</t>
  </si>
  <si>
    <t>Rights</t>
  </si>
  <si>
    <t>Papers</t>
  </si>
  <si>
    <t>Crystal structure of CTEP reveals a long tunnel and four bound lipid molecules - Nature Structural &amp; Molecular Biology - Qui et al 2007</t>
  </si>
  <si>
    <t>CETP inhibitor. CETP shuttles various lipids between lipoproteins, resulting in transfer of cholesteryl esters from HDL to LDL. Inhibition of CETP raises HDL.</t>
  </si>
  <si>
    <t>Low HDL is a risk factor for cardiovascular disease. Risk is 2-3% lower for each increase in 0.1mg HDL-C.</t>
  </si>
  <si>
    <t>CETP is a hydrophobic glycoprotein that is often bound to HDL in circulation. It engages in the transfer of neutral lipids among lipoprotein particles.</t>
  </si>
  <si>
    <t>CETP is capable of reverse cholesterol transport, where excess cholesterol is is removed from peripheral tissues and returned to the liver for elimination.</t>
  </si>
  <si>
    <t>PTLP is another lipid transfer protein. LBP and BPI are lipid binding proteins.</t>
  </si>
  <si>
    <t>May 18th 2007: FDA issues approvable for Mircera.</t>
  </si>
  <si>
    <t>Regulatory</t>
  </si>
  <si>
    <t>FDA has issued a draft label? To be finalized upon ADCOM review.</t>
  </si>
  <si>
    <t>Price</t>
  </si>
  <si>
    <t>MC CHF</t>
  </si>
  <si>
    <t>EV CHF</t>
  </si>
  <si>
    <t>R7128</t>
  </si>
  <si>
    <t>I</t>
  </si>
  <si>
    <t>R7227</t>
  </si>
  <si>
    <t>ITMN</t>
  </si>
  <si>
    <t>Valcyte</t>
  </si>
  <si>
    <t>III</t>
  </si>
  <si>
    <t>Solid Tumors</t>
  </si>
  <si>
    <t>R1503</t>
  </si>
  <si>
    <t>p38 kinase</t>
  </si>
  <si>
    <t>R1558</t>
  </si>
  <si>
    <t>Bacteria</t>
  </si>
  <si>
    <t>August 24th 2007: EMEA approves Avastin for 1L NSCLC.</t>
  </si>
  <si>
    <t>Neutropenia</t>
  </si>
  <si>
    <t>R1295</t>
  </si>
  <si>
    <t>Multiple Sclerosis</t>
  </si>
  <si>
    <t>Autoimmune</t>
  </si>
  <si>
    <t>R3477</t>
  </si>
  <si>
    <t>ATLN</t>
  </si>
  <si>
    <t>R7277</t>
  </si>
  <si>
    <t>Toyama</t>
  </si>
  <si>
    <t>Activator protein-1 inhibitor</t>
  </si>
  <si>
    <t>PPAR co-agonist</t>
  </si>
  <si>
    <t>Q106</t>
  </si>
  <si>
    <t>Q306</t>
  </si>
  <si>
    <t>Q406</t>
  </si>
  <si>
    <t>Q107</t>
  </si>
  <si>
    <t>Q207</t>
  </si>
  <si>
    <t>Q307</t>
  </si>
  <si>
    <t>Q407</t>
  </si>
  <si>
    <t>Rituxan</t>
  </si>
  <si>
    <t>NeoRecormon/Epogin</t>
  </si>
  <si>
    <t>Bonviva/Boniva</t>
  </si>
  <si>
    <t>Valcyte/Cymeve</t>
  </si>
  <si>
    <t>Nutropin</t>
  </si>
  <si>
    <t>1H06</t>
  </si>
  <si>
    <t>2H06</t>
  </si>
  <si>
    <t>1H07</t>
  </si>
  <si>
    <t>mBC</t>
  </si>
  <si>
    <t>mPC</t>
  </si>
  <si>
    <t>pertuzumab</t>
  </si>
  <si>
    <t>Operating Profit</t>
  </si>
  <si>
    <t>Q405</t>
  </si>
  <si>
    <t>Q305</t>
  </si>
  <si>
    <t>Q205</t>
  </si>
  <si>
    <t>Q105</t>
  </si>
  <si>
    <t>Q404</t>
  </si>
  <si>
    <t>Q304</t>
  </si>
  <si>
    <t>Q204</t>
  </si>
  <si>
    <t>Q104</t>
  </si>
  <si>
    <t>Valcyte/Cymevene</t>
  </si>
  <si>
    <t>2H07</t>
  </si>
  <si>
    <t>Q206</t>
  </si>
  <si>
    <t>Antibody</t>
  </si>
  <si>
    <t>Europe (Roche)</t>
  </si>
  <si>
    <t>HER2</t>
  </si>
  <si>
    <t>EGFr</t>
  </si>
  <si>
    <t>MabThera in Europe, Rituxan in US.</t>
  </si>
  <si>
    <t>rituximab</t>
  </si>
  <si>
    <t>SERENE Phase III MTX-refractory but TNF-naïve.</t>
  </si>
  <si>
    <t>Market</t>
  </si>
  <si>
    <t>21 million people with RA WW, 3m in Europe.</t>
  </si>
  <si>
    <t>n=509, 500mg, 1000mg or placebo, IV day 1/15 plus MTX.</t>
  </si>
  <si>
    <t>FCR vs FC n=817</t>
  </si>
  <si>
    <t>MabThera/Rituxan (rituximab)</t>
  </si>
  <si>
    <t>1H08</t>
  </si>
  <si>
    <t>2H08</t>
  </si>
  <si>
    <t>Roche requested USDC of Mass allow launch and 20% royalty to Amgen. Amgen refuses.</t>
  </si>
  <si>
    <t>2H05</t>
  </si>
  <si>
    <t>1H05</t>
  </si>
  <si>
    <t>2H04</t>
  </si>
  <si>
    <t>1H04</t>
  </si>
  <si>
    <t>2H03</t>
  </si>
  <si>
    <t>1H03</t>
  </si>
  <si>
    <t>Cash CHF</t>
  </si>
  <si>
    <t>Unallocated Non-Cash Expenses</t>
  </si>
  <si>
    <t>Revenue y/y</t>
  </si>
  <si>
    <t>G&amp;A</t>
  </si>
  <si>
    <t>M&amp;D</t>
  </si>
  <si>
    <t>M&amp;D y/y</t>
  </si>
  <si>
    <t>G&amp;A y/y</t>
  </si>
  <si>
    <t>R&amp;D y/y</t>
  </si>
  <si>
    <t>bevacizumab</t>
  </si>
  <si>
    <t>Timeline</t>
  </si>
  <si>
    <t>March 2007: Europe approval of Avastin in mBC.</t>
  </si>
  <si>
    <t>February 2008: US approval of Avastin in mBC.</t>
  </si>
  <si>
    <t>Income from Assoc. Companies</t>
  </si>
  <si>
    <t>Q108</t>
  </si>
  <si>
    <t>Q208</t>
  </si>
  <si>
    <t>Q308</t>
  </si>
  <si>
    <t>Q408</t>
  </si>
  <si>
    <t>taspoglutide</t>
  </si>
  <si>
    <t>Ipsen</t>
  </si>
  <si>
    <t>exenatide LAR</t>
  </si>
  <si>
    <t>29 gauge vs 23 gauge for exenatide LAR and less viscous solution than LAR. Once-weekly dosing.</t>
  </si>
  <si>
    <t>Human GLP-1.</t>
  </si>
  <si>
    <t>Phase II - ADA 2008 presentation</t>
  </si>
  <si>
    <t>59%, 79%, 81% response rate across qw doses. 44% and 63% across biw dosing. 17% for placebo.</t>
  </si>
  <si>
    <t>Herpes</t>
  </si>
  <si>
    <t>Transplantation</t>
  </si>
  <si>
    <t>Genentech/Biogen has US rights.</t>
  </si>
  <si>
    <t>Liver enzyme elevation, other toxicities.</t>
  </si>
  <si>
    <t>tocilizumab</t>
  </si>
  <si>
    <t>Protein</t>
  </si>
  <si>
    <t>Phase III AMBITION - Presented at EULAR 2008</t>
  </si>
  <si>
    <t>Actemra vs MTX showed superiority for Actemra at 24 weeks.</t>
  </si>
  <si>
    <t xml:space="preserve">  ACR20%: 70% vs 53%.</t>
  </si>
  <si>
    <t>TNF-alpha refractory patients.</t>
  </si>
  <si>
    <t>30% in Actemra+MTX achieved DAS remission vs 2% for MTX alone.</t>
  </si>
  <si>
    <t>Phase III RADIATE - Presented at EULAR 2008 - Published in Annals of Rheumatic Disease 2008 n=673</t>
  </si>
  <si>
    <t>Phase III Rituxan vs TNF-inhibitor in 2L TNF-refractory patients n=300</t>
  </si>
  <si>
    <t>DAS 1.55 vs 1.03 for TNF-inhibitor.</t>
  </si>
  <si>
    <t>REFLEX</t>
  </si>
  <si>
    <t>n=306 vs placebo for 8 weeks.</t>
  </si>
  <si>
    <t>BIM-51077</t>
  </si>
  <si>
    <t>64% improvement in PFS (HR=0.61) in 15mg/kg.</t>
  </si>
  <si>
    <t>45% improvement in PFS (HR=0.69) in 7.5mg/kg.</t>
  </si>
  <si>
    <t>83%, 78% and 73% were alive in 15mg, 7.5mg and placebo.</t>
  </si>
  <si>
    <t>Phase III 1L mBC "AVADO" - Taxotere +- Avastin - ASCO 2008</t>
  </si>
  <si>
    <t>Phase III mCRC "BRITE" community-setting study</t>
  </si>
  <si>
    <t>23.5m mOS.</t>
  </si>
  <si>
    <t>22.7m mOS.</t>
  </si>
  <si>
    <t>20.4m mOS for triplet vs 20.3m mOS for quadruplet.</t>
  </si>
  <si>
    <t>1L mCRC, 2L mCRC, 1L mNSCLC, 1L mBC, 1L mRCC.</t>
  </si>
  <si>
    <t>Phase II Herceptin+pertuzumab open-label? in refractory Herceptin mBC patients.</t>
  </si>
  <si>
    <t>8% CR, 16% PR, 25% SD.</t>
  </si>
  <si>
    <t>Phase III 1L mBC CLEOPATRA - January 2008 initiation</t>
  </si>
  <si>
    <t>HER-2 dimerisation inhibitor</t>
  </si>
  <si>
    <t>mBC.</t>
  </si>
  <si>
    <t>Phase III GBG-26</t>
  </si>
  <si>
    <t>Showed positive results of keeping Herceptin on board post-progression.</t>
  </si>
  <si>
    <t>mCRC, Gastric Cancer</t>
  </si>
  <si>
    <t>IFN-alpha</t>
  </si>
  <si>
    <t>May 22nd 2008: Announces plan to increase Chugai stake from 50% to 60%.</t>
  </si>
  <si>
    <t>Inhibited structural damage of joints.</t>
  </si>
  <si>
    <t>April 29th 2008: Announces Rituxan fails in SLE.</t>
  </si>
  <si>
    <t>Pegasys (peginterferon alfa-2a)</t>
  </si>
  <si>
    <t>peginterferon alpha-2a</t>
  </si>
  <si>
    <t>Hepatitis C</t>
  </si>
  <si>
    <t>Phase III Investigator-Study of PEGASYS vs PEG-INTRON</t>
  </si>
  <si>
    <t>n=320 showed 69% cure rate vs 54% for PEG-INTRON.</t>
  </si>
  <si>
    <t>Phase III PROBE head-to-head "observational study"</t>
  </si>
  <si>
    <t>n=1351 showed 41% cure rate vs 34% for PEG-INTRON.</t>
  </si>
  <si>
    <t>Phase III IDEAL</t>
  </si>
  <si>
    <t>Nucleoside Polymerase Inhibitor</t>
  </si>
  <si>
    <t>NCE</t>
  </si>
  <si>
    <t>Nucleoside Polymerase</t>
  </si>
  <si>
    <t>84% were UND in g1 patients versus 65% for control group at the end of treatment.</t>
  </si>
  <si>
    <t>Phase IIa "4+44" 4 weeks of triple followed by 44 weeks of Standard of Care (Pegasys+Copegus) - EASL 2008</t>
  </si>
  <si>
    <t>Phase IIb "POLI" study - n=500</t>
  </si>
  <si>
    <t>Phase III 1L mNSCLC "AVAIL" Gem+Cis+Low-Dose Avastin vs High-Dose Avastin</t>
  </si>
  <si>
    <t>PFS met primary endpoint while OS failed.</t>
  </si>
  <si>
    <t>trastuzumab</t>
  </si>
  <si>
    <t>HER2+ breast cancer (neoadjuvant, adjuvant, metastatic)</t>
  </si>
  <si>
    <t>Phase III "NOAH" neoadjuvant study</t>
  </si>
  <si>
    <t>Phase III "TECHNO" neoadjuvant study"</t>
  </si>
  <si>
    <t>Phase III "GeparQuattro" neoadjuvant study n=1510</t>
  </si>
  <si>
    <t>Tarceva (erlotinib)</t>
  </si>
  <si>
    <t>Xeloda (capecitabine)</t>
  </si>
  <si>
    <t>CellCept (mycophenolate)</t>
  </si>
  <si>
    <t>Schizophrenia</t>
  </si>
  <si>
    <t>Protease Inhibitor</t>
  </si>
  <si>
    <t>VRUS</t>
  </si>
  <si>
    <t>R7234</t>
  </si>
  <si>
    <t>R4929</t>
  </si>
  <si>
    <t>R1663</t>
  </si>
  <si>
    <t>Anticoagulant</t>
  </si>
  <si>
    <t>R1512</t>
  </si>
  <si>
    <t>PVD</t>
  </si>
  <si>
    <t>R1540</t>
  </si>
  <si>
    <t>R4733</t>
  </si>
  <si>
    <t>R547</t>
  </si>
  <si>
    <t>Emphysema</t>
  </si>
  <si>
    <t>Nuclear Receptor Agonist</t>
  </si>
  <si>
    <t>R1671</t>
  </si>
  <si>
    <t>Asthma</t>
  </si>
  <si>
    <t>Price CHF</t>
  </si>
  <si>
    <t>3.9 log mean maximum reduction shown in 200mg q8h.</t>
  </si>
  <si>
    <t>2.75% increase on 10/1/08, 2.75% increase on 4/1/08.</t>
  </si>
  <si>
    <t>Mat</t>
  </si>
  <si>
    <t>Dis</t>
  </si>
  <si>
    <t>RO5126776</t>
  </si>
  <si>
    <t>Cancer</t>
  </si>
  <si>
    <t>MEK/RAF kinase</t>
  </si>
  <si>
    <t>CLL8 Phase III 1L CLL - Met primary endpoint</t>
  </si>
  <si>
    <t>R1439</t>
  </si>
  <si>
    <t>aleglitazar</t>
  </si>
  <si>
    <t>Diabetes with recent CV event</t>
  </si>
  <si>
    <t>Phase II SYNCHRONY - Published in Lancet</t>
  </si>
  <si>
    <t>BIIB</t>
  </si>
  <si>
    <t>OSIP</t>
  </si>
  <si>
    <t>NCE?</t>
  </si>
  <si>
    <t>RoActemra</t>
  </si>
  <si>
    <t>Q109</t>
  </si>
  <si>
    <t>Q209</t>
  </si>
  <si>
    <t>Q309</t>
  </si>
  <si>
    <t>Q409</t>
  </si>
  <si>
    <t>NHL, CLL, Rheumatoid Arthritis. 1L CLL approved in Europe Q1 2009.</t>
  </si>
  <si>
    <t>4/16/2009: Reports Q109 sales.</t>
  </si>
  <si>
    <t>Severin Schwan</t>
  </si>
  <si>
    <t>Bill Burns</t>
  </si>
  <si>
    <t>Franz Humer</t>
  </si>
  <si>
    <t>Pascal Soriot</t>
  </si>
  <si>
    <t>January 2009 EU approval. April 2008 Japan approval.</t>
  </si>
  <si>
    <t>Lucentis (ranibizumab)</t>
  </si>
  <si>
    <t>AMD</t>
  </si>
  <si>
    <t>NVS</t>
  </si>
  <si>
    <t>2017?</t>
  </si>
  <si>
    <t>trastuzumab-DM1</t>
  </si>
  <si>
    <t>2L HER2+ mBC</t>
  </si>
  <si>
    <t>IMGN</t>
  </si>
  <si>
    <t>R7376 (PLX5568)</t>
  </si>
  <si>
    <t>Polycystic Kidney Disease</t>
  </si>
  <si>
    <t>Plexxicon</t>
  </si>
  <si>
    <t>EVT101</t>
  </si>
  <si>
    <t>Treatment Resistant Depression</t>
  </si>
  <si>
    <t>Malignant Melanoma</t>
  </si>
  <si>
    <t>RAF kinase inhibitor</t>
  </si>
  <si>
    <t>5/6/2009: FDA approves Avastin for GBM.</t>
  </si>
  <si>
    <t>mCRC, NSCLC, mBC, mRCC, GBM</t>
  </si>
  <si>
    <t>NHL, CLL, RA</t>
  </si>
  <si>
    <t>4/22/2009: Announces Avastin C08 study fails.</t>
  </si>
  <si>
    <t>3/26/2009: Completes acquisition of Genentech.</t>
  </si>
  <si>
    <t>3/16/2009: Acquires Innovatis.</t>
  </si>
  <si>
    <t>Erich Hunziker</t>
  </si>
  <si>
    <t>7/21/2008: Roche offers to purchase Genentech.</t>
  </si>
  <si>
    <t>1H09</t>
  </si>
  <si>
    <t>2H09</t>
  </si>
  <si>
    <t>Revenue y/y LC</t>
  </si>
  <si>
    <t>Pharma y/y LC</t>
  </si>
  <si>
    <t>Diagnostic y/y LC</t>
  </si>
  <si>
    <t>Other Pharma</t>
  </si>
  <si>
    <t>CHF</t>
  </si>
  <si>
    <t>Mabthera/Rituxan</t>
  </si>
  <si>
    <t>Small Molecule</t>
  </si>
  <si>
    <t>R4930</t>
  </si>
  <si>
    <t>OX40L huMAB</t>
  </si>
  <si>
    <t>IMDPH inhibitor</t>
  </si>
  <si>
    <t>R3637 (lebrikizumab)</t>
  </si>
  <si>
    <t>Anti IL-13</t>
  </si>
  <si>
    <t>R667 (palovarotene)</t>
  </si>
  <si>
    <t>Ulcerative Colitis</t>
  </si>
  <si>
    <t>Beta-7</t>
  </si>
  <si>
    <t>RG7416</t>
  </si>
  <si>
    <t>Rheumatoid Arthritis</t>
  </si>
  <si>
    <t>LT-alpha</t>
  </si>
  <si>
    <t>Genmab</t>
  </si>
  <si>
    <t>R7089</t>
  </si>
  <si>
    <t>SGLT2</t>
  </si>
  <si>
    <t>RG7426</t>
  </si>
  <si>
    <t>T1D</t>
  </si>
  <si>
    <t>Alzheimer's</t>
  </si>
  <si>
    <t>MOR GR</t>
  </si>
  <si>
    <t>Amyloid-Beta</t>
  </si>
  <si>
    <t>R4996</t>
  </si>
  <si>
    <t>Alpha-7</t>
  </si>
  <si>
    <t>RG3487</t>
  </si>
  <si>
    <t>RG7010</t>
  </si>
  <si>
    <t>ALS</t>
  </si>
  <si>
    <t>IGF</t>
  </si>
  <si>
    <t>R7112</t>
  </si>
  <si>
    <t>MDM2</t>
  </si>
  <si>
    <t>R7167</t>
  </si>
  <si>
    <t>R7304</t>
  </si>
  <si>
    <t>R7334</t>
  </si>
  <si>
    <t>Thrombogenics</t>
  </si>
  <si>
    <t>Anti-PGLF</t>
  </si>
  <si>
    <t>R7347</t>
  </si>
  <si>
    <t>AMGN</t>
  </si>
  <si>
    <t>BCC, Ovarian, CRC</t>
  </si>
  <si>
    <t>CRIS</t>
  </si>
  <si>
    <t>Hedgehog</t>
  </si>
  <si>
    <t>RG3635</t>
  </si>
  <si>
    <t>RG3639 (dulanermin)</t>
  </si>
  <si>
    <t>DR5?</t>
  </si>
  <si>
    <t>Gamma Secretase</t>
  </si>
  <si>
    <t>RG7414</t>
  </si>
  <si>
    <t>Anti-EGFL7</t>
  </si>
  <si>
    <t>PI3 kinase</t>
  </si>
  <si>
    <t>RG7423</t>
  </si>
  <si>
    <t>Colorectal Cancer</t>
  </si>
  <si>
    <t>Liver Cancer</t>
  </si>
  <si>
    <t>Topoisomerase I</t>
  </si>
  <si>
    <t>Anti-glypican</t>
  </si>
  <si>
    <t>RG3484</t>
  </si>
  <si>
    <t>Cervical Neoplasia</t>
  </si>
  <si>
    <t>HPV16 vaccine</t>
  </si>
  <si>
    <t>Vaccine</t>
  </si>
  <si>
    <t>30.6 months vs 20.6 months for Rituxan retreatment vs chemo only.</t>
  </si>
  <si>
    <t>IMS</t>
  </si>
  <si>
    <t>August 2009: RIBBON-2 in 2L mBC successful for Avastin.</t>
  </si>
  <si>
    <t>Neuraminidase</t>
  </si>
  <si>
    <t>Chemotherapy</t>
  </si>
  <si>
    <t>Troponin</t>
  </si>
  <si>
    <t>Elecsys</t>
  </si>
  <si>
    <t>REACH in n=552 R/R CLL Approved in Europe 9/09</t>
  </si>
  <si>
    <t>R1579 (carmegliptin)</t>
  </si>
  <si>
    <t>HER2+ mBC, NSCLC</t>
  </si>
  <si>
    <t>Chugai Ownership??</t>
  </si>
  <si>
    <t>Glass-magnetic-particle based automated nucleic acid purification systems.</t>
  </si>
  <si>
    <t>Accu-Chek: strip-free blood glucose monitoring.</t>
  </si>
  <si>
    <t>454 Life Sciences: Genome Sequencer FLX System</t>
  </si>
  <si>
    <t>NimbleGen: SeqCap EZ</t>
  </si>
  <si>
    <t>Gerd Maass</t>
  </si>
  <si>
    <t>CEO of Roche NimbleGen</t>
  </si>
  <si>
    <t>Atherosclerosis</t>
  </si>
  <si>
    <t>BioInvent</t>
  </si>
  <si>
    <t>Phase II "BRAIN"</t>
  </si>
  <si>
    <t>Sandra Horning</t>
  </si>
  <si>
    <t>Varun Nanda</t>
  </si>
  <si>
    <t>Niko Andre</t>
  </si>
  <si>
    <t>Roche Global Medical Director for Avastin</t>
  </si>
  <si>
    <t>Roche Global Product Strategy Head of Oncology</t>
  </si>
  <si>
    <t>Stefan Frings</t>
  </si>
  <si>
    <t>Roche Global HER2 Franchise Leader</t>
  </si>
  <si>
    <t>Phase III mNSCLC "SAIL" community-setting study</t>
  </si>
  <si>
    <t>Phase III mNSCLC "ARIES" community-setting study</t>
  </si>
  <si>
    <t>Phase III mBC "ATHENA" community-setting study</t>
  </si>
  <si>
    <t>Phase III mCRC "BEAT - Bevacizumab Expanded Access Trial" community-setting study n=2000</t>
  </si>
  <si>
    <t>7.8m TTP, 14.6m OS.</t>
  </si>
  <si>
    <t>FOLFOX vs FOLFOX+Avastin with Avastin maintenance for 5.5m, Xelox+Avastin with Avastin maintenance for 5.5m.</t>
  </si>
  <si>
    <t>DFS primary.</t>
  </si>
  <si>
    <t>Phase III AVANT - adjuvant CRC n=3500 from 12/04-6/07. Data in 2010.</t>
  </si>
  <si>
    <t>2010: AVANT Phase III results.</t>
  </si>
  <si>
    <t>Phase II "BEAM" in stage IV metastatic melanoma n=214</t>
  </si>
  <si>
    <t>Carbo+Tax+-Avastin. 5.6m PFS vs 4.2 for control. 12.3m OS vs 8.6m for control.</t>
  </si>
  <si>
    <t>Phase II "BOXER" neoadjuvant mCRC</t>
  </si>
  <si>
    <t>Avastin+Capecitabine+Oxaliplatin in mCRC confined to liver. ORR 80%.</t>
  </si>
  <si>
    <t>Phase III "COIN"</t>
  </si>
  <si>
    <t>6 patients out of first 200 developed CHF.</t>
  </si>
  <si>
    <t>Phase III "BEATRICE" triple-negative mBC</t>
  </si>
  <si>
    <t>Phase III "E5103" n=3439/4950 enrollment halted due to CHF Avastin+Chemo in aBC</t>
  </si>
  <si>
    <t>Arm A: Doxorubicin+cyclophosphamide+placebo (4 cycles) followed by paclitaxel+placebo (4 cycles).</t>
  </si>
  <si>
    <t>Arm B: Replace placebos with Avastin, Arm C: ArmB+ Avastin maintenance monotherapy for 10 cycles.</t>
  </si>
  <si>
    <t>Phase III "TOGA" in HER2+ gastric cancer stopped early Q109</t>
  </si>
  <si>
    <t>16.0m vs 11.8m OS for high levels of HER2.</t>
  </si>
  <si>
    <t>Dan Zambrowski</t>
  </si>
  <si>
    <t>Richard Scheller</t>
  </si>
  <si>
    <t>Genentech Research and Early Development</t>
  </si>
  <si>
    <t>Jean-Jacques Garaud</t>
  </si>
  <si>
    <t>Daniel O'Day</t>
  </si>
  <si>
    <t>Burkhard Piper</t>
  </si>
  <si>
    <t>Roche Head of Diabetes Care</t>
  </si>
  <si>
    <t>Ian Clark</t>
  </si>
  <si>
    <t>CEO, Genentech</t>
  </si>
  <si>
    <t>CEO, Roche</t>
  </si>
  <si>
    <t>Chairman of Board, Roche</t>
  </si>
  <si>
    <t>Roche Head Pharma Partnering</t>
  </si>
  <si>
    <t>CFO, Roche</t>
  </si>
  <si>
    <t>Cobas 8000 modular analyzer. Competes with BEC. Clinical Chemistry and Immunochemistry. 270 reagents.</t>
  </si>
  <si>
    <t>7/31/2009: FDA accepts CR submission for Actemra.</t>
  </si>
  <si>
    <t>Divisions</t>
  </si>
  <si>
    <t>Professional Diagnostics</t>
  </si>
  <si>
    <t>Tissue Diagnostics</t>
  </si>
  <si>
    <t>Diabetes Care</t>
  </si>
  <si>
    <t>3/26/2009 acquired full ownership of Genentech.</t>
  </si>
  <si>
    <t>Expired</t>
  </si>
  <si>
    <t>SLE</t>
  </si>
  <si>
    <t>Anti-IFN-alpha</t>
  </si>
  <si>
    <t>Selectin</t>
  </si>
  <si>
    <t>11-beta-HSD</t>
  </si>
  <si>
    <t>Y2R peptide agonist</t>
  </si>
  <si>
    <t>Anti-Factor-D</t>
  </si>
  <si>
    <t>Failures</t>
  </si>
  <si>
    <t>Anti-NRP-1</t>
  </si>
  <si>
    <t>CIF/MEK</t>
  </si>
  <si>
    <t>huMab EGFR</t>
  </si>
  <si>
    <t>2010: Phase III OC results.</t>
  </si>
  <si>
    <t>Dilatrend</t>
  </si>
  <si>
    <t>Raptiva</t>
  </si>
  <si>
    <t>Evista</t>
  </si>
  <si>
    <t>Renagel</t>
  </si>
  <si>
    <t>Molecular Diagnostics</t>
  </si>
  <si>
    <t>Applied Science</t>
  </si>
  <si>
    <t>% of Sales</t>
  </si>
  <si>
    <t>WW Y/Y Growth</t>
  </si>
  <si>
    <t>Drugs</t>
  </si>
  <si>
    <t>PML risk limits use to TNF-refractory RA, even though 3/100,000 seen with PML and 2 had SLE.</t>
  </si>
  <si>
    <t>Phase II UC - Initiate YE07</t>
  </si>
  <si>
    <t>Phase III SLE - Initiate in 2008</t>
  </si>
  <si>
    <t>Phase III LN - Initiate YE07</t>
  </si>
  <si>
    <t>Phase III Rheumatoid Arthritis - FILM - MTX-naïve - Initiated Q2 2007</t>
  </si>
  <si>
    <t>Phase III Rheumatoid Arthritis - n=1000 STAGE - MTX-refractory - Initiated Q4 2006</t>
  </si>
  <si>
    <t>Clinical Studies</t>
  </si>
  <si>
    <t xml:space="preserve">    The decision-making process is being disputed by the partners and will be decided by an arbitrator.</t>
  </si>
  <si>
    <t xml:space="preserve">  The new economics will also apply to Rituxan.</t>
  </si>
  <si>
    <t xml:space="preserve">  For ocrelizumab, BIIB will receive 38% of operating profit, followed by 35% followed by 30% (at $150m and $350m).</t>
  </si>
  <si>
    <t>BIIB, Roche. BIIB receives 30% of the first $50m operating profit of Rituxan and 40% of profits thereafter.</t>
  </si>
  <si>
    <t>Humanized Anti-CD20</t>
  </si>
  <si>
    <t>ocrelizumab</t>
  </si>
  <si>
    <t>PRO70769, rHUmab 2H7</t>
  </si>
  <si>
    <t>Phase III Rheumatoid Arthritis - SCRIPT - TNF-refractory - Initiated Q2 2007 - Results in 2009</t>
  </si>
  <si>
    <t>4mg/kg, 8mg/kg vs placebo.</t>
  </si>
  <si>
    <t>Phase III LITHE n=1196 in MTX-inadequate responders - Presented at ACR 2008 and EULAR 2009</t>
  </si>
  <si>
    <t>65% had 2-year DAS remission vs 48% at 1 year.</t>
  </si>
  <si>
    <t>1/8 or 1/31/2010: Actemra PDUFA.</t>
  </si>
  <si>
    <t>Ventana/Tissue Diagnostics - Acquired in 2007?</t>
  </si>
  <si>
    <t>10/29/2009: Taspoglutide Phase III data.</t>
  </si>
  <si>
    <t>Roche Pharma Research and Early Development, Head of Pharma Development</t>
  </si>
  <si>
    <t>Phase III - "T-EMERGE-2" to begin in 2H 2008 - NDA to be filed in 2010 - Results press released 10/29/2009 n=1189</t>
  </si>
  <si>
    <t>Taspo 10mg once weekly versus Exenatide 10mcg twice daily</t>
  </si>
  <si>
    <t>Superior A1C control.</t>
  </si>
  <si>
    <t>capecitabine</t>
  </si>
  <si>
    <t>Teva FTF, Roche 30-month stay initiated 10/09, ends 4/12. Patent expires 2013.</t>
  </si>
  <si>
    <t>2012-13</t>
  </si>
  <si>
    <t>Phase II HERMES</t>
  </si>
  <si>
    <t>Phase III RRMS - Initiate 2008 - Results Late 2009?</t>
  </si>
  <si>
    <t>2H 2009: Ocrelizumab SCRIPT results and MS results.</t>
  </si>
  <si>
    <t>PRIMA1 1L iNHL maintenance - presents at ASH 2009 n=1217</t>
  </si>
  <si>
    <t>PFS primary endpoint</t>
  </si>
  <si>
    <t>Phase III EORTC 20981 Rituxan maintenance vs observation in relapsed iNHL</t>
  </si>
  <si>
    <t>52m vs 15m mPFS.</t>
  </si>
  <si>
    <t>91% reduction in Gd-lesions.</t>
  </si>
  <si>
    <t>Phase III dal-OUTCOMES n=15600</t>
  </si>
  <si>
    <t>n=9k enrolled as of AHA 2009</t>
  </si>
  <si>
    <t>Phase III "RIBBON-1" mBC</t>
  </si>
  <si>
    <t>HR=1.032 p=0.89 for OS</t>
  </si>
  <si>
    <t>Phase III "C08" - adjuvant CRC - FAILED n=2710</t>
  </si>
  <si>
    <t>CT-322</t>
  </si>
  <si>
    <t>dalcetrapib</t>
  </si>
  <si>
    <t>JTT-705/R1658</t>
  </si>
  <si>
    <t>Fusion</t>
  </si>
  <si>
    <t>11/09: Safety issue</t>
  </si>
  <si>
    <t>VEGF recombinant humanized monoclonal antibody.</t>
  </si>
  <si>
    <t>PDLI royalty.</t>
  </si>
  <si>
    <t>Risk of Venous Thromboembolism with the angiogenesis inhibitor bevacizumab in cancer patients: a meta-analysis. Nalluri et al. JAMA 2008;300(19):2277-2285.</t>
  </si>
  <si>
    <t>11/09: EMEA rejects for GBM.</t>
  </si>
  <si>
    <t>Chemotherapy, bevacizumab, and cetuximab in metastatic colorectal cancer. Tol et al. NEJM 2009;360:563-72.</t>
  </si>
  <si>
    <t>Phase III "CAIRO2" CapeOxBeva+-Cetuximab n=755 1L mCRC. Tol et al NEJM 2009</t>
  </si>
  <si>
    <t>10.7m mPFS for triplet vs 9.4-9.8m mPFS for quadruplet.</t>
  </si>
  <si>
    <t>Paclitaxel plus bevacizumab versus paclitaxel alone for metastatic breast cancer. Miller et al. NEJM 2007;357:2666-76.</t>
  </si>
  <si>
    <t>11.8m PFS vs. 5.9m for chemo alone.</t>
  </si>
  <si>
    <t>Phase III 1L mBC "E2100" - Paclitaxel+-Avastin n=722 from 12/01 to 5/04. NEJM 2009, Miller et al.</t>
  </si>
  <si>
    <t>Survival crossed.</t>
  </si>
  <si>
    <t>Failed to meet OS endpoint: 26.7m vs 25.2m.</t>
  </si>
  <si>
    <t>1L mCRC US Patients</t>
  </si>
  <si>
    <t>1L mCRC EU Patients</t>
  </si>
  <si>
    <t>Bevacizumab plus interferon alfa-2a for treatment of metastatic renal cell carcinoma: a randomized, double-blind phase III trial. Escudier et al. Lancet 2007;370:2103-11.</t>
  </si>
  <si>
    <t>Phase III "AVOREN" n=649 mRCC Escudier et al. Lancet 2007</t>
  </si>
  <si>
    <t>IFN+-Avastin mPFS 10.2m vs 5.4m for monotherapy. C25</t>
  </si>
  <si>
    <t>1L mRCC US Patients</t>
  </si>
  <si>
    <t>1L mRCC EU Patients</t>
  </si>
  <si>
    <t>Market Share</t>
  </si>
  <si>
    <t>1L mRCC ROW Patients</t>
  </si>
  <si>
    <t>Total Patients</t>
  </si>
  <si>
    <t>RCC Revenue</t>
  </si>
  <si>
    <t>Paclitaxel-Carboplatin alone or with bevacizumab for NSCLC. Sandler et al. NEJM 2006;355:2542-50.</t>
  </si>
  <si>
    <t>Phase III "ECOG 4599" n=878 1L mNSCLC Carbo+Tax+-Avastin Sandler et al NEJM 2006 (7/01-4/04)</t>
  </si>
  <si>
    <t>12.3m mOS versus 10.3m mOS for chemotherapy alone.</t>
  </si>
  <si>
    <t>6.2m mPFS versus 4.5m mPFS for chemotherapy alone.</t>
  </si>
  <si>
    <t>4.4% significant bleeding versus 0.7%.</t>
  </si>
  <si>
    <t xml:space="preserve">Phase III "AVAPERL1" </t>
  </si>
  <si>
    <t>Phase III "CAIRO3"</t>
  </si>
  <si>
    <t>High thromboembolism, GI tract perforation, neutropenia, pulmonary hemorrhage, hypertension and impairment of wound healing.</t>
  </si>
  <si>
    <t>Current perspective: bevacizumab in colorectal cancer - a time for reappraisal? Okines et al. Eu J of Cancer 45(2009);2452-2461.</t>
  </si>
  <si>
    <t>Phase III "ECOG 5202"</t>
  </si>
  <si>
    <t>Phase III QUASAR2</t>
  </si>
  <si>
    <t>Phase III "ECOG NSABP-ECOG E5204"</t>
  </si>
  <si>
    <t>77.4% alive at the end of 3 years versus 75.5% for chemo. HR=0.89, p=0.15.</t>
  </si>
  <si>
    <t>1-year of beva treatment, 40% event reduction at one year. HR=0.6, p=0.0004.</t>
  </si>
  <si>
    <t>Bevacizumab plus irinotecan, fluorouracil and leucovorin for metastatic colorectal cancer. Hurwitz et al. NEJM 2004;350:2335-42.</t>
  </si>
  <si>
    <t>Phase III 1L mCRC n=813 Hurwitz et al NEJM 2004</t>
  </si>
  <si>
    <t>20.3m mOS versus 15.6m for placebo.</t>
  </si>
  <si>
    <t>Phase III adjuvant BC "B-46" n=3900 initiated May 2009, January 2022</t>
  </si>
  <si>
    <t>CLL</t>
  </si>
  <si>
    <t>ABT</t>
  </si>
  <si>
    <t>GDC-0973/XL518</t>
  </si>
  <si>
    <t>EXEL</t>
  </si>
  <si>
    <t>RG7415 (rontalizumab)</t>
  </si>
  <si>
    <t>Debt CHF</t>
  </si>
  <si>
    <t>Q110</t>
  </si>
  <si>
    <t>United States</t>
  </si>
  <si>
    <t>Operating Expenses</t>
  </si>
  <si>
    <t>R7273</t>
  </si>
  <si>
    <t>ABCA1 inducer</t>
  </si>
  <si>
    <t>Anti-oxLDL?</t>
  </si>
  <si>
    <t>R7334/BI204/RG7418</t>
  </si>
  <si>
    <t>NMDA?</t>
  </si>
  <si>
    <t>Alzheimer's, Schizophrenia</t>
  </si>
  <si>
    <t>Depression</t>
  </si>
  <si>
    <t>mGluR5</t>
  </si>
  <si>
    <t>MetMab</t>
  </si>
  <si>
    <t>RG7420</t>
  </si>
  <si>
    <t>MEK</t>
  </si>
  <si>
    <t>1H10</t>
  </si>
  <si>
    <t>2H10</t>
  </si>
  <si>
    <t>Study shut down?</t>
  </si>
  <si>
    <t>9/17/2010: mBC ADCOM</t>
  </si>
  <si>
    <t>Phase III AVAGAST - 1L advanced gastric cancer - Data in 2010</t>
  </si>
  <si>
    <t>Phase III GOG-0218 - 1L mOC - Data in 2010</t>
  </si>
  <si>
    <t>Phase III ICON-7 - 1L mOC - Data in 2010</t>
  </si>
  <si>
    <t>S1P1</t>
  </si>
  <si>
    <t>ABT869</t>
  </si>
  <si>
    <t>CFFO</t>
  </si>
  <si>
    <t>P&amp;E</t>
  </si>
  <si>
    <t>FCF</t>
  </si>
  <si>
    <t>Model NI</t>
  </si>
  <si>
    <t>Solid Tumors, MM, AML, NSCLC, BC</t>
  </si>
  <si>
    <t>CDK inhibitor</t>
  </si>
  <si>
    <t>GDC-0068</t>
  </si>
  <si>
    <t>ABT-869</t>
  </si>
  <si>
    <t>RO4998452</t>
  </si>
  <si>
    <t>ANDS, VX-222</t>
  </si>
  <si>
    <t>Debt</t>
  </si>
  <si>
    <t>Maturity</t>
  </si>
  <si>
    <t>Issued</t>
  </si>
  <si>
    <t>Duration</t>
  </si>
  <si>
    <t>Amount</t>
  </si>
  <si>
    <t>Coupon</t>
  </si>
  <si>
    <t>Note</t>
  </si>
  <si>
    <t>Callable, USD</t>
  </si>
  <si>
    <t>Yield</t>
  </si>
  <si>
    <t>Collateral</t>
  </si>
  <si>
    <t>Rating</t>
  </si>
  <si>
    <t>High</t>
  </si>
  <si>
    <t>High Date</t>
  </si>
  <si>
    <t>Low</t>
  </si>
  <si>
    <t>Low Date</t>
  </si>
  <si>
    <t>UST</t>
  </si>
  <si>
    <t>AA-</t>
  </si>
  <si>
    <t>Guarantee</t>
  </si>
  <si>
    <t>30 year</t>
  </si>
  <si>
    <t>2039 Guaranteed Debt</t>
  </si>
  <si>
    <t>Spread</t>
  </si>
  <si>
    <t>2035 Debt</t>
  </si>
  <si>
    <t>Callable, USD, Genentech</t>
  </si>
  <si>
    <t>Sr Unsecured</t>
  </si>
  <si>
    <t>Initial</t>
  </si>
  <si>
    <t>Current</t>
  </si>
  <si>
    <t>2023 Roche Finance Europe</t>
  </si>
  <si>
    <t>Bullet, GBP</t>
  </si>
  <si>
    <t>20 year</t>
  </si>
  <si>
    <t>2021 Roche Euro</t>
  </si>
  <si>
    <t>Bullet, EUR</t>
  </si>
  <si>
    <t>12 year</t>
  </si>
  <si>
    <t>11 year</t>
  </si>
  <si>
    <t>13 year</t>
  </si>
  <si>
    <t>25 year</t>
  </si>
  <si>
    <t>29 year</t>
  </si>
  <si>
    <t>2019 Roche US</t>
  </si>
  <si>
    <t>9 year</t>
  </si>
  <si>
    <t>10 year</t>
  </si>
  <si>
    <t>2017 Roche Swiss</t>
  </si>
  <si>
    <t>Bullet, CHF</t>
  </si>
  <si>
    <t>8 year</t>
  </si>
  <si>
    <t>7 year</t>
  </si>
  <si>
    <t>2016 Roche</t>
  </si>
  <si>
    <t>6 year</t>
  </si>
  <si>
    <t>2015 Roche GBP</t>
  </si>
  <si>
    <t>5 year</t>
  </si>
  <si>
    <t>2015 Genentech Small</t>
  </si>
  <si>
    <t>2015 Genentech</t>
  </si>
  <si>
    <t>Products</t>
  </si>
  <si>
    <t>Accu-Chek Mobile, Accu-Chek Combo</t>
  </si>
  <si>
    <t>Blood Screening, Cobas 4800</t>
  </si>
  <si>
    <t>Cobas 8000, Cobas 6000, CoaguChek</t>
  </si>
  <si>
    <t>Ventana, IHC, In Situ</t>
  </si>
  <si>
    <t>454 Life Sciences, PCR. NimbleGen, xCELLigence</t>
  </si>
  <si>
    <t>Avastin+Chemo+Maintenance Avastin had S.S. improvement in PFS vs chemo alone vs chemo+avastin.</t>
  </si>
  <si>
    <t>14.1 months vs. 10.3, HR=0.72.</t>
  </si>
  <si>
    <t>Failed but showed trends</t>
  </si>
  <si>
    <t>Phase III CALGB-90401 - 1L mHRPC - Data in 2010. - Failed with worse mortality.</t>
  </si>
  <si>
    <t>RG7422/GC-0980</t>
  </si>
  <si>
    <t>GDC-0941/RG7321</t>
  </si>
  <si>
    <t>Long-term paper at 5.25-5.30%, 100bps above Tsys.</t>
  </si>
  <si>
    <t>Management has excellent L-T track record, despite recent changes.</t>
  </si>
  <si>
    <t>Biotech generics still don't have a toehold.</t>
  </si>
  <si>
    <t>Heavy reliance on 3 products with similar ASP profile.</t>
  </si>
  <si>
    <t>Discount (3-1)</t>
  </si>
  <si>
    <t>ROIC</t>
  </si>
  <si>
    <t>Q210</t>
  </si>
  <si>
    <t>750 PC salespeople in the US</t>
  </si>
  <si>
    <t>Phase II/III RITUXVAS - Rituxan versus Cyclophosphamide in ANCA-Associated Renal Vasculitis - NEJM 2010</t>
  </si>
  <si>
    <t>Failed to show superiority on efficacy or safety.</t>
  </si>
  <si>
    <t>Phase III "RAVE" - Rituxan versus Cyclophosphamide for ANCA-Associated Vasculitis - NEJM 2010</t>
  </si>
  <si>
    <t>Non-inferior with 64% efficacy vs. 53% for cyclo. AE similar.</t>
  </si>
  <si>
    <t>Q310</t>
  </si>
  <si>
    <t>Q410</t>
  </si>
  <si>
    <t>Q111</t>
  </si>
  <si>
    <t>Q211</t>
  </si>
  <si>
    <t>Q311</t>
  </si>
  <si>
    <t>Q411</t>
  </si>
  <si>
    <t>Phase II NEOSPHERE - P+H+Chemo vs H+Chemo in aBC - Presented at SABCS 2010</t>
  </si>
  <si>
    <t>46% doublet vs 29% single.</t>
  </si>
  <si>
    <t>R7160/RO5083945</t>
  </si>
  <si>
    <t>1/2011: Taspo returned.</t>
  </si>
  <si>
    <t>International</t>
  </si>
  <si>
    <t>1H11</t>
  </si>
  <si>
    <t>2H11</t>
  </si>
  <si>
    <t>Western Europe</t>
  </si>
  <si>
    <t>Diagnostics y/y</t>
  </si>
  <si>
    <t>R/R CLL</t>
  </si>
  <si>
    <t>Bcl-2</t>
  </si>
  <si>
    <t>NPV</t>
  </si>
  <si>
    <t>Share</t>
  </si>
  <si>
    <t>Return</t>
  </si>
  <si>
    <t>Perjeta (pertuzumab)</t>
  </si>
  <si>
    <t>Dalcetrapib fails.</t>
  </si>
  <si>
    <t>RG7314</t>
  </si>
  <si>
    <t>Autism</t>
  </si>
  <si>
    <t>V1A vasopressin</t>
  </si>
  <si>
    <t>RG7129</t>
  </si>
  <si>
    <t>BACE</t>
  </si>
  <si>
    <t>2012: dalcetrapib fails</t>
  </si>
  <si>
    <t>Erivedge (R7201/GDC-0449)</t>
  </si>
  <si>
    <t>RG3638 (onartuzumab)</t>
  </si>
  <si>
    <t>1H12</t>
  </si>
  <si>
    <t>2H12</t>
  </si>
  <si>
    <t>Q112</t>
  </si>
  <si>
    <t>Q212</t>
  </si>
  <si>
    <t>Q312</t>
  </si>
  <si>
    <t>Q412</t>
  </si>
  <si>
    <t>Zelboraf</t>
  </si>
  <si>
    <t>Rituxan y/y LC</t>
  </si>
  <si>
    <t>Avastin y/y LC</t>
  </si>
  <si>
    <t>Herceptin y/y LC</t>
  </si>
  <si>
    <t>Perjeta</t>
  </si>
  <si>
    <t>Q113</t>
  </si>
  <si>
    <t>Q213</t>
  </si>
  <si>
    <t>Q313</t>
  </si>
  <si>
    <t>Q413</t>
  </si>
  <si>
    <t>Zelboraf (RG7204/PLX4032)</t>
  </si>
  <si>
    <t>ABT-263 (navitoclax) RG7601?</t>
  </si>
  <si>
    <t>Kadcyla (trastuzumab-DM1)</t>
  </si>
  <si>
    <t>July 2013: aleglitazar stopped</t>
  </si>
  <si>
    <t>RG7413 (rhuMab beta-7) (etrolizumab?)</t>
  </si>
  <si>
    <t>RG7412 (crenezumab)</t>
  </si>
  <si>
    <t>Depression (was Alzheimer's)</t>
  </si>
  <si>
    <t>mGluR2/3</t>
  </si>
  <si>
    <t>RG1577</t>
  </si>
  <si>
    <t>RG1578</t>
  </si>
  <si>
    <t>Evotec</t>
  </si>
  <si>
    <t>MAO-B</t>
  </si>
  <si>
    <t>RG1662</t>
  </si>
  <si>
    <t>GABRA5</t>
  </si>
  <si>
    <t>RG7203</t>
  </si>
  <si>
    <t>PDE10A</t>
  </si>
  <si>
    <t>7351, TAAR1 partial agonist for depression, abandoned</t>
  </si>
  <si>
    <t>7166, triple reuptake inhibitor for depression, abandoned.</t>
  </si>
  <si>
    <t>Q114</t>
  </si>
  <si>
    <t>Q214</t>
  </si>
  <si>
    <t>Q314</t>
  </si>
  <si>
    <t>Q414</t>
  </si>
  <si>
    <t>2014: bitopertin (RG1678) fails.</t>
  </si>
  <si>
    <t>Actemra (tocilizumab)</t>
  </si>
  <si>
    <t>Gazyva (obinutuzumab)</t>
  </si>
  <si>
    <t>1H13</t>
  </si>
  <si>
    <t>2H13</t>
  </si>
  <si>
    <t>1H14</t>
  </si>
  <si>
    <t>2H14</t>
  </si>
  <si>
    <t>Kadcyla</t>
  </si>
  <si>
    <t>Erivedge</t>
  </si>
  <si>
    <t>Gazyva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</si>
  <si>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</si>
  <si>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</si>
  <si>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</si>
  <si>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</si>
  <si>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</si>
  <si>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</si>
  <si>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</si>
  <si>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</si>
  <si>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</si>
  <si>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</si>
  <si>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</si>
  <si>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</si>
  <si>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</si>
  <si>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</si>
  <si>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</si>
  <si>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</si>
  <si>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</si>
  <si>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</si>
  <si>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</si>
  <si>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</si>
  <si>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</si>
  <si>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</si>
  <si>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</si>
  <si>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</si>
  <si>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</si>
  <si>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</si>
  <si>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</si>
  <si>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</si>
  <si>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</si>
  <si>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</si>
  <si>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</si>
  <si>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</si>
  <si>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Ocrevus</t>
  </si>
  <si>
    <t>Hemlibra</t>
  </si>
  <si>
    <t>Tecentriq</t>
  </si>
  <si>
    <t>Ronapreve</t>
  </si>
  <si>
    <t>Alecensa</t>
  </si>
  <si>
    <t>Esbriet</t>
  </si>
  <si>
    <t>Evrysdi</t>
  </si>
  <si>
    <t>Phesgo</t>
  </si>
  <si>
    <t>Polivy</t>
  </si>
  <si>
    <t>Enspryng</t>
  </si>
  <si>
    <t>Vabysmo</t>
  </si>
  <si>
    <t>Rozlytrek</t>
  </si>
  <si>
    <t>Cotellic</t>
  </si>
  <si>
    <t>Gavreto</t>
  </si>
  <si>
    <t>Xofluza</t>
  </si>
  <si>
    <t>Susivmo</t>
  </si>
  <si>
    <t>Headcount</t>
  </si>
  <si>
    <t>Cash</t>
  </si>
  <si>
    <t>Tecentriq (atezolizumab)</t>
  </si>
  <si>
    <t>Oncology</t>
  </si>
  <si>
    <t>PD-1 mab</t>
  </si>
  <si>
    <t>Brand</t>
  </si>
  <si>
    <t>Generic</t>
  </si>
  <si>
    <t>atezolizumab</t>
  </si>
  <si>
    <t>ES-SCLC (CHMP recommended approval)</t>
  </si>
  <si>
    <t>MOA</t>
  </si>
  <si>
    <t>oseltamivir</t>
  </si>
  <si>
    <t>Gilead</t>
  </si>
  <si>
    <t>Hemophilia</t>
  </si>
  <si>
    <t>valganciclovir</t>
  </si>
  <si>
    <t>Ocrevus (ocrelizumab)</t>
  </si>
  <si>
    <t>Departures</t>
  </si>
  <si>
    <t>CEO of Pharma, Retired.</t>
  </si>
  <si>
    <t>Roche COO Pharma, became CEO of AZN.</t>
  </si>
  <si>
    <t>Roche COO Diagnostics, became CEO of GILD.</t>
  </si>
  <si>
    <t>Genentech SVP, Global Head of Clinical Development in Hematology/Oncology, promoted to CMO/Head of Global Product Development</t>
  </si>
  <si>
    <t>Carboplatin+Etoposide vs. Tecentriq+carboplatin+etoposide</t>
  </si>
  <si>
    <t>median OS 12.3 vs. 10.3 months, HR=0.70</t>
  </si>
  <si>
    <t>median PFS 5.2 vs. 4.3 months, HR=0.77</t>
  </si>
  <si>
    <t>Phase III "IMpower133" n=403 1L ES-SCLC</t>
  </si>
  <si>
    <t xml:space="preserve">  SCLC accounts for 15% of all lung cancer, with 70% in extensive stage. 1.76m deaths every year due to lung cancer, WW.</t>
  </si>
  <si>
    <t>7/26/2019: CHMP recommends Tecentriq for 1L ES-SCLC</t>
  </si>
  <si>
    <t>7/26/2019: CHMP recommends Tecentriq for 1L NSCLC</t>
  </si>
  <si>
    <t>median OS 18.6 vs. 13.9 months, HR=0.79, p=0.033</t>
  </si>
  <si>
    <t>median PFS 7.0 vs. 5.5 months, HR=0.64, p&lt;0.0001</t>
  </si>
  <si>
    <t>Tecentriq+carboplatin+nab-paclitaxel vs. carboplatin+nab-paclitaxel</t>
  </si>
  <si>
    <t>no EGFRm or ALK+, stage IV, 2:1 randomization</t>
  </si>
  <si>
    <t>Phase III "IMpower130" n=723 1L nsNSCLC</t>
  </si>
  <si>
    <t>49.2% ORR vs. 31.9%, mDOR 8.4 months vs. 6.1 months</t>
  </si>
  <si>
    <t>8/23/2022: Launches Digital LightCycler System (PCR)</t>
  </si>
  <si>
    <t>PCR</t>
  </si>
  <si>
    <t>Digital LightCycler</t>
  </si>
  <si>
    <t>Ultra-rare/sensitive</t>
  </si>
  <si>
    <t>CEO Diagnostics: Thomas Schinecker</t>
  </si>
  <si>
    <t>Polivy (polatuzumab vedotin)</t>
  </si>
  <si>
    <t>SGEN</t>
  </si>
  <si>
    <t>ADC</t>
  </si>
  <si>
    <t>CD79b ADC</t>
  </si>
  <si>
    <t>DLBCL</t>
  </si>
  <si>
    <t>polatuzumab vedotin</t>
  </si>
  <si>
    <t>P+R-CHP vs. R-CHOP</t>
  </si>
  <si>
    <t>Phase III "POLARIX" n=879 1L DLBCL - NCT03274492</t>
  </si>
  <si>
    <t>TTP HR=0.73, 28.2 months follow-up</t>
  </si>
  <si>
    <t>CMO: Levi Garraway</t>
  </si>
  <si>
    <t>8/16/2022: FDA accepted POLARIX sBLA for Polivy</t>
  </si>
  <si>
    <t>R/R DLBCL, 1L DLBCL is approved by EC, PDUFA 4/2/23.</t>
  </si>
  <si>
    <t>1H15</t>
  </si>
  <si>
    <t>2H15</t>
  </si>
  <si>
    <t>1H16</t>
  </si>
  <si>
    <t>2H16</t>
  </si>
  <si>
    <t>1H17</t>
  </si>
  <si>
    <t>2H17</t>
  </si>
  <si>
    <t>1H18</t>
  </si>
  <si>
    <t>2H18</t>
  </si>
  <si>
    <t>1H19</t>
  </si>
  <si>
    <t>2H19</t>
  </si>
  <si>
    <t>1H20</t>
  </si>
  <si>
    <t>2H20</t>
  </si>
  <si>
    <t>1H21</t>
  </si>
  <si>
    <t>2H21</t>
  </si>
  <si>
    <t>1H22</t>
  </si>
  <si>
    <t>2H22</t>
  </si>
  <si>
    <t>Q123</t>
  </si>
  <si>
    <t>Q223</t>
  </si>
  <si>
    <t>Q323</t>
  </si>
  <si>
    <t>Q423</t>
  </si>
  <si>
    <t>DMD</t>
  </si>
  <si>
    <t>Outlicensed to Noema Pharma</t>
  </si>
  <si>
    <t>RG7090 (basimglurant)</t>
  </si>
  <si>
    <t>R7201 (tofogliflozin)</t>
  </si>
  <si>
    <t>LLY</t>
  </si>
  <si>
    <t>RG6026 (glofitamab)</t>
  </si>
  <si>
    <t>CD20xCD3</t>
  </si>
  <si>
    <t>TIGIT</t>
  </si>
  <si>
    <t>RG6076</t>
  </si>
  <si>
    <t>CD19-4-1BBL</t>
  </si>
  <si>
    <t>R/R BCL</t>
  </si>
  <si>
    <t>RG6007</t>
  </si>
  <si>
    <t>HLA-A2-WT1xCD3</t>
  </si>
  <si>
    <t>Bispecific</t>
  </si>
  <si>
    <t>AML</t>
  </si>
  <si>
    <t>R7417 (lampalizumab)</t>
  </si>
  <si>
    <t>Tecentriq, fka RG7446</t>
  </si>
  <si>
    <t>RG6129</t>
  </si>
  <si>
    <t>HLA-A2-MAGE-A4xCD3</t>
  </si>
  <si>
    <t>RG6058 (tiragolumab)</t>
  </si>
  <si>
    <t>delandistrogene moxeparvovec/SRP-9001</t>
  </si>
  <si>
    <t>SRPT</t>
  </si>
  <si>
    <t>fenebrutinib</t>
  </si>
  <si>
    <t>BTK</t>
  </si>
  <si>
    <t>RG1450 (gantenerumab)</t>
  </si>
  <si>
    <t>Lunsumio (mosunetuzumab)</t>
  </si>
  <si>
    <t>3L FL</t>
  </si>
  <si>
    <t>Vabysmo (faricimab)</t>
  </si>
  <si>
    <t>VEGF/Ang2</t>
  </si>
  <si>
    <t>Enspryng (satralizumab)</t>
  </si>
  <si>
    <t>NMOSD</t>
  </si>
  <si>
    <t>Xofluza (baloxavir marboxil)</t>
  </si>
  <si>
    <t>giredestrant</t>
  </si>
  <si>
    <t>SERD</t>
  </si>
  <si>
    <t>Approval</t>
  </si>
  <si>
    <t>Pharmacology</t>
  </si>
  <si>
    <t>8nM CD20</t>
  </si>
  <si>
    <t>Manufacturing</t>
  </si>
  <si>
    <t>CHO</t>
  </si>
  <si>
    <t>IV. SQ approved.</t>
  </si>
  <si>
    <t>US IV 11/26/1997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</si>
</sst>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43" formatCode="_(* #,##0.00_);_(* \(#,##0.00\);_(* &quot;-&quot;??_);_(@_)"/>
    <numFmt numFmtId="164" formatCode="0.0%"/>
    <numFmt numFmtId="165" formatCode="_-* #,##0.00_-;\-* #,##0.00_-;_-* &quot;-&quot;??_-;_-@_-"/>
    <numFmt numFmtId="166" formatCode="&quot;£&quot;#,##0.00;[Red]\-&quot;£&quot;#,##0.00"/>
  </numFmts>
  <fonts count="27">
    <font>
      <sz val="10"/>
      <name val="Arial"/>
    </font>
    <font>
      <sz val="10"/>
      <name val="Arial"/>
      <family val="2"/>
    </font>
    <font>
      <u/>
      <sz val="6"/>
      <color indexed="12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indexed="81"/>
      <name val="Tahoma"/>
      <family val="2"/>
    </font>
    <font>
      <sz val="11"/>
      <color indexed="81"/>
      <name val="Tahoma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6"/>
      <name val="Arial Narrow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MS Sans Serif"/>
      <family val="2"/>
    </font>
    <font>
      <sz val="10"/>
      <name val="Helv"/>
    </font>
    <font>
      <b/>
      <sz val="11"/>
      <color indexed="10"/>
      <name val="Verdana"/>
      <family val="2"/>
    </font>
    <font>
      <u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0" fillId="2" borderId="0"/>
    <xf numFmtId="43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  <xf numFmtId="38" fontId="23" fillId="0" borderId="0" applyFont="0" applyFill="0" applyBorder="0" applyAlignment="0" applyProtection="0"/>
    <xf numFmtId="4" fontId="24" fillId="0" borderId="0" applyFont="0" applyFill="0" applyBorder="0" applyAlignment="0" applyProtection="0"/>
    <xf numFmtId="0" fontId="25" fillId="0" borderId="0"/>
    <xf numFmtId="0" fontId="24" fillId="0" borderId="0"/>
    <xf numFmtId="6" fontId="23" fillId="0" borderId="0" applyFont="0" applyFill="0" applyBorder="0" applyAlignment="0" applyProtection="0"/>
    <xf numFmtId="166" fontId="24" fillId="0" borderId="0" applyFont="0" applyFill="0" applyBorder="0" applyAlignment="0" applyProtection="0"/>
  </cellStyleXfs>
  <cellXfs count="124">
    <xf numFmtId="0" fontId="0" fillId="0" borderId="0" xfId="0"/>
    <xf numFmtId="0" fontId="7" fillId="0" borderId="0" xfId="0" applyFont="1"/>
    <xf numFmtId="0" fontId="1" fillId="0" borderId="0" xfId="0" applyFont="1"/>
    <xf numFmtId="0" fontId="1" fillId="4" borderId="0" xfId="0" applyFont="1" applyFill="1"/>
    <xf numFmtId="0" fontId="19" fillId="4" borderId="0" xfId="0" applyFont="1" applyFill="1"/>
    <xf numFmtId="0" fontId="0" fillId="4" borderId="0" xfId="0" applyFill="1"/>
    <xf numFmtId="0" fontId="1" fillId="4" borderId="3" xfId="0" applyFont="1" applyFill="1" applyBorder="1"/>
    <xf numFmtId="0" fontId="18" fillId="4" borderId="4" xfId="4" applyFont="1" applyFill="1" applyBorder="1" applyAlignment="1" applyProtection="1"/>
    <xf numFmtId="0" fontId="19" fillId="4" borderId="4" xfId="0" applyFont="1" applyFill="1" applyBorder="1"/>
    <xf numFmtId="0" fontId="1" fillId="4" borderId="2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9" fillId="4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8" fillId="4" borderId="0" xfId="4" applyFont="1" applyFill="1" applyAlignment="1" applyProtection="1"/>
    <xf numFmtId="9" fontId="19" fillId="4" borderId="0" xfId="0" applyNumberFormat="1" applyFont="1" applyFill="1" applyAlignment="1">
      <alignment horizontal="center"/>
    </xf>
    <xf numFmtId="0" fontId="7" fillId="4" borderId="0" xfId="0" applyFont="1" applyFill="1"/>
    <xf numFmtId="0" fontId="5" fillId="4" borderId="0" xfId="0" applyFont="1" applyFill="1"/>
    <xf numFmtId="0" fontId="3" fillId="4" borderId="0" xfId="0" applyFont="1" applyFill="1"/>
    <xf numFmtId="0" fontId="6" fillId="4" borderId="0" xfId="0" applyFont="1" applyFill="1"/>
    <xf numFmtId="4" fontId="1" fillId="4" borderId="0" xfId="0" applyNumberFormat="1" applyFont="1" applyFill="1"/>
    <xf numFmtId="3" fontId="1" fillId="4" borderId="0" xfId="0" applyNumberFormat="1" applyFont="1" applyFill="1"/>
    <xf numFmtId="3" fontId="19" fillId="4" borderId="0" xfId="0" applyNumberFormat="1" applyFont="1" applyFill="1"/>
    <xf numFmtId="9" fontId="19" fillId="4" borderId="1" xfId="0" applyNumberFormat="1" applyFont="1" applyFill="1" applyBorder="1" applyAlignment="1">
      <alignment horizontal="center"/>
    </xf>
    <xf numFmtId="3" fontId="7" fillId="4" borderId="0" xfId="0" applyNumberFormat="1" applyFont="1" applyFill="1" applyAlignment="1">
      <alignment horizontal="right"/>
    </xf>
    <xf numFmtId="3" fontId="3" fillId="4" borderId="0" xfId="0" applyNumberFormat="1" applyFont="1" applyFill="1" applyAlignment="1">
      <alignment horizontal="right"/>
    </xf>
    <xf numFmtId="3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center"/>
    </xf>
    <xf numFmtId="3" fontId="3" fillId="4" borderId="0" xfId="2" applyNumberFormat="1" applyFont="1" applyFill="1" applyBorder="1" applyAlignment="1">
      <alignment horizontal="right"/>
    </xf>
    <xf numFmtId="164" fontId="7" fillId="4" borderId="0" xfId="5" applyNumberFormat="1" applyFont="1" applyFill="1" applyBorder="1" applyAlignment="1">
      <alignment horizontal="right"/>
    </xf>
    <xf numFmtId="164" fontId="3" fillId="4" borderId="0" xfId="5" applyNumberFormat="1" applyFont="1" applyFill="1" applyBorder="1" applyAlignment="1">
      <alignment horizontal="right"/>
    </xf>
    <xf numFmtId="0" fontId="7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3" fontId="7" fillId="4" borderId="0" xfId="2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/>
    </xf>
    <xf numFmtId="0" fontId="18" fillId="4" borderId="0" xfId="4" applyFont="1" applyFill="1" applyBorder="1" applyAlignment="1" applyProtection="1"/>
    <xf numFmtId="0" fontId="1" fillId="4" borderId="5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9" fontId="7" fillId="4" borderId="0" xfId="0" applyNumberFormat="1" applyFont="1" applyFill="1" applyAlignment="1">
      <alignment horizontal="center"/>
    </xf>
    <xf numFmtId="0" fontId="4" fillId="4" borderId="4" xfId="4" applyFont="1" applyFill="1" applyBorder="1" applyAlignment="1" applyProtection="1"/>
    <xf numFmtId="0" fontId="4" fillId="0" borderId="0" xfId="4" applyFont="1" applyAlignment="1" applyProtection="1"/>
    <xf numFmtId="0" fontId="5" fillId="0" borderId="0" xfId="0" applyFont="1"/>
    <xf numFmtId="9" fontId="1" fillId="4" borderId="0" xfId="0" applyNumberFormat="1" applyFont="1" applyFill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7" fillId="4" borderId="4" xfId="0" applyFont="1" applyFill="1" applyBorder="1"/>
    <xf numFmtId="0" fontId="7" fillId="4" borderId="0" xfId="0" applyFont="1" applyFill="1" applyAlignment="1">
      <alignment horizontal="right"/>
    </xf>
    <xf numFmtId="0" fontId="7" fillId="4" borderId="0" xfId="2" applyNumberFormat="1" applyFont="1" applyFill="1" applyBorder="1" applyAlignment="1">
      <alignment horizontal="right"/>
    </xf>
    <xf numFmtId="0" fontId="5" fillId="4" borderId="0" xfId="0" applyFont="1" applyFill="1" applyAlignment="1">
      <alignment horizontal="right"/>
    </xf>
    <xf numFmtId="3" fontId="5" fillId="4" borderId="0" xfId="2" applyNumberFormat="1" applyFont="1" applyFill="1" applyBorder="1" applyAlignment="1">
      <alignment horizontal="right"/>
    </xf>
    <xf numFmtId="0" fontId="3" fillId="4" borderId="0" xfId="0" applyFont="1" applyFill="1" applyAlignment="1">
      <alignment horizontal="right"/>
    </xf>
    <xf numFmtId="4" fontId="3" fillId="4" borderId="0" xfId="2" applyNumberFormat="1" applyFont="1" applyFill="1" applyBorder="1" applyAlignment="1">
      <alignment horizontal="right"/>
    </xf>
    <xf numFmtId="4" fontId="7" fillId="4" borderId="0" xfId="2" applyNumberFormat="1" applyFont="1" applyFill="1" applyBorder="1" applyAlignment="1">
      <alignment horizontal="right"/>
    </xf>
    <xf numFmtId="9" fontId="7" fillId="4" borderId="0" xfId="2" applyNumberFormat="1" applyFont="1" applyFill="1" applyBorder="1" applyAlignment="1">
      <alignment horizontal="right"/>
    </xf>
    <xf numFmtId="0" fontId="1" fillId="4" borderId="0" xfId="0" applyFont="1" applyFill="1" applyAlignment="1">
      <alignment horizontal="right"/>
    </xf>
    <xf numFmtId="0" fontId="1" fillId="4" borderId="4" xfId="0" applyFont="1" applyFill="1" applyBorder="1"/>
    <xf numFmtId="3" fontId="1" fillId="4" borderId="0" xfId="0" applyNumberFormat="1" applyFont="1" applyFill="1" applyAlignment="1">
      <alignment horizontal="right"/>
    </xf>
    <xf numFmtId="17" fontId="0" fillId="4" borderId="0" xfId="0" applyNumberFormat="1" applyFill="1"/>
    <xf numFmtId="0" fontId="4" fillId="6" borderId="0" xfId="4" applyFont="1" applyFill="1" applyAlignment="1" applyProtection="1"/>
    <xf numFmtId="0" fontId="0" fillId="6" borderId="0" xfId="0" applyFill="1"/>
    <xf numFmtId="0" fontId="1" fillId="6" borderId="0" xfId="0" applyFont="1" applyFill="1"/>
    <xf numFmtId="17" fontId="0" fillId="6" borderId="0" xfId="0" applyNumberFormat="1" applyFill="1"/>
    <xf numFmtId="0" fontId="4" fillId="4" borderId="0" xfId="4" applyFont="1" applyFill="1" applyAlignment="1" applyProtection="1"/>
    <xf numFmtId="0" fontId="1" fillId="4" borderId="6" xfId="0" applyFont="1" applyFill="1" applyBorder="1"/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9" fontId="0" fillId="0" borderId="0" xfId="0" applyNumberFormat="1" applyAlignment="1">
      <alignment horizontal="right"/>
    </xf>
    <xf numFmtId="3" fontId="0" fillId="4" borderId="0" xfId="0" applyNumberFormat="1" applyFill="1" applyAlignment="1">
      <alignment horizontal="right"/>
    </xf>
    <xf numFmtId="3" fontId="7" fillId="4" borderId="0" xfId="2" applyNumberFormat="1" applyFont="1" applyFill="1" applyAlignment="1">
      <alignment horizontal="right"/>
    </xf>
    <xf numFmtId="3" fontId="1" fillId="4" borderId="0" xfId="2" applyNumberFormat="1" applyFont="1" applyFill="1" applyBorder="1" applyAlignment="1">
      <alignment horizontal="right"/>
    </xf>
    <xf numFmtId="3" fontId="3" fillId="4" borderId="0" xfId="2" quotePrefix="1" applyNumberFormat="1" applyFont="1" applyFill="1" applyBorder="1" applyAlignment="1">
      <alignment horizontal="right"/>
    </xf>
    <xf numFmtId="3" fontId="7" fillId="4" borderId="0" xfId="2" quotePrefix="1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3" fontId="7" fillId="3" borderId="0" xfId="2" applyNumberFormat="1" applyFont="1" applyFill="1" applyBorder="1" applyAlignment="1">
      <alignment horizontal="right"/>
    </xf>
    <xf numFmtId="164" fontId="3" fillId="2" borderId="0" xfId="5" applyNumberFormat="1" applyFont="1" applyFill="1" applyBorder="1" applyAlignment="1">
      <alignment horizontal="right"/>
    </xf>
    <xf numFmtId="164" fontId="7" fillId="4" borderId="0" xfId="5" quotePrefix="1" applyNumberFormat="1" applyFont="1" applyFill="1" applyBorder="1" applyAlignment="1">
      <alignment horizontal="right"/>
    </xf>
    <xf numFmtId="164" fontId="3" fillId="4" borderId="0" xfId="5" quotePrefix="1" applyNumberFormat="1" applyFont="1" applyFill="1" applyBorder="1" applyAlignment="1">
      <alignment horizontal="right"/>
    </xf>
    <xf numFmtId="0" fontId="1" fillId="4" borderId="0" xfId="6" applyFill="1"/>
    <xf numFmtId="0" fontId="5" fillId="4" borderId="0" xfId="6" applyFont="1" applyFill="1"/>
    <xf numFmtId="0" fontId="4" fillId="4" borderId="0" xfId="7" applyFill="1" applyAlignment="1" applyProtection="1"/>
    <xf numFmtId="9" fontId="3" fillId="4" borderId="0" xfId="0" applyNumberFormat="1" applyFont="1" applyFill="1" applyAlignment="1">
      <alignment horizontal="right"/>
    </xf>
    <xf numFmtId="164" fontId="1" fillId="4" borderId="0" xfId="5" quotePrefix="1" applyNumberFormat="1" applyFont="1" applyFill="1" applyBorder="1" applyAlignment="1">
      <alignment horizontal="right"/>
    </xf>
    <xf numFmtId="164" fontId="1" fillId="4" borderId="0" xfId="5" applyNumberFormat="1" applyFont="1" applyFill="1" applyBorder="1" applyAlignment="1">
      <alignment horizontal="right"/>
    </xf>
    <xf numFmtId="9" fontId="1" fillId="4" borderId="0" xfId="0" applyNumberFormat="1" applyFont="1" applyFill="1" applyAlignment="1">
      <alignment horizontal="right"/>
    </xf>
    <xf numFmtId="0" fontId="1" fillId="4" borderId="5" xfId="0" applyFont="1" applyFill="1" applyBorder="1" applyAlignment="1">
      <alignment horizontal="right"/>
    </xf>
    <xf numFmtId="0" fontId="19" fillId="4" borderId="5" xfId="0" applyFont="1" applyFill="1" applyBorder="1" applyAlignment="1">
      <alignment horizontal="right"/>
    </xf>
    <xf numFmtId="0" fontId="7" fillId="4" borderId="5" xfId="0" applyFont="1" applyFill="1" applyBorder="1" applyAlignment="1">
      <alignment horizontal="right"/>
    </xf>
    <xf numFmtId="0" fontId="19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4" fontId="7" fillId="4" borderId="0" xfId="2" applyNumberFormat="1" applyFont="1" applyFill="1" applyBorder="1" applyAlignment="1">
      <alignment horizontal="left"/>
    </xf>
    <xf numFmtId="3" fontId="0" fillId="0" borderId="0" xfId="0" applyNumberFormat="1"/>
    <xf numFmtId="9" fontId="0" fillId="0" borderId="0" xfId="0" applyNumberFormat="1"/>
    <xf numFmtId="0" fontId="3" fillId="0" borderId="0" xfId="0" applyFont="1"/>
    <xf numFmtId="3" fontId="3" fillId="0" borderId="0" xfId="0" applyNumberFormat="1" applyFont="1"/>
    <xf numFmtId="0" fontId="0" fillId="4" borderId="0" xfId="0" applyFill="1" applyAlignment="1">
      <alignment horizontal="right"/>
    </xf>
    <xf numFmtId="9" fontId="0" fillId="4" borderId="0" xfId="0" applyNumberFormat="1" applyFill="1" applyAlignment="1">
      <alignment horizontal="right"/>
    </xf>
    <xf numFmtId="4" fontId="0" fillId="4" borderId="0" xfId="0" applyNumberFormat="1" applyFill="1" applyAlignment="1">
      <alignment horizontal="right"/>
    </xf>
    <xf numFmtId="0" fontId="3" fillId="4" borderId="4" xfId="0" applyFont="1" applyFill="1" applyBorder="1"/>
    <xf numFmtId="9" fontId="3" fillId="4" borderId="0" xfId="0" applyNumberFormat="1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9" fontId="5" fillId="4" borderId="0" xfId="0" applyNumberFormat="1" applyFont="1" applyFill="1" applyAlignment="1">
      <alignment horizontal="right"/>
    </xf>
    <xf numFmtId="10" fontId="0" fillId="0" borderId="0" xfId="0" applyNumberFormat="1"/>
    <xf numFmtId="14" fontId="0" fillId="0" borderId="0" xfId="0" applyNumberFormat="1"/>
    <xf numFmtId="14" fontId="1" fillId="0" borderId="0" xfId="0" applyNumberFormat="1" applyFont="1"/>
    <xf numFmtId="0" fontId="26" fillId="4" borderId="0" xfId="0" applyFont="1" applyFill="1"/>
    <xf numFmtId="9" fontId="7" fillId="4" borderId="0" xfId="0" applyNumberFormat="1" applyFont="1" applyFill="1" applyAlignment="1">
      <alignment horizontal="right"/>
    </xf>
    <xf numFmtId="3" fontId="3" fillId="4" borderId="0" xfId="3" applyNumberFormat="1" applyFont="1" applyFill="1" applyBorder="1" applyAlignment="1">
      <alignment horizontal="right"/>
    </xf>
    <xf numFmtId="3" fontId="3" fillId="5" borderId="0" xfId="3" applyNumberFormat="1" applyFont="1" applyFill="1" applyBorder="1" applyAlignment="1">
      <alignment horizontal="right"/>
    </xf>
    <xf numFmtId="3" fontId="8" fillId="4" borderId="0" xfId="0" applyNumberFormat="1" applyFont="1" applyFill="1" applyAlignment="1">
      <alignment horizontal="right"/>
    </xf>
    <xf numFmtId="3" fontId="8" fillId="5" borderId="0" xfId="0" applyNumberFormat="1" applyFont="1" applyFill="1" applyAlignment="1">
      <alignment horizontal="right"/>
    </xf>
    <xf numFmtId="3" fontId="7" fillId="4" borderId="0" xfId="3" applyNumberFormat="1" applyFont="1" applyFill="1" applyBorder="1" applyAlignment="1">
      <alignment horizontal="right"/>
    </xf>
    <xf numFmtId="4" fontId="19" fillId="4" borderId="0" xfId="0" applyNumberFormat="1" applyFont="1" applyFill="1"/>
    <xf numFmtId="3" fontId="7" fillId="4" borderId="0" xfId="2" applyNumberFormat="1" applyFont="1" applyFill="1" applyBorder="1" applyAlignment="1"/>
    <xf numFmtId="9" fontId="5" fillId="4" borderId="0" xfId="0" applyNumberFormat="1" applyFont="1" applyFill="1"/>
    <xf numFmtId="164" fontId="3" fillId="7" borderId="0" xfId="5" applyNumberFormat="1" applyFont="1" applyFill="1" applyBorder="1" applyAlignment="1">
      <alignment horizontal="right"/>
    </xf>
    <xf numFmtId="4" fontId="1" fillId="4" borderId="0" xfId="2" applyNumberFormat="1" applyFont="1" applyFill="1" applyBorder="1" applyAlignment="1">
      <alignment horizontal="left"/>
    </xf>
    <xf numFmtId="0" fontId="2" fillId="0" borderId="0" xfId="4" applyAlignment="1" applyProtection="1"/>
    <xf numFmtId="0" fontId="26" fillId="4" borderId="0" xfId="0" applyFont="1" applyFill="1" applyAlignment="1">
      <alignment horizontal="center"/>
    </xf>
    <xf numFmtId="0" fontId="26" fillId="4" borderId="0" xfId="0" applyFont="1" applyFill="1" applyAlignment="1">
      <alignment horizontal="right"/>
    </xf>
    <xf numFmtId="14" fontId="1" fillId="4" borderId="0" xfId="0" applyNumberFormat="1" applyFont="1" applyFill="1" applyAlignment="1">
      <alignment horizontal="left"/>
    </xf>
    <xf numFmtId="14" fontId="19" fillId="4" borderId="0" xfId="0" applyNumberFormat="1" applyFont="1" applyFill="1" applyAlignment="1">
      <alignment horizontal="center"/>
    </xf>
    <xf numFmtId="0" fontId="1" fillId="4" borderId="4" xfId="4" applyFont="1" applyFill="1" applyBorder="1" applyAlignment="1" applyProtection="1"/>
    <xf numFmtId="0" fontId="1" fillId="4" borderId="5" xfId="0" applyFont="1" applyFill="1" applyBorder="1"/>
    <xf numFmtId="0" fontId="3" fillId="4" borderId="0" xfId="0" applyFont="1" applyFill="1" applyAlignment="1">
      <alignment horizontal="center"/>
    </xf>
    <xf numFmtId="14" fontId="1" fillId="4" borderId="0" xfId="0" applyNumberFormat="1" applyFont="1" applyFill="1" applyAlignment="1">
      <alignment horizontal="center"/>
    </xf>
  </cellXfs>
  <cellStyles count="14">
    <cellStyle name="Chart Fonts" xfId="1" xr:uid="{00000000-0005-0000-0000-000000000000}"/>
    <cellStyle name="Comma" xfId="2" builtinId="3"/>
    <cellStyle name="Comma_Sheet4" xfId="3" xr:uid="{00000000-0005-0000-0000-000002000000}"/>
    <cellStyle name="Dezimal [0]_ALTGGV" xfId="8" xr:uid="{00000000-0005-0000-0000-000003000000}"/>
    <cellStyle name="Dezimal_ALTGGV" xfId="9" xr:uid="{00000000-0005-0000-0000-000004000000}"/>
    <cellStyle name="Heading1" xfId="10" xr:uid="{00000000-0005-0000-0000-000005000000}"/>
    <cellStyle name="Hyperlink" xfId="4" builtinId="8"/>
    <cellStyle name="Hyperlink 2" xfId="7" xr:uid="{00000000-0005-0000-0000-000007000000}"/>
    <cellStyle name="Normal" xfId="0" builtinId="0"/>
    <cellStyle name="Normal 2" xfId="6" xr:uid="{00000000-0005-0000-0000-000009000000}"/>
    <cellStyle name="Percent" xfId="5" builtinId="5"/>
    <cellStyle name="Standard_ALTGGV" xfId="11" xr:uid="{00000000-0005-0000-0000-00000B000000}"/>
    <cellStyle name="Währung [0]_ALTGGV" xfId="12" xr:uid="{00000000-0005-0000-0000-00000C000000}"/>
    <cellStyle name="Währung_ALTGGV" xfId="13" xr:uid="{00000000-0005-0000-0000-00000D000000}"/>
  </cellStyles>
  <dxfs count="0"/>
  <tableStyles count="1" defaultTableStyle="TableStyleMedium9" defaultPivotStyle="PivotStyleLight16">
    <tableStyle name="Invisible" pivot="0" table="0" count="0" xr9:uid="{B67EB15E-B32A-42BE-9CFC-6B81393A85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externalLink" Target="externalLinks/externalLink4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39158</xdr:colOff>
      <xdr:row>0</xdr:row>
      <xdr:rowOff>0</xdr:rowOff>
    </xdr:from>
    <xdr:to>
      <xdr:col>27</xdr:col>
      <xdr:colOff>39158</xdr:colOff>
      <xdr:row>110</xdr:row>
      <xdr:rowOff>9525</xdr:rowOff>
    </xdr:to>
    <xdr:sp macro="" textlink="">
      <xdr:nvSpPr>
        <xdr:cNvPr id="1184" name="Line 58">
          <a:extLst>
            <a:ext uri="{FF2B5EF4-FFF2-40B4-BE49-F238E27FC236}">
              <a16:creationId xmlns:a16="http://schemas.microsoft.com/office/drawing/2014/main" id="{00000000-0008-0000-0300-0000A0040000}"/>
            </a:ext>
          </a:extLst>
        </xdr:cNvPr>
        <xdr:cNvSpPr>
          <a:spLocks noChangeShapeType="1"/>
        </xdr:cNvSpPr>
      </xdr:nvSpPr>
      <xdr:spPr bwMode="auto">
        <a:xfrm>
          <a:off x="15393458" y="0"/>
          <a:ext cx="0" cy="13935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155</xdr:col>
      <xdr:colOff>114300</xdr:colOff>
      <xdr:row>0</xdr:row>
      <xdr:rowOff>0</xdr:rowOff>
    </xdr:from>
    <xdr:to>
      <xdr:col>155</xdr:col>
      <xdr:colOff>114300</xdr:colOff>
      <xdr:row>170</xdr:row>
      <xdr:rowOff>85725</xdr:rowOff>
    </xdr:to>
    <xdr:sp macro="" textlink="">
      <xdr:nvSpPr>
        <xdr:cNvPr id="1185" name="Line 59">
          <a:extLst>
            <a:ext uri="{FF2B5EF4-FFF2-40B4-BE49-F238E27FC236}">
              <a16:creationId xmlns:a16="http://schemas.microsoft.com/office/drawing/2014/main" id="{00000000-0008-0000-0300-0000A1040000}"/>
            </a:ext>
          </a:extLst>
        </xdr:cNvPr>
        <xdr:cNvSpPr>
          <a:spLocks noChangeShapeType="1"/>
        </xdr:cNvSpPr>
      </xdr:nvSpPr>
      <xdr:spPr bwMode="auto">
        <a:xfrm flipH="1">
          <a:off x="67703700" y="0"/>
          <a:ext cx="0" cy="263175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89</xdr:col>
      <xdr:colOff>38100</xdr:colOff>
      <xdr:row>0</xdr:row>
      <xdr:rowOff>0</xdr:rowOff>
    </xdr:from>
    <xdr:to>
      <xdr:col>89</xdr:col>
      <xdr:colOff>39158</xdr:colOff>
      <xdr:row>155</xdr:row>
      <xdr:rowOff>19050</xdr:rowOff>
    </xdr:to>
    <xdr:sp macro="" textlink="">
      <xdr:nvSpPr>
        <xdr:cNvPr id="4" name="Line 58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ShapeType="1"/>
        </xdr:cNvSpPr>
      </xdr:nvSpPr>
      <xdr:spPr bwMode="auto">
        <a:xfrm flipH="1">
          <a:off x="33480375" y="0"/>
          <a:ext cx="1058" cy="20907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124</xdr:col>
      <xdr:colOff>19050</xdr:colOff>
      <xdr:row>0</xdr:row>
      <xdr:rowOff>47625</xdr:rowOff>
    </xdr:from>
    <xdr:to>
      <xdr:col>124</xdr:col>
      <xdr:colOff>19050</xdr:colOff>
      <xdr:row>78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EA03C9A9-7FE1-EC87-3B82-B7183B1EF967}"/>
            </a:ext>
          </a:extLst>
        </xdr:cNvPr>
        <xdr:cNvCxnSpPr/>
      </xdr:nvCxnSpPr>
      <xdr:spPr bwMode="auto">
        <a:xfrm>
          <a:off x="62703075" y="47625"/>
          <a:ext cx="0" cy="11439525"/>
        </a:xfrm>
        <a:prstGeom prst="lin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Alexandra\WIP\idph-exhib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Desktop%20Model%20Folder\2000%20LRP-NEUPOG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016\RSCH1\Health%20Services\hospitals\uhs\MODELS\UH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TROPHIN\Work\research\Porter\GELX\MODELS\CURRENT\GELX1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NANCE\Sammy\WINDOWS\DESKTOP\New%20IL-1ra%20Revenue%20Mode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sum"/>
      <sheetName val="Comps (2)"/>
      <sheetName val="comp"/>
      <sheetName val="pipeline"/>
      <sheetName val="zevalin"/>
      <sheetName val="Sheet1"/>
      <sheetName val="r-trial"/>
      <sheetName val="Sheet3"/>
      <sheetName val="z-trial"/>
      <sheetName val="table (3)"/>
      <sheetName val="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RP Scenarios"/>
      <sheetName val="Base (SD + no Lerid)"/>
      <sheetName val="Transplant"/>
      <sheetName val="AIDS without approval"/>
      <sheetName val="Scenario Builder"/>
      <sheetName val="stats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rnings model"/>
      <sheetName val="oper stats"/>
      <sheetName val="chts"/>
      <sheetName val="QSUM"/>
      <sheetName val="debt"/>
      <sheetName val="cfo"/>
      <sheetName val="FCF"/>
      <sheetName val="per hospital"/>
      <sheetName val="graphs"/>
      <sheetName val="QSUM 4Q01"/>
      <sheetName val="Sens Inputs"/>
      <sheetName val="Sensitivities"/>
      <sheetName val="dcf"/>
      <sheetName val="Questions (2)"/>
      <sheetName val="segment analysis"/>
      <sheetName val="med mal (2)"/>
      <sheetName val="med mal"/>
      <sheetName val="ovw stats"/>
      <sheetName val="Questions"/>
      <sheetName val="QSUM 1Q02"/>
      <sheetName val="chart I"/>
      <sheetName val="chart 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_Inc"/>
      <sheetName val="Form Prod"/>
      <sheetName val="VALUATION"/>
      <sheetName val="gelxwork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Revenues"/>
      <sheetName val="Scenario Builder"/>
      <sheetName val="LRP Scenario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29822AD-7CF0-4443-937D-C2B9090ACE38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P62" dT="2022-07-08T05:58:42.15" personId="{F29822AD-7CF0-4443-937D-C2B9090ACE38}" id="{4F67C440-F225-48E5-8977-D72DD0D3FDD6}">
    <text>45499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workbookViewId="0">
      <selection activeCell="B2" sqref="B2"/>
    </sheetView>
  </sheetViews>
  <sheetFormatPr defaultRowHeight="12.75"/>
  <cols>
    <col min="1" max="1" width="5" bestFit="1" customWidth="1"/>
    <col min="2" max="2" width="19.140625" bestFit="1" customWidth="1"/>
  </cols>
  <sheetData>
    <row r="1" spans="1:3">
      <c r="A1" s="39" t="s">
        <v>55</v>
      </c>
    </row>
    <row r="2" spans="1:3">
      <c r="B2" s="1" t="s">
        <v>307</v>
      </c>
      <c r="C2" s="2" t="s">
        <v>453</v>
      </c>
    </row>
    <row r="3" spans="1:3">
      <c r="B3" s="1" t="s">
        <v>309</v>
      </c>
      <c r="C3" s="2" t="s">
        <v>454</v>
      </c>
    </row>
    <row r="4" spans="1:3">
      <c r="B4" s="1" t="s">
        <v>332</v>
      </c>
      <c r="C4" s="2" t="s">
        <v>456</v>
      </c>
    </row>
    <row r="5" spans="1:3">
      <c r="B5" s="2" t="s">
        <v>444</v>
      </c>
      <c r="C5" s="2" t="s">
        <v>455</v>
      </c>
    </row>
    <row r="6" spans="1:3">
      <c r="B6" s="2" t="s">
        <v>447</v>
      </c>
      <c r="C6" s="2" t="s">
        <v>506</v>
      </c>
    </row>
    <row r="7" spans="1:3">
      <c r="B7" s="2" t="s">
        <v>449</v>
      </c>
      <c r="C7" s="2" t="s">
        <v>450</v>
      </c>
    </row>
    <row r="8" spans="1:3">
      <c r="B8" s="2" t="s">
        <v>411</v>
      </c>
      <c r="C8" s="2" t="s">
        <v>412</v>
      </c>
    </row>
    <row r="9" spans="1:3">
      <c r="B9" s="2" t="s">
        <v>445</v>
      </c>
      <c r="C9" s="2" t="s">
        <v>446</v>
      </c>
    </row>
    <row r="10" spans="1:3">
      <c r="B10" s="2" t="s">
        <v>417</v>
      </c>
      <c r="C10" s="2" t="s">
        <v>420</v>
      </c>
    </row>
    <row r="11" spans="1:3">
      <c r="B11" s="2" t="s">
        <v>418</v>
      </c>
      <c r="C11" s="2" t="s">
        <v>419</v>
      </c>
    </row>
    <row r="12" spans="1:3">
      <c r="B12" s="2" t="s">
        <v>421</v>
      </c>
      <c r="C12" s="2" t="s">
        <v>422</v>
      </c>
    </row>
    <row r="13" spans="1:3">
      <c r="B13" s="2" t="s">
        <v>451</v>
      </c>
      <c r="C13" s="2" t="s">
        <v>452</v>
      </c>
    </row>
    <row r="19" spans="2:3">
      <c r="B19" s="2" t="s">
        <v>406</v>
      </c>
    </row>
    <row r="20" spans="2:3">
      <c r="B20" s="2" t="s">
        <v>463</v>
      </c>
    </row>
    <row r="22" spans="2:3">
      <c r="B22" s="40" t="s">
        <v>824</v>
      </c>
    </row>
    <row r="23" spans="2:3">
      <c r="B23" s="1" t="s">
        <v>308</v>
      </c>
      <c r="C23" s="2" t="s">
        <v>825</v>
      </c>
    </row>
    <row r="24" spans="2:3">
      <c r="B24" s="1" t="s">
        <v>310</v>
      </c>
      <c r="C24" s="2" t="s">
        <v>826</v>
      </c>
    </row>
    <row r="25" spans="2:3">
      <c r="B25" s="2" t="s">
        <v>448</v>
      </c>
      <c r="C25" s="2" t="s">
        <v>827</v>
      </c>
    </row>
    <row r="26" spans="2:3">
      <c r="B26" s="2" t="s">
        <v>416</v>
      </c>
      <c r="C26" s="2" t="s">
        <v>828</v>
      </c>
    </row>
  </sheetData>
  <hyperlinks>
    <hyperlink ref="A1" location="Main!A1" display="Main" xr:uid="{00000000-0004-0000-0000-00000000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4" sqref="E14"/>
    </sheetView>
  </sheetViews>
  <sheetFormatPr defaultRowHeight="12.75"/>
  <cols>
    <col min="1" max="1" width="5" bestFit="1" customWidth="1"/>
    <col min="2" max="2" width="22.5703125" customWidth="1"/>
    <col min="3" max="26" width="8.7109375" customWidth="1"/>
  </cols>
  <sheetData>
    <row r="1" spans="1:26">
      <c r="A1" s="39" t="s">
        <v>55</v>
      </c>
    </row>
    <row r="3" spans="1:26">
      <c r="C3">
        <v>2005</v>
      </c>
      <c r="D3">
        <v>2006</v>
      </c>
      <c r="E3">
        <f>+D3+1</f>
        <v>2007</v>
      </c>
      <c r="F3">
        <f t="shared" ref="F3:Z3" si="0">+E3+1</f>
        <v>2008</v>
      </c>
      <c r="G3">
        <f t="shared" si="0"/>
        <v>2009</v>
      </c>
      <c r="H3">
        <f t="shared" si="0"/>
        <v>2010</v>
      </c>
      <c r="I3">
        <f t="shared" si="0"/>
        <v>2011</v>
      </c>
      <c r="J3">
        <f t="shared" si="0"/>
        <v>2012</v>
      </c>
      <c r="K3">
        <f t="shared" si="0"/>
        <v>2013</v>
      </c>
      <c r="L3">
        <f t="shared" si="0"/>
        <v>2014</v>
      </c>
      <c r="M3">
        <f t="shared" si="0"/>
        <v>2015</v>
      </c>
      <c r="N3">
        <f t="shared" si="0"/>
        <v>2016</v>
      </c>
      <c r="O3">
        <f t="shared" si="0"/>
        <v>2017</v>
      </c>
      <c r="P3">
        <f t="shared" si="0"/>
        <v>2018</v>
      </c>
      <c r="Q3">
        <f t="shared" si="0"/>
        <v>2019</v>
      </c>
      <c r="R3">
        <f t="shared" si="0"/>
        <v>2020</v>
      </c>
      <c r="S3">
        <f t="shared" si="0"/>
        <v>2021</v>
      </c>
      <c r="T3">
        <f t="shared" si="0"/>
        <v>2022</v>
      </c>
      <c r="U3">
        <f t="shared" si="0"/>
        <v>2023</v>
      </c>
      <c r="V3">
        <f t="shared" si="0"/>
        <v>2024</v>
      </c>
      <c r="W3">
        <f t="shared" si="0"/>
        <v>2025</v>
      </c>
      <c r="X3">
        <f t="shared" si="0"/>
        <v>2026</v>
      </c>
      <c r="Y3">
        <f t="shared" si="0"/>
        <v>2027</v>
      </c>
      <c r="Z3">
        <f t="shared" si="0"/>
        <v>2028</v>
      </c>
    </row>
    <row r="4" spans="1:26">
      <c r="B4" s="2" t="s">
        <v>543</v>
      </c>
    </row>
    <row r="5" spans="1:26">
      <c r="B5" s="2" t="s">
        <v>544</v>
      </c>
    </row>
    <row r="8" spans="1:26">
      <c r="B8" s="2" t="s">
        <v>548</v>
      </c>
      <c r="C8" s="89">
        <v>15000</v>
      </c>
      <c r="D8" s="89">
        <f>C8*1.01</f>
        <v>15150</v>
      </c>
      <c r="E8" s="89">
        <f t="shared" ref="E8:Z8" si="1">D8*1.01</f>
        <v>15301.5</v>
      </c>
      <c r="F8" s="89">
        <f t="shared" si="1"/>
        <v>15454.514999999999</v>
      </c>
      <c r="G8" s="89">
        <f t="shared" si="1"/>
        <v>15609.060149999999</v>
      </c>
      <c r="H8" s="89">
        <f t="shared" si="1"/>
        <v>15765.150751499999</v>
      </c>
      <c r="I8" s="89">
        <f t="shared" si="1"/>
        <v>15922.802259014999</v>
      </c>
      <c r="J8" s="89">
        <f t="shared" si="1"/>
        <v>16082.03028160515</v>
      </c>
      <c r="K8" s="89">
        <f t="shared" si="1"/>
        <v>16242.850584421201</v>
      </c>
      <c r="L8" s="89">
        <f t="shared" si="1"/>
        <v>16405.279090265412</v>
      </c>
      <c r="M8" s="89">
        <f t="shared" si="1"/>
        <v>16569.331881168066</v>
      </c>
      <c r="N8" s="89">
        <f t="shared" si="1"/>
        <v>16735.025199979747</v>
      </c>
      <c r="O8" s="89">
        <f t="shared" si="1"/>
        <v>16902.375451979544</v>
      </c>
      <c r="P8" s="89">
        <f t="shared" si="1"/>
        <v>17071.39920649934</v>
      </c>
      <c r="Q8" s="89">
        <f t="shared" si="1"/>
        <v>17242.113198564333</v>
      </c>
      <c r="R8" s="89">
        <f t="shared" si="1"/>
        <v>17414.534330549977</v>
      </c>
      <c r="S8" s="89">
        <f t="shared" si="1"/>
        <v>17588.679673855477</v>
      </c>
      <c r="T8" s="89">
        <f t="shared" si="1"/>
        <v>17764.566470594033</v>
      </c>
      <c r="U8" s="89">
        <f t="shared" si="1"/>
        <v>17942.212135299975</v>
      </c>
      <c r="V8" s="89">
        <f t="shared" si="1"/>
        <v>18121.634256652975</v>
      </c>
      <c r="W8" s="89">
        <f t="shared" si="1"/>
        <v>18302.850599219506</v>
      </c>
      <c r="X8" s="89">
        <f t="shared" si="1"/>
        <v>18485.879105211701</v>
      </c>
      <c r="Y8" s="89">
        <f t="shared" si="1"/>
        <v>18670.737896263818</v>
      </c>
      <c r="Z8" s="89">
        <f t="shared" si="1"/>
        <v>18857.445275226455</v>
      </c>
    </row>
    <row r="9" spans="1:26">
      <c r="B9" s="2" t="s">
        <v>549</v>
      </c>
      <c r="C9" s="89">
        <v>15000</v>
      </c>
      <c r="D9" s="89">
        <f t="shared" ref="D9:Z9" si="2">C9*1.01</f>
        <v>15150</v>
      </c>
      <c r="E9" s="89">
        <f t="shared" si="2"/>
        <v>15301.5</v>
      </c>
      <c r="F9" s="89">
        <f t="shared" si="2"/>
        <v>15454.514999999999</v>
      </c>
      <c r="G9" s="89">
        <f t="shared" si="2"/>
        <v>15609.060149999999</v>
      </c>
      <c r="H9" s="89">
        <f t="shared" si="2"/>
        <v>15765.150751499999</v>
      </c>
      <c r="I9" s="89">
        <f t="shared" si="2"/>
        <v>15922.802259014999</v>
      </c>
      <c r="J9" s="89">
        <f t="shared" si="2"/>
        <v>16082.03028160515</v>
      </c>
      <c r="K9" s="89">
        <f t="shared" si="2"/>
        <v>16242.850584421201</v>
      </c>
      <c r="L9" s="89">
        <f t="shared" si="2"/>
        <v>16405.279090265412</v>
      </c>
      <c r="M9" s="89">
        <f t="shared" si="2"/>
        <v>16569.331881168066</v>
      </c>
      <c r="N9" s="89">
        <f t="shared" si="2"/>
        <v>16735.025199979747</v>
      </c>
      <c r="O9" s="89">
        <f t="shared" si="2"/>
        <v>16902.375451979544</v>
      </c>
      <c r="P9" s="89">
        <f t="shared" si="2"/>
        <v>17071.39920649934</v>
      </c>
      <c r="Q9" s="89">
        <f t="shared" si="2"/>
        <v>17242.113198564333</v>
      </c>
      <c r="R9" s="89">
        <f t="shared" si="2"/>
        <v>17414.534330549977</v>
      </c>
      <c r="S9" s="89">
        <f t="shared" si="2"/>
        <v>17588.679673855477</v>
      </c>
      <c r="T9" s="89">
        <f t="shared" si="2"/>
        <v>17764.566470594033</v>
      </c>
      <c r="U9" s="89">
        <f t="shared" si="2"/>
        <v>17942.212135299975</v>
      </c>
      <c r="V9" s="89">
        <f t="shared" si="2"/>
        <v>18121.634256652975</v>
      </c>
      <c r="W9" s="89">
        <f t="shared" si="2"/>
        <v>18302.850599219506</v>
      </c>
      <c r="X9" s="89">
        <f t="shared" si="2"/>
        <v>18485.879105211701</v>
      </c>
      <c r="Y9" s="89">
        <f t="shared" si="2"/>
        <v>18670.737896263818</v>
      </c>
      <c r="Z9" s="89">
        <f t="shared" si="2"/>
        <v>18857.445275226455</v>
      </c>
    </row>
    <row r="10" spans="1:26">
      <c r="B10" s="2" t="s">
        <v>551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</row>
    <row r="11" spans="1:26">
      <c r="B11" s="2" t="s">
        <v>552</v>
      </c>
      <c r="C11" s="89">
        <f>SUM(C8:C10)</f>
        <v>30000</v>
      </c>
      <c r="D11" s="89">
        <f t="shared" ref="D11:Z11" si="3">SUM(D8:D10)</f>
        <v>30300</v>
      </c>
      <c r="E11" s="89">
        <f t="shared" si="3"/>
        <v>30603</v>
      </c>
      <c r="F11" s="89">
        <f t="shared" si="3"/>
        <v>30909.03</v>
      </c>
      <c r="G11" s="89">
        <f t="shared" si="3"/>
        <v>31218.120299999999</v>
      </c>
      <c r="H11" s="89">
        <f t="shared" si="3"/>
        <v>31530.301502999999</v>
      </c>
      <c r="I11" s="89">
        <f t="shared" si="3"/>
        <v>31845.604518029999</v>
      </c>
      <c r="J11" s="89">
        <f t="shared" si="3"/>
        <v>32164.0605632103</v>
      </c>
      <c r="K11" s="89">
        <f t="shared" si="3"/>
        <v>32485.701168842403</v>
      </c>
      <c r="L11" s="89">
        <f t="shared" si="3"/>
        <v>32810.558180530825</v>
      </c>
      <c r="M11" s="89">
        <f t="shared" si="3"/>
        <v>33138.663762336131</v>
      </c>
      <c r="N11" s="89">
        <f t="shared" si="3"/>
        <v>33470.050399959495</v>
      </c>
      <c r="O11" s="89">
        <f t="shared" si="3"/>
        <v>33804.750903959088</v>
      </c>
      <c r="P11" s="89">
        <f t="shared" si="3"/>
        <v>34142.79841299868</v>
      </c>
      <c r="Q11" s="89">
        <f t="shared" si="3"/>
        <v>34484.226397128667</v>
      </c>
      <c r="R11" s="89">
        <f t="shared" si="3"/>
        <v>34829.068661099955</v>
      </c>
      <c r="S11" s="89">
        <f t="shared" si="3"/>
        <v>35177.359347710953</v>
      </c>
      <c r="T11" s="89">
        <f t="shared" si="3"/>
        <v>35529.132941188065</v>
      </c>
      <c r="U11" s="89">
        <f t="shared" si="3"/>
        <v>35884.42427059995</v>
      </c>
      <c r="V11" s="89">
        <f t="shared" si="3"/>
        <v>36243.268513305949</v>
      </c>
      <c r="W11" s="89">
        <f t="shared" si="3"/>
        <v>36605.701198439012</v>
      </c>
      <c r="X11" s="89">
        <f t="shared" si="3"/>
        <v>36971.758210423402</v>
      </c>
      <c r="Y11" s="89">
        <f t="shared" si="3"/>
        <v>37341.475792527635</v>
      </c>
      <c r="Z11" s="89">
        <f t="shared" si="3"/>
        <v>37714.89055045291</v>
      </c>
    </row>
    <row r="12" spans="1:26">
      <c r="B12" s="2" t="s">
        <v>550</v>
      </c>
      <c r="C12" s="90">
        <v>0</v>
      </c>
      <c r="D12" s="90">
        <v>0.25</v>
      </c>
      <c r="E12" s="90">
        <v>0.3</v>
      </c>
      <c r="F12" s="90">
        <v>0.35</v>
      </c>
      <c r="G12" s="90">
        <v>0.35</v>
      </c>
      <c r="H12" s="90">
        <v>0.35</v>
      </c>
      <c r="I12" s="90">
        <v>0.35</v>
      </c>
      <c r="J12" s="90">
        <v>0.35</v>
      </c>
      <c r="K12" s="90">
        <v>0.35</v>
      </c>
      <c r="L12" s="90">
        <v>0.35</v>
      </c>
      <c r="M12" s="90">
        <v>0.35</v>
      </c>
      <c r="N12" s="90">
        <v>0.35</v>
      </c>
      <c r="O12" s="90">
        <v>0.35</v>
      </c>
      <c r="P12" s="90">
        <v>0.35</v>
      </c>
      <c r="Q12" s="90">
        <v>0.35</v>
      </c>
      <c r="R12" s="90">
        <v>0.35</v>
      </c>
      <c r="S12" s="90">
        <v>0.35</v>
      </c>
      <c r="T12" s="90">
        <v>0.35</v>
      </c>
      <c r="U12" s="90">
        <v>0.35</v>
      </c>
      <c r="V12" s="90">
        <v>0.35</v>
      </c>
      <c r="W12" s="90">
        <v>0.35</v>
      </c>
      <c r="X12" s="90">
        <v>0.35</v>
      </c>
      <c r="Y12" s="90">
        <v>0.35</v>
      </c>
      <c r="Z12" s="90">
        <v>0.35</v>
      </c>
    </row>
    <row r="13" spans="1:26">
      <c r="B13" s="2" t="s">
        <v>106</v>
      </c>
      <c r="C13">
        <v>50</v>
      </c>
      <c r="D13">
        <v>50</v>
      </c>
      <c r="E13">
        <v>50</v>
      </c>
      <c r="F13">
        <v>50</v>
      </c>
      <c r="G13">
        <v>50</v>
      </c>
      <c r="H13">
        <v>50</v>
      </c>
      <c r="I13">
        <v>50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</row>
    <row r="14" spans="1:26" s="91" customFormat="1">
      <c r="B14" s="91" t="s">
        <v>553</v>
      </c>
      <c r="C14" s="92">
        <f>C13*C12*C9</f>
        <v>0</v>
      </c>
      <c r="D14" s="92">
        <f t="shared" ref="D14:Z14" si="4">D13*D12*D9</f>
        <v>189375</v>
      </c>
      <c r="E14" s="92">
        <f t="shared" si="4"/>
        <v>229522.5</v>
      </c>
      <c r="F14" s="92">
        <f t="shared" si="4"/>
        <v>270454.01250000001</v>
      </c>
      <c r="G14" s="92">
        <f t="shared" si="4"/>
        <v>273158.55262500001</v>
      </c>
      <c r="H14" s="92">
        <f t="shared" si="4"/>
        <v>275890.13815124996</v>
      </c>
      <c r="I14" s="92">
        <f t="shared" si="4"/>
        <v>278649.03953276249</v>
      </c>
      <c r="J14" s="92">
        <f t="shared" si="4"/>
        <v>281435.52992809011</v>
      </c>
      <c r="K14" s="92">
        <f t="shared" si="4"/>
        <v>284249.88522737101</v>
      </c>
      <c r="L14" s="92">
        <f t="shared" si="4"/>
        <v>287092.38407964469</v>
      </c>
      <c r="M14" s="92">
        <f t="shared" si="4"/>
        <v>289963.30792044115</v>
      </c>
      <c r="N14" s="92">
        <f t="shared" si="4"/>
        <v>292862.94099964557</v>
      </c>
      <c r="O14" s="92">
        <f t="shared" si="4"/>
        <v>295791.57040964201</v>
      </c>
      <c r="P14" s="92">
        <f t="shared" si="4"/>
        <v>298749.48611373844</v>
      </c>
      <c r="Q14" s="92">
        <f t="shared" si="4"/>
        <v>301736.98097487586</v>
      </c>
      <c r="R14" s="92">
        <f t="shared" si="4"/>
        <v>304754.35078462458</v>
      </c>
      <c r="S14" s="92">
        <f t="shared" si="4"/>
        <v>307801.89429247082</v>
      </c>
      <c r="T14" s="92">
        <f t="shared" si="4"/>
        <v>310879.91323539556</v>
      </c>
      <c r="U14" s="92">
        <f t="shared" si="4"/>
        <v>313988.71236774954</v>
      </c>
      <c r="V14" s="92">
        <f t="shared" si="4"/>
        <v>317128.59949142707</v>
      </c>
      <c r="W14" s="92">
        <f t="shared" si="4"/>
        <v>320299.88548634137</v>
      </c>
      <c r="X14" s="92">
        <f t="shared" si="4"/>
        <v>323502.88434120477</v>
      </c>
      <c r="Y14" s="92">
        <f t="shared" si="4"/>
        <v>326737.91318461683</v>
      </c>
      <c r="Z14" s="92">
        <f t="shared" si="4"/>
        <v>330005.29231646296</v>
      </c>
    </row>
  </sheetData>
  <hyperlinks>
    <hyperlink ref="A1" location="Main!A1" display="Main" xr:uid="{00000000-0004-0000-07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6E127-785F-4CE6-BD27-DE08806227C3}">
  <dimension ref="A1:C10"/>
  <sheetViews>
    <sheetView zoomScale="160" zoomScaleNormal="160" workbookViewId="0"/>
  </sheetViews>
  <sheetFormatPr defaultRowHeight="12.75"/>
  <cols>
    <col min="1" max="1" width="5" bestFit="1" customWidth="1"/>
  </cols>
  <sheetData>
    <row r="1" spans="1:3">
      <c r="A1" s="39" t="s">
        <v>55</v>
      </c>
    </row>
    <row r="2" spans="1:3">
      <c r="B2" s="2" t="s">
        <v>814</v>
      </c>
      <c r="C2" s="2" t="s">
        <v>801</v>
      </c>
    </row>
    <row r="3" spans="1:3">
      <c r="B3" s="2" t="s">
        <v>815</v>
      </c>
      <c r="C3" s="2" t="s">
        <v>852</v>
      </c>
    </row>
    <row r="4" spans="1:3">
      <c r="B4" s="2" t="s">
        <v>44</v>
      </c>
      <c r="C4" s="2" t="s">
        <v>858</v>
      </c>
    </row>
    <row r="5" spans="1:3">
      <c r="B5" s="2" t="s">
        <v>818</v>
      </c>
      <c r="C5" s="2" t="s">
        <v>850</v>
      </c>
    </row>
    <row r="6" spans="1:3">
      <c r="B6" s="2" t="s">
        <v>65</v>
      </c>
      <c r="C6" s="2" t="s">
        <v>848</v>
      </c>
    </row>
    <row r="7" spans="1:3">
      <c r="B7" s="2" t="s">
        <v>53</v>
      </c>
    </row>
    <row r="8" spans="1:3">
      <c r="C8" s="40" t="s">
        <v>854</v>
      </c>
    </row>
    <row r="9" spans="1:3">
      <c r="C9" s="2" t="s">
        <v>853</v>
      </c>
    </row>
    <row r="10" spans="1:3">
      <c r="C10" s="2" t="s">
        <v>855</v>
      </c>
    </row>
  </sheetData>
  <hyperlinks>
    <hyperlink ref="A1" location="Main!A1" display="Main" xr:uid="{0B2D5550-8E3D-4BF1-A950-6B4377AE2431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3"/>
  <sheetViews>
    <sheetView workbookViewId="0">
      <selection activeCell="C19" sqref="C19"/>
    </sheetView>
  </sheetViews>
  <sheetFormatPr defaultRowHeight="12.75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>
      <c r="A1" s="13" t="s">
        <v>55</v>
      </c>
    </row>
    <row r="2" spans="1:3">
      <c r="B2" s="5" t="s">
        <v>49</v>
      </c>
      <c r="C2" s="5" t="s">
        <v>24</v>
      </c>
    </row>
    <row r="3" spans="1:3">
      <c r="B3" s="5" t="s">
        <v>51</v>
      </c>
      <c r="C3" s="5" t="s">
        <v>260</v>
      </c>
    </row>
    <row r="4" spans="1:3">
      <c r="B4" s="5" t="s">
        <v>44</v>
      </c>
      <c r="C4" s="5" t="s">
        <v>261</v>
      </c>
    </row>
    <row r="5" spans="1:3">
      <c r="B5" s="5" t="s">
        <v>106</v>
      </c>
      <c r="C5" s="15" t="s">
        <v>286</v>
      </c>
    </row>
    <row r="6" spans="1:3">
      <c r="B6" s="5" t="s">
        <v>53</v>
      </c>
    </row>
    <row r="7" spans="1:3">
      <c r="C7" s="16" t="s">
        <v>237</v>
      </c>
    </row>
    <row r="8" spans="1:3">
      <c r="C8" s="5" t="s">
        <v>238</v>
      </c>
    </row>
    <row r="10" spans="1:3">
      <c r="C10" s="16" t="s">
        <v>264</v>
      </c>
    </row>
    <row r="12" spans="1:3">
      <c r="C12" s="16" t="s">
        <v>262</v>
      </c>
    </row>
    <row r="14" spans="1:3">
      <c r="C14" s="16" t="s">
        <v>263</v>
      </c>
    </row>
    <row r="16" spans="1:3">
      <c r="C16" s="16" t="s">
        <v>442</v>
      </c>
    </row>
    <row r="17" spans="2:4">
      <c r="C17" s="3" t="s">
        <v>443</v>
      </c>
    </row>
    <row r="18" spans="2:4">
      <c r="C18" s="15"/>
    </row>
    <row r="19" spans="2:4">
      <c r="C19" s="16" t="s">
        <v>436</v>
      </c>
    </row>
    <row r="21" spans="2:4">
      <c r="B21" s="3" t="s">
        <v>397</v>
      </c>
    </row>
    <row r="22" spans="2:4">
      <c r="C22" s="55">
        <v>39387</v>
      </c>
      <c r="D22" s="5">
        <v>109</v>
      </c>
    </row>
    <row r="23" spans="2:4">
      <c r="C23" s="55">
        <v>39356</v>
      </c>
      <c r="D23" s="5">
        <v>110</v>
      </c>
    </row>
  </sheetData>
  <phoneticPr fontId="17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2"/>
  <sheetViews>
    <sheetView workbookViewId="0"/>
  </sheetViews>
  <sheetFormatPr defaultRowHeight="12.75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>
      <c r="A1" s="13" t="s">
        <v>55</v>
      </c>
    </row>
    <row r="2" spans="1:3">
      <c r="B2" s="5" t="s">
        <v>49</v>
      </c>
      <c r="C2" s="5" t="s">
        <v>34</v>
      </c>
    </row>
    <row r="3" spans="1:3">
      <c r="B3" s="5" t="s">
        <v>51</v>
      </c>
      <c r="C3" s="5" t="s">
        <v>245</v>
      </c>
    </row>
    <row r="4" spans="1:3">
      <c r="B4" s="5" t="s">
        <v>44</v>
      </c>
      <c r="C4" s="5" t="s">
        <v>246</v>
      </c>
    </row>
    <row r="5" spans="1:3">
      <c r="B5" s="5" t="s">
        <v>53</v>
      </c>
    </row>
    <row r="6" spans="1:3">
      <c r="C6" s="16" t="s">
        <v>247</v>
      </c>
    </row>
    <row r="7" spans="1:3">
      <c r="C7" s="5" t="s">
        <v>248</v>
      </c>
    </row>
    <row r="9" spans="1:3">
      <c r="C9" s="16" t="s">
        <v>249</v>
      </c>
    </row>
    <row r="10" spans="1:3">
      <c r="C10" s="5" t="s">
        <v>250</v>
      </c>
    </row>
    <row r="12" spans="1:3">
      <c r="C12" s="16" t="s">
        <v>251</v>
      </c>
    </row>
  </sheetData>
  <phoneticPr fontId="17" type="noConversion"/>
  <hyperlinks>
    <hyperlink ref="A1" location="Main!A1" display="Main" xr:uid="{00000000-0004-0000-0900-000000000000}"/>
  </hyperlinks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4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39" t="s">
        <v>55</v>
      </c>
    </row>
    <row r="2" spans="1:3">
      <c r="B2" s="2" t="s">
        <v>49</v>
      </c>
      <c r="C2" s="2" t="s">
        <v>31</v>
      </c>
    </row>
    <row r="3" spans="1:3">
      <c r="B3" s="2" t="s">
        <v>51</v>
      </c>
      <c r="C3" s="2" t="s">
        <v>510</v>
      </c>
    </row>
    <row r="4" spans="1:3">
      <c r="B4" s="2" t="s">
        <v>74</v>
      </c>
      <c r="C4" s="2" t="s">
        <v>511</v>
      </c>
    </row>
  </sheetData>
  <hyperlinks>
    <hyperlink ref="A1" location="Main!A1" display="Main" xr:uid="{00000000-0004-0000-0A00-00000000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9"/>
  <sheetViews>
    <sheetView workbookViewId="0"/>
  </sheetViews>
  <sheetFormatPr defaultRowHeight="12.75"/>
  <cols>
    <col min="1" max="1" width="5" style="4" bestFit="1" customWidth="1"/>
    <col min="2" max="2" width="12.85546875" style="4" bestFit="1" customWidth="1"/>
    <col min="3" max="16384" width="9.140625" style="4"/>
  </cols>
  <sheetData>
    <row r="1" spans="1:3">
      <c r="A1" s="13" t="s">
        <v>55</v>
      </c>
    </row>
    <row r="2" spans="1:3">
      <c r="B2" s="4" t="s">
        <v>49</v>
      </c>
      <c r="C2" s="4" t="s">
        <v>62</v>
      </c>
    </row>
    <row r="3" spans="1:3">
      <c r="B3" s="4" t="s">
        <v>51</v>
      </c>
      <c r="C3" s="4" t="s">
        <v>210</v>
      </c>
    </row>
    <row r="4" spans="1:3">
      <c r="B4" s="4" t="s">
        <v>66</v>
      </c>
      <c r="C4" s="4" t="s">
        <v>85</v>
      </c>
    </row>
    <row r="5" spans="1:3">
      <c r="B5" s="4" t="s">
        <v>75</v>
      </c>
      <c r="C5" s="4" t="s">
        <v>209</v>
      </c>
    </row>
    <row r="6" spans="1:3">
      <c r="B6" s="15" t="s">
        <v>191</v>
      </c>
      <c r="C6" s="15" t="s">
        <v>311</v>
      </c>
    </row>
    <row r="7" spans="1:3">
      <c r="B7" s="4" t="s">
        <v>53</v>
      </c>
    </row>
    <row r="8" spans="1:3">
      <c r="C8" s="16" t="s">
        <v>217</v>
      </c>
    </row>
    <row r="9" spans="1:3">
      <c r="C9" s="17" t="s">
        <v>213</v>
      </c>
    </row>
    <row r="10" spans="1:3">
      <c r="C10" s="4" t="s">
        <v>214</v>
      </c>
    </row>
    <row r="12" spans="1:3">
      <c r="C12" s="16" t="s">
        <v>212</v>
      </c>
    </row>
    <row r="13" spans="1:3">
      <c r="C13" s="4" t="s">
        <v>215</v>
      </c>
    </row>
    <row r="14" spans="1:3">
      <c r="C14" s="4" t="s">
        <v>216</v>
      </c>
    </row>
    <row r="16" spans="1:3">
      <c r="C16" s="16" t="s">
        <v>501</v>
      </c>
    </row>
    <row r="17" spans="3:3">
      <c r="C17" s="4" t="s">
        <v>242</v>
      </c>
    </row>
    <row r="18" spans="3:3">
      <c r="C18" s="3" t="s">
        <v>500</v>
      </c>
    </row>
    <row r="19" spans="3:3">
      <c r="C19" s="3" t="s">
        <v>502</v>
      </c>
    </row>
  </sheetData>
  <phoneticPr fontId="17" type="noConversion"/>
  <hyperlinks>
    <hyperlink ref="A1" location="Main!A1" display="Main" xr:uid="{00000000-0004-0000-0B00-000000000000}"/>
  </hyperlink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6"/>
  <sheetViews>
    <sheetView workbookViewId="0"/>
  </sheetViews>
  <sheetFormatPr defaultRowHeight="12.75"/>
  <cols>
    <col min="1" max="1" width="5" style="57" bestFit="1" customWidth="1"/>
    <col min="2" max="2" width="11.28515625" style="57" bestFit="1" customWidth="1"/>
    <col min="3" max="16384" width="9.140625" style="57"/>
  </cols>
  <sheetData>
    <row r="1" spans="1:4">
      <c r="A1" s="56" t="s">
        <v>55</v>
      </c>
    </row>
    <row r="2" spans="1:4">
      <c r="B2" s="58" t="s">
        <v>49</v>
      </c>
      <c r="C2" s="58" t="s">
        <v>29</v>
      </c>
    </row>
    <row r="3" spans="1:4">
      <c r="B3" s="58" t="s">
        <v>397</v>
      </c>
    </row>
    <row r="4" spans="1:4">
      <c r="C4" s="59">
        <v>39387</v>
      </c>
      <c r="D4" s="57">
        <v>69</v>
      </c>
    </row>
    <row r="5" spans="1:4">
      <c r="C5" s="59">
        <v>39356</v>
      </c>
      <c r="D5" s="57">
        <v>74</v>
      </c>
    </row>
    <row r="6" spans="1:4">
      <c r="B6" s="58" t="s">
        <v>53</v>
      </c>
    </row>
  </sheetData>
  <hyperlinks>
    <hyperlink ref="A1" location="Main!A1" display="Main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2"/>
  <sheetViews>
    <sheetView workbookViewId="0"/>
  </sheetViews>
  <sheetFormatPr defaultRowHeight="12.75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>
      <c r="A1" s="13" t="s">
        <v>55</v>
      </c>
    </row>
    <row r="2" spans="1:3">
      <c r="B2" s="5" t="s">
        <v>51</v>
      </c>
      <c r="C2" s="5" t="s">
        <v>148</v>
      </c>
    </row>
    <row r="3" spans="1:3">
      <c r="B3" s="5" t="s">
        <v>44</v>
      </c>
      <c r="C3" s="5" t="s">
        <v>236</v>
      </c>
    </row>
    <row r="4" spans="1:3">
      <c r="B4" s="5" t="s">
        <v>66</v>
      </c>
      <c r="C4" s="5" t="s">
        <v>235</v>
      </c>
    </row>
    <row r="5" spans="1:3">
      <c r="B5" s="5" t="s">
        <v>53</v>
      </c>
    </row>
    <row r="6" spans="1:3">
      <c r="C6" s="16" t="s">
        <v>234</v>
      </c>
    </row>
    <row r="8" spans="1:3">
      <c r="C8" s="16" t="s">
        <v>690</v>
      </c>
    </row>
    <row r="9" spans="1:3">
      <c r="C9" s="3" t="s">
        <v>691</v>
      </c>
    </row>
    <row r="11" spans="1:3">
      <c r="C11" s="16" t="s">
        <v>232</v>
      </c>
    </row>
    <row r="12" spans="1:3">
      <c r="C12" s="5" t="s">
        <v>233</v>
      </c>
    </row>
  </sheetData>
  <phoneticPr fontId="17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5"/>
  <sheetViews>
    <sheetView workbookViewId="0"/>
  </sheetViews>
  <sheetFormatPr defaultRowHeight="12.75"/>
  <cols>
    <col min="1" max="1" width="5" style="76" bestFit="1" customWidth="1"/>
    <col min="2" max="2" width="14" style="76" bestFit="1" customWidth="1"/>
    <col min="3" max="16384" width="9.140625" style="76"/>
  </cols>
  <sheetData>
    <row r="1" spans="1:3">
      <c r="A1" s="78" t="s">
        <v>55</v>
      </c>
    </row>
    <row r="2" spans="1:3">
      <c r="B2" s="76" t="s">
        <v>49</v>
      </c>
      <c r="C2" s="76" t="s">
        <v>498</v>
      </c>
    </row>
    <row r="3" spans="1:3">
      <c r="B3" s="76" t="s">
        <v>51</v>
      </c>
      <c r="C3" s="76" t="s">
        <v>497</v>
      </c>
    </row>
    <row r="4" spans="1:3">
      <c r="B4" s="76" t="s">
        <v>44</v>
      </c>
      <c r="C4" s="76" t="s">
        <v>352</v>
      </c>
    </row>
    <row r="5" spans="1:3">
      <c r="B5" s="76" t="s">
        <v>66</v>
      </c>
      <c r="C5" s="76" t="s">
        <v>496</v>
      </c>
    </row>
    <row r="6" spans="1:3">
      <c r="B6" s="76" t="s">
        <v>65</v>
      </c>
      <c r="C6" s="76" t="s">
        <v>495</v>
      </c>
    </row>
    <row r="7" spans="1:3">
      <c r="C7" s="76" t="s">
        <v>494</v>
      </c>
    </row>
    <row r="8" spans="1:3">
      <c r="C8" s="76" t="s">
        <v>493</v>
      </c>
    </row>
    <row r="9" spans="1:3">
      <c r="C9" s="76" t="s">
        <v>492</v>
      </c>
    </row>
    <row r="10" spans="1:3">
      <c r="B10" s="76" t="s">
        <v>491</v>
      </c>
    </row>
    <row r="11" spans="1:3">
      <c r="C11" s="77" t="s">
        <v>490</v>
      </c>
    </row>
    <row r="12" spans="1:3">
      <c r="C12" s="77"/>
    </row>
    <row r="13" spans="1:3">
      <c r="C13" s="77" t="s">
        <v>499</v>
      </c>
    </row>
    <row r="14" spans="1:3">
      <c r="C14" s="77"/>
    </row>
    <row r="15" spans="1:3">
      <c r="C15" s="77" t="s">
        <v>489</v>
      </c>
    </row>
    <row r="17" spans="3:3">
      <c r="C17" s="77" t="s">
        <v>488</v>
      </c>
    </row>
    <row r="18" spans="3:3">
      <c r="C18" s="76" t="s">
        <v>594</v>
      </c>
    </row>
    <row r="20" spans="3:3">
      <c r="C20" s="77" t="s">
        <v>487</v>
      </c>
    </row>
    <row r="21" spans="3:3">
      <c r="C21" s="76" t="s">
        <v>594</v>
      </c>
    </row>
    <row r="23" spans="3:3">
      <c r="C23" s="77" t="s">
        <v>486</v>
      </c>
    </row>
    <row r="25" spans="3:3">
      <c r="C25" s="77" t="s">
        <v>514</v>
      </c>
    </row>
  </sheetData>
  <hyperlinks>
    <hyperlink ref="A1" location="Main!A1" display="Main" xr:uid="{00000000-0004-0000-15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C3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39" t="s">
        <v>55</v>
      </c>
    </row>
    <row r="2" spans="1:3">
      <c r="B2" s="2" t="s">
        <v>49</v>
      </c>
    </row>
    <row r="3" spans="1:3">
      <c r="B3" s="2" t="s">
        <v>51</v>
      </c>
      <c r="C3" s="2" t="s">
        <v>316</v>
      </c>
    </row>
  </sheetData>
  <hyperlinks>
    <hyperlink ref="A1" location="Main!A1" display="Main" xr:uid="{00000000-0004-0000-16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9"/>
  <sheetViews>
    <sheetView workbookViewId="0">
      <selection activeCell="R17" sqref="R17"/>
    </sheetView>
  </sheetViews>
  <sheetFormatPr defaultRowHeight="12.75"/>
  <cols>
    <col min="1" max="1" width="5" bestFit="1" customWidth="1"/>
    <col min="2" max="2" width="19.85546875" bestFit="1" customWidth="1"/>
    <col min="9" max="9" width="12.5703125" bestFit="1" customWidth="1"/>
    <col min="15" max="15" width="10.140625" bestFit="1" customWidth="1"/>
    <col min="17" max="17" width="10.140625" bestFit="1" customWidth="1"/>
  </cols>
  <sheetData>
    <row r="1" spans="1:19">
      <c r="A1" s="115" t="s">
        <v>55</v>
      </c>
    </row>
    <row r="2" spans="1:19">
      <c r="B2" s="40" t="s">
        <v>611</v>
      </c>
    </row>
    <row r="3" spans="1:19">
      <c r="E3" s="2" t="s">
        <v>635</v>
      </c>
      <c r="F3" s="2" t="s">
        <v>636</v>
      </c>
    </row>
    <row r="4" spans="1:19">
      <c r="B4" s="2" t="s">
        <v>43</v>
      </c>
      <c r="C4" s="2" t="s">
        <v>612</v>
      </c>
      <c r="D4" s="2" t="s">
        <v>613</v>
      </c>
      <c r="E4" s="2" t="s">
        <v>614</v>
      </c>
      <c r="F4" s="2" t="s">
        <v>614</v>
      </c>
      <c r="G4" s="2" t="s">
        <v>615</v>
      </c>
      <c r="H4" s="2" t="s">
        <v>616</v>
      </c>
      <c r="I4" s="2" t="s">
        <v>617</v>
      </c>
      <c r="J4" t="s">
        <v>106</v>
      </c>
      <c r="K4" t="s">
        <v>619</v>
      </c>
      <c r="L4" t="s">
        <v>620</v>
      </c>
      <c r="M4" t="s">
        <v>621</v>
      </c>
      <c r="N4" t="s">
        <v>622</v>
      </c>
      <c r="O4" t="s">
        <v>623</v>
      </c>
      <c r="P4" t="s">
        <v>624</v>
      </c>
      <c r="Q4" t="s">
        <v>625</v>
      </c>
      <c r="R4" t="s">
        <v>626</v>
      </c>
      <c r="S4" s="2" t="s">
        <v>631</v>
      </c>
    </row>
    <row r="5" spans="1:19">
      <c r="C5">
        <v>2010</v>
      </c>
    </row>
    <row r="6" spans="1:19">
      <c r="C6">
        <v>2011</v>
      </c>
    </row>
    <row r="7" spans="1:19">
      <c r="C7">
        <v>2012</v>
      </c>
    </row>
    <row r="8" spans="1:19">
      <c r="C8">
        <v>2013</v>
      </c>
    </row>
    <row r="9" spans="1:19">
      <c r="C9">
        <v>2014</v>
      </c>
    </row>
    <row r="10" spans="1:19">
      <c r="B10" s="2" t="s">
        <v>659</v>
      </c>
      <c r="C10" s="102">
        <v>42200</v>
      </c>
      <c r="D10" s="101">
        <v>38551</v>
      </c>
      <c r="E10" s="2" t="s">
        <v>649</v>
      </c>
      <c r="F10" s="2" t="s">
        <v>657</v>
      </c>
      <c r="G10" s="89">
        <v>993.32</v>
      </c>
      <c r="H10" s="100">
        <v>4.7500000000000001E-2</v>
      </c>
      <c r="I10" s="2" t="s">
        <v>618</v>
      </c>
      <c r="J10">
        <v>107.1</v>
      </c>
      <c r="K10" s="100">
        <v>3.2599999999999997E-2</v>
      </c>
      <c r="L10" s="2" t="s">
        <v>634</v>
      </c>
      <c r="M10" s="2" t="s">
        <v>627</v>
      </c>
      <c r="N10" s="100">
        <v>7.3590000000000003E-2</v>
      </c>
      <c r="O10" s="101">
        <v>39736</v>
      </c>
      <c r="P10" s="100">
        <v>2.8389999999999999E-2</v>
      </c>
      <c r="Q10" s="101">
        <v>40133</v>
      </c>
      <c r="R10" s="100">
        <v>2.4500000000000001E-2</v>
      </c>
      <c r="S10" s="100">
        <f t="shared" ref="S10:S19" si="0">K10-R10</f>
        <v>8.0999999999999961E-3</v>
      </c>
    </row>
    <row r="11" spans="1:19">
      <c r="B11" s="2" t="s">
        <v>658</v>
      </c>
      <c r="C11" s="101">
        <v>42200</v>
      </c>
      <c r="D11" s="101">
        <v>38546</v>
      </c>
      <c r="E11" s="2" t="s">
        <v>649</v>
      </c>
      <c r="F11" s="2" t="s">
        <v>657</v>
      </c>
      <c r="G11" s="89">
        <v>6.68</v>
      </c>
      <c r="H11" s="100">
        <v>4.7500000000000001E-2</v>
      </c>
      <c r="I11" s="2" t="s">
        <v>618</v>
      </c>
      <c r="J11">
        <v>108</v>
      </c>
      <c r="K11" s="100">
        <v>3.0700000000000002E-2</v>
      </c>
      <c r="L11" s="2" t="s">
        <v>634</v>
      </c>
      <c r="M11" s="2" t="s">
        <v>627</v>
      </c>
      <c r="N11" s="100">
        <v>7.5139999999999998E-2</v>
      </c>
      <c r="O11" s="101">
        <v>39745</v>
      </c>
      <c r="P11" s="100">
        <v>2.9579999999999999E-2</v>
      </c>
      <c r="Q11" s="101">
        <v>40144</v>
      </c>
      <c r="R11" s="100">
        <v>2.4500000000000001E-2</v>
      </c>
      <c r="S11" s="100">
        <f t="shared" si="0"/>
        <v>6.2000000000000006E-3</v>
      </c>
    </row>
    <row r="12" spans="1:19">
      <c r="B12" s="2" t="s">
        <v>656</v>
      </c>
      <c r="C12" s="101">
        <v>42067</v>
      </c>
      <c r="D12" s="101">
        <v>39869</v>
      </c>
      <c r="E12" s="2" t="s">
        <v>655</v>
      </c>
      <c r="F12" s="2" t="s">
        <v>657</v>
      </c>
      <c r="G12" s="89">
        <v>1250</v>
      </c>
      <c r="H12" s="100">
        <v>5.5E-2</v>
      </c>
      <c r="I12" s="2" t="s">
        <v>638</v>
      </c>
      <c r="J12">
        <v>107.8914</v>
      </c>
      <c r="K12" s="100">
        <v>3.6400000000000002E-2</v>
      </c>
      <c r="L12" s="2" t="s">
        <v>628</v>
      </c>
      <c r="M12" s="2" t="s">
        <v>627</v>
      </c>
      <c r="N12" s="100">
        <v>5.6730000000000003E-2</v>
      </c>
      <c r="O12" s="101">
        <v>39870</v>
      </c>
      <c r="P12" s="100">
        <v>3.6339999999999997E-2</v>
      </c>
      <c r="Q12" s="101">
        <v>40270</v>
      </c>
      <c r="R12" s="100">
        <v>2.4500000000000001E-2</v>
      </c>
      <c r="S12" s="100">
        <f t="shared" si="0"/>
        <v>1.1900000000000001E-2</v>
      </c>
    </row>
    <row r="13" spans="1:19">
      <c r="B13" s="2" t="s">
        <v>654</v>
      </c>
      <c r="C13" s="101">
        <v>42433</v>
      </c>
      <c r="D13" s="101">
        <v>39869</v>
      </c>
      <c r="E13" s="2" t="s">
        <v>653</v>
      </c>
      <c r="F13" s="2" t="s">
        <v>655</v>
      </c>
      <c r="G13" s="89">
        <v>2750</v>
      </c>
      <c r="H13" s="100">
        <v>5.6250000000000001E-2</v>
      </c>
      <c r="I13" s="2" t="s">
        <v>641</v>
      </c>
      <c r="J13">
        <v>113.5855</v>
      </c>
      <c r="K13" s="100">
        <v>3.0300000000000001E-2</v>
      </c>
      <c r="L13" s="2" t="s">
        <v>628</v>
      </c>
      <c r="M13" s="2" t="s">
        <v>627</v>
      </c>
      <c r="N13" s="100">
        <v>5.5359999999999999E-2</v>
      </c>
      <c r="O13" s="101">
        <v>39870</v>
      </c>
      <c r="P13" s="100">
        <v>3.024E-2</v>
      </c>
      <c r="Q13" s="102">
        <v>40284</v>
      </c>
      <c r="R13" s="100">
        <f>AVERAGE(2.48%,3.19%)</f>
        <v>2.835E-2</v>
      </c>
      <c r="S13" s="100">
        <f t="shared" si="0"/>
        <v>1.9500000000000003E-3</v>
      </c>
    </row>
    <row r="14" spans="1:19">
      <c r="B14" s="2" t="s">
        <v>650</v>
      </c>
      <c r="C14" s="101">
        <v>42817</v>
      </c>
      <c r="D14" s="101">
        <v>39876</v>
      </c>
      <c r="E14" s="2" t="s">
        <v>652</v>
      </c>
      <c r="F14" s="2" t="s">
        <v>653</v>
      </c>
      <c r="G14" s="89">
        <v>1500</v>
      </c>
      <c r="H14" s="100">
        <v>4.4999999999999998E-2</v>
      </c>
      <c r="I14" s="2" t="s">
        <v>651</v>
      </c>
      <c r="J14">
        <v>115.0825</v>
      </c>
      <c r="K14" s="100">
        <v>2.1499999999999998E-2</v>
      </c>
      <c r="L14" s="2" t="s">
        <v>628</v>
      </c>
      <c r="M14" s="2" t="s">
        <v>627</v>
      </c>
      <c r="N14" s="100">
        <v>4.4569999999999999E-2</v>
      </c>
      <c r="O14" s="101">
        <v>39876</v>
      </c>
      <c r="P14" s="100">
        <v>2.1149999999999999E-2</v>
      </c>
      <c r="Q14" s="101">
        <v>40274</v>
      </c>
      <c r="R14" s="100">
        <v>3.1899999999999998E-2</v>
      </c>
      <c r="S14" s="100">
        <f t="shared" si="0"/>
        <v>-1.04E-2</v>
      </c>
    </row>
    <row r="15" spans="1:19">
      <c r="B15" s="2" t="s">
        <v>647</v>
      </c>
      <c r="C15" s="101">
        <v>43525</v>
      </c>
      <c r="D15" s="101">
        <v>39862</v>
      </c>
      <c r="E15" s="2" t="s">
        <v>649</v>
      </c>
      <c r="F15" s="2" t="s">
        <v>648</v>
      </c>
      <c r="G15" s="89">
        <v>4500</v>
      </c>
      <c r="H15" s="100">
        <v>0.06</v>
      </c>
      <c r="I15" s="2" t="s">
        <v>618</v>
      </c>
      <c r="J15">
        <v>110.85899999999999</v>
      </c>
      <c r="K15" s="100">
        <v>4.4499999999999998E-2</v>
      </c>
      <c r="L15" s="2" t="s">
        <v>628</v>
      </c>
      <c r="M15" s="2" t="s">
        <v>627</v>
      </c>
      <c r="N15" s="100">
        <v>5.9859999999999997E-2</v>
      </c>
      <c r="O15" s="101">
        <v>39889</v>
      </c>
      <c r="P15" s="100">
        <v>4.2569999999999997E-2</v>
      </c>
      <c r="Q15" s="101">
        <v>40147</v>
      </c>
      <c r="R15" s="100">
        <v>3.7499999999999999E-2</v>
      </c>
      <c r="S15" s="100">
        <f t="shared" si="0"/>
        <v>6.9999999999999993E-3</v>
      </c>
    </row>
    <row r="16" spans="1:19">
      <c r="B16" s="2" t="s">
        <v>640</v>
      </c>
      <c r="C16" s="101">
        <v>44259</v>
      </c>
      <c r="D16" s="101">
        <v>39869</v>
      </c>
      <c r="E16" s="2" t="s">
        <v>642</v>
      </c>
      <c r="F16" s="2" t="s">
        <v>643</v>
      </c>
      <c r="G16" s="89">
        <v>1750</v>
      </c>
      <c r="H16" s="100">
        <v>6.5000000000000002E-2</v>
      </c>
      <c r="I16" s="2" t="s">
        <v>641</v>
      </c>
      <c r="J16">
        <v>122.0099</v>
      </c>
      <c r="K16" s="100">
        <v>3.95E-2</v>
      </c>
      <c r="L16" s="2" t="s">
        <v>628</v>
      </c>
      <c r="M16" s="2" t="s">
        <v>627</v>
      </c>
      <c r="N16" s="100">
        <v>6.4390000000000003E-2</v>
      </c>
      <c r="O16" s="101">
        <v>39870</v>
      </c>
      <c r="P16" s="100">
        <v>3.9410000000000001E-2</v>
      </c>
      <c r="Q16" s="101">
        <v>40260</v>
      </c>
      <c r="R16" s="100">
        <v>3.7499999999999999E-2</v>
      </c>
      <c r="S16" s="100">
        <f t="shared" si="0"/>
        <v>2.0000000000000018E-3</v>
      </c>
    </row>
    <row r="17" spans="2:19">
      <c r="B17" s="2" t="s">
        <v>637</v>
      </c>
      <c r="C17" s="101">
        <v>45167</v>
      </c>
      <c r="D17" s="101">
        <v>37854</v>
      </c>
      <c r="E17" s="2" t="s">
        <v>639</v>
      </c>
      <c r="F17" s="2" t="s">
        <v>644</v>
      </c>
      <c r="G17" s="89">
        <v>250</v>
      </c>
      <c r="H17" s="100">
        <v>5.3749999999999999E-2</v>
      </c>
      <c r="I17" s="2" t="s">
        <v>638</v>
      </c>
      <c r="J17">
        <v>102.3557</v>
      </c>
      <c r="K17" s="100">
        <v>3.6999999999999998E-2</v>
      </c>
      <c r="L17" s="2" t="s">
        <v>628</v>
      </c>
      <c r="M17" s="2" t="s">
        <v>627</v>
      </c>
      <c r="N17" s="100">
        <v>7.0470000000000005E-2</v>
      </c>
      <c r="O17" s="101">
        <v>39756</v>
      </c>
      <c r="P17" s="100">
        <v>4.546E-2</v>
      </c>
      <c r="Q17" s="101">
        <v>38735</v>
      </c>
      <c r="R17" s="100">
        <v>2.1000000000000001E-2</v>
      </c>
      <c r="S17" s="100">
        <f t="shared" si="0"/>
        <v>1.5999999999999997E-2</v>
      </c>
    </row>
    <row r="18" spans="2:19">
      <c r="B18" s="2" t="s">
        <v>632</v>
      </c>
      <c r="C18" s="101">
        <v>49505</v>
      </c>
      <c r="D18" s="101">
        <v>38551</v>
      </c>
      <c r="E18" s="2" t="s">
        <v>629</v>
      </c>
      <c r="F18" s="2" t="s">
        <v>645</v>
      </c>
      <c r="G18" s="89">
        <v>500</v>
      </c>
      <c r="H18" s="100">
        <v>5.2499999999999998E-2</v>
      </c>
      <c r="I18" s="2" t="s">
        <v>633</v>
      </c>
      <c r="J18">
        <v>98.950999999999993</v>
      </c>
      <c r="K18" s="100">
        <v>4.3900000000000002E-2</v>
      </c>
      <c r="L18" s="2" t="s">
        <v>634</v>
      </c>
      <c r="M18" s="2" t="s">
        <v>627</v>
      </c>
      <c r="N18" s="100">
        <v>7.2969999999999993E-2</v>
      </c>
      <c r="O18" s="101">
        <v>39735</v>
      </c>
      <c r="P18" s="100">
        <v>5.135E-2</v>
      </c>
      <c r="Q18" s="101">
        <v>40147</v>
      </c>
      <c r="R18" s="100">
        <v>0.03</v>
      </c>
      <c r="S18" s="100">
        <f t="shared" si="0"/>
        <v>1.3900000000000003E-2</v>
      </c>
    </row>
    <row r="19" spans="2:19">
      <c r="B19" s="2" t="s">
        <v>630</v>
      </c>
      <c r="C19" s="101">
        <v>50830</v>
      </c>
      <c r="D19" s="101">
        <v>39862</v>
      </c>
      <c r="E19" s="2" t="s">
        <v>629</v>
      </c>
      <c r="F19" s="2" t="s">
        <v>646</v>
      </c>
      <c r="G19" s="89">
        <v>2500</v>
      </c>
      <c r="H19" s="100">
        <v>7.0000000000000007E-2</v>
      </c>
      <c r="I19" s="2" t="s">
        <v>618</v>
      </c>
      <c r="J19">
        <v>125.7942</v>
      </c>
      <c r="K19" s="100">
        <v>4.5999999999999999E-2</v>
      </c>
      <c r="L19" s="2" t="s">
        <v>628</v>
      </c>
      <c r="M19" s="2" t="s">
        <v>627</v>
      </c>
      <c r="N19" s="100">
        <v>6.8470000000000003E-2</v>
      </c>
      <c r="O19" s="101">
        <v>39863</v>
      </c>
      <c r="P19" s="100">
        <v>4.5159999999999999E-2</v>
      </c>
      <c r="Q19" s="101">
        <v>40416</v>
      </c>
      <c r="R19" s="100">
        <v>3.4799999999999998E-2</v>
      </c>
      <c r="S19" s="100">
        <f t="shared" si="0"/>
        <v>1.1200000000000002E-2</v>
      </c>
    </row>
  </sheetData>
  <hyperlinks>
    <hyperlink ref="A1" location="Main!A1" display="Main" xr:uid="{00000000-0004-0000-0100-000000000000}"/>
  </hyperlinks>
  <pageMargins left="0.7" right="0.7" top="0.75" bottom="0.75" header="0.3" footer="0.3"/>
  <pageSetup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12"/>
  <sheetViews>
    <sheetView workbookViewId="0"/>
  </sheetViews>
  <sheetFormatPr defaultRowHeight="12.75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>
      <c r="A1" s="13" t="s">
        <v>55</v>
      </c>
    </row>
    <row r="2" spans="1:3">
      <c r="B2" s="5" t="s">
        <v>49</v>
      </c>
      <c r="C2" s="5" t="s">
        <v>50</v>
      </c>
    </row>
    <row r="3" spans="1:3">
      <c r="B3" s="5" t="s">
        <v>51</v>
      </c>
      <c r="C3" s="5" t="s">
        <v>52</v>
      </c>
    </row>
    <row r="4" spans="1:3">
      <c r="B4" s="5" t="s">
        <v>104</v>
      </c>
      <c r="C4" s="5" t="s">
        <v>105</v>
      </c>
    </row>
    <row r="5" spans="1:3">
      <c r="B5" s="5" t="s">
        <v>74</v>
      </c>
      <c r="C5" s="5" t="s">
        <v>175</v>
      </c>
    </row>
    <row r="6" spans="1:3">
      <c r="B6" s="5" t="s">
        <v>53</v>
      </c>
    </row>
    <row r="7" spans="1:3">
      <c r="C7" s="5" t="s">
        <v>54</v>
      </c>
    </row>
    <row r="9" spans="1:3">
      <c r="C9" s="16" t="s">
        <v>89</v>
      </c>
    </row>
    <row r="10" spans="1:3">
      <c r="C10" s="5" t="s">
        <v>88</v>
      </c>
    </row>
    <row r="11" spans="1:3">
      <c r="C11" s="5" t="s">
        <v>90</v>
      </c>
    </row>
    <row r="12" spans="1:3">
      <c r="C12" s="5" t="s">
        <v>91</v>
      </c>
    </row>
  </sheetData>
  <phoneticPr fontId="17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5"/>
  <sheetViews>
    <sheetView workbookViewId="0"/>
  </sheetViews>
  <sheetFormatPr defaultRowHeight="12.75"/>
  <cols>
    <col min="1" max="1" width="5" bestFit="1" customWidth="1"/>
    <col min="2" max="2" width="11.28515625" bestFit="1" customWidth="1"/>
    <col min="3" max="3" width="7.28515625" bestFit="1" customWidth="1"/>
  </cols>
  <sheetData>
    <row r="1" spans="1:4">
      <c r="A1" s="39" t="s">
        <v>55</v>
      </c>
    </row>
    <row r="2" spans="1:4">
      <c r="B2" s="2" t="s">
        <v>49</v>
      </c>
      <c r="C2" s="2" t="s">
        <v>25</v>
      </c>
    </row>
    <row r="3" spans="1:4">
      <c r="B3" s="3" t="s">
        <v>397</v>
      </c>
      <c r="C3" s="5"/>
      <c r="D3" s="5"/>
    </row>
    <row r="4" spans="1:4">
      <c r="B4" s="5"/>
      <c r="C4" s="55">
        <v>39387</v>
      </c>
      <c r="D4" s="5">
        <v>37</v>
      </c>
    </row>
    <row r="5" spans="1:4">
      <c r="B5" s="5"/>
      <c r="C5" s="55">
        <v>39356</v>
      </c>
      <c r="D5" s="5">
        <v>38</v>
      </c>
    </row>
  </sheetData>
  <hyperlinks>
    <hyperlink ref="A1" location="Main!A1" display="Main" xr:uid="{00000000-0004-0000-0D00-00000000000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17"/>
  <sheetViews>
    <sheetView workbookViewId="0">
      <selection activeCell="E16" sqref="E16"/>
    </sheetView>
  </sheetViews>
  <sheetFormatPr defaultRowHeight="12.75"/>
  <cols>
    <col min="1" max="1" width="5" bestFit="1" customWidth="1"/>
  </cols>
  <sheetData>
    <row r="1" spans="1:6">
      <c r="A1" s="39" t="s">
        <v>55</v>
      </c>
    </row>
    <row r="3" spans="1:6">
      <c r="B3" s="2" t="s">
        <v>122</v>
      </c>
      <c r="C3" s="2" t="s">
        <v>123</v>
      </c>
    </row>
    <row r="4" spans="1:6">
      <c r="B4" s="2" t="s">
        <v>199</v>
      </c>
      <c r="C4" s="2" t="s">
        <v>67</v>
      </c>
      <c r="D4" s="2" t="s">
        <v>114</v>
      </c>
    </row>
    <row r="5" spans="1:6">
      <c r="B5" s="8" t="s">
        <v>127</v>
      </c>
      <c r="C5" s="11" t="s">
        <v>84</v>
      </c>
      <c r="D5" s="11" t="s">
        <v>110</v>
      </c>
      <c r="E5" s="14" t="s">
        <v>128</v>
      </c>
      <c r="F5" s="11" t="s">
        <v>129</v>
      </c>
    </row>
    <row r="6" spans="1:6">
      <c r="B6" s="8" t="s">
        <v>289</v>
      </c>
      <c r="C6" s="11" t="s">
        <v>290</v>
      </c>
      <c r="D6" s="11" t="s">
        <v>110</v>
      </c>
      <c r="E6" s="14">
        <v>1</v>
      </c>
      <c r="F6" s="11" t="s">
        <v>291</v>
      </c>
    </row>
    <row r="7" spans="1:6">
      <c r="B7" s="8" t="s">
        <v>273</v>
      </c>
      <c r="C7" s="11" t="s">
        <v>274</v>
      </c>
      <c r="D7" s="11" t="s">
        <v>110</v>
      </c>
      <c r="E7" s="14">
        <v>1</v>
      </c>
    </row>
    <row r="8" spans="1:6">
      <c r="B8" s="8" t="s">
        <v>279</v>
      </c>
      <c r="C8" s="11" t="s">
        <v>115</v>
      </c>
      <c r="D8" s="11" t="s">
        <v>110</v>
      </c>
      <c r="E8" s="14">
        <v>1</v>
      </c>
    </row>
    <row r="9" spans="1:6">
      <c r="B9" s="8" t="s">
        <v>277</v>
      </c>
      <c r="C9" s="11" t="s">
        <v>115</v>
      </c>
      <c r="D9" s="11" t="s">
        <v>110</v>
      </c>
      <c r="E9" s="14">
        <v>1</v>
      </c>
    </row>
    <row r="10" spans="1:6">
      <c r="B10" s="53" t="s">
        <v>362</v>
      </c>
      <c r="C10" s="10" t="s">
        <v>359</v>
      </c>
      <c r="D10" s="10" t="s">
        <v>110</v>
      </c>
      <c r="E10" s="41">
        <v>1</v>
      </c>
      <c r="F10" s="10" t="s">
        <v>363</v>
      </c>
    </row>
    <row r="11" spans="1:6">
      <c r="B11" s="8" t="s">
        <v>282</v>
      </c>
      <c r="C11" s="11" t="s">
        <v>283</v>
      </c>
      <c r="D11" s="11" t="s">
        <v>110</v>
      </c>
      <c r="E11" s="14">
        <v>1</v>
      </c>
    </row>
    <row r="12" spans="1:6">
      <c r="B12" s="8" t="s">
        <v>116</v>
      </c>
      <c r="C12" s="11" t="s">
        <v>84</v>
      </c>
      <c r="D12" s="11" t="s">
        <v>80</v>
      </c>
      <c r="E12" s="14">
        <v>1</v>
      </c>
      <c r="F12" s="11" t="s">
        <v>117</v>
      </c>
    </row>
    <row r="13" spans="1:6">
      <c r="B13" s="8" t="s">
        <v>118</v>
      </c>
      <c r="C13" s="11" t="s">
        <v>119</v>
      </c>
      <c r="D13" s="11" t="s">
        <v>80</v>
      </c>
      <c r="E13" s="14">
        <v>1</v>
      </c>
    </row>
    <row r="14" spans="1:6">
      <c r="B14" s="8" t="s">
        <v>69</v>
      </c>
      <c r="C14" s="11" t="s">
        <v>67</v>
      </c>
      <c r="D14" s="11" t="s">
        <v>80</v>
      </c>
      <c r="E14" s="14">
        <v>1</v>
      </c>
    </row>
    <row r="15" spans="1:6">
      <c r="B15" s="53" t="s">
        <v>125</v>
      </c>
      <c r="C15" s="10" t="s">
        <v>124</v>
      </c>
      <c r="D15" s="10" t="s">
        <v>80</v>
      </c>
      <c r="E15" s="2" t="s">
        <v>126</v>
      </c>
      <c r="F15" s="2" t="s">
        <v>599</v>
      </c>
    </row>
    <row r="16" spans="1:6">
      <c r="B16" s="53" t="s">
        <v>380</v>
      </c>
      <c r="C16" s="10" t="s">
        <v>290</v>
      </c>
      <c r="D16" s="10" t="s">
        <v>80</v>
      </c>
      <c r="E16" s="2" t="s">
        <v>573</v>
      </c>
      <c r="F16" s="2" t="s">
        <v>600</v>
      </c>
    </row>
    <row r="17" spans="2:4">
      <c r="B17" s="53" t="s">
        <v>608</v>
      </c>
      <c r="C17" s="10" t="s">
        <v>290</v>
      </c>
      <c r="D17" s="10" t="s">
        <v>80</v>
      </c>
    </row>
  </sheetData>
  <hyperlinks>
    <hyperlink ref="A1" location="Main!A1" display="Main" xr:uid="{00000000-0004-0000-14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5"/>
  <sheetViews>
    <sheetView workbookViewId="0"/>
  </sheetViews>
  <sheetFormatPr defaultRowHeight="12.75"/>
  <cols>
    <col min="1" max="1" width="5" style="5" bestFit="1" customWidth="1"/>
    <col min="2" max="2" width="12.85546875" style="5" bestFit="1" customWidth="1"/>
    <col min="3" max="16384" width="9.140625" style="5"/>
  </cols>
  <sheetData>
    <row r="1" spans="1:3">
      <c r="A1" s="60" t="s">
        <v>55</v>
      </c>
    </row>
    <row r="2" spans="1:3">
      <c r="B2" s="5" t="s">
        <v>49</v>
      </c>
      <c r="C2" s="3" t="s">
        <v>528</v>
      </c>
    </row>
    <row r="3" spans="1:3">
      <c r="B3" s="5" t="s">
        <v>51</v>
      </c>
      <c r="C3" s="5" t="s">
        <v>527</v>
      </c>
    </row>
    <row r="4" spans="1:3">
      <c r="B4" s="5" t="s">
        <v>44</v>
      </c>
      <c r="C4" s="5" t="s">
        <v>70</v>
      </c>
    </row>
    <row r="5" spans="1:3">
      <c r="B5" s="5" t="s">
        <v>65</v>
      </c>
      <c r="C5" s="5" t="s">
        <v>77</v>
      </c>
    </row>
    <row r="6" spans="1:3">
      <c r="B6" s="5" t="s">
        <v>66</v>
      </c>
      <c r="C6" s="5" t="s">
        <v>98</v>
      </c>
    </row>
    <row r="7" spans="1:3">
      <c r="C7" s="5" t="s">
        <v>99</v>
      </c>
    </row>
    <row r="8" spans="1:3">
      <c r="C8" s="5" t="s">
        <v>100</v>
      </c>
    </row>
    <row r="9" spans="1:3">
      <c r="C9" s="5" t="s">
        <v>101</v>
      </c>
    </row>
    <row r="10" spans="1:3">
      <c r="C10" s="5" t="s">
        <v>102</v>
      </c>
    </row>
    <row r="11" spans="1:3">
      <c r="B11" s="5" t="s">
        <v>75</v>
      </c>
      <c r="C11" s="5" t="s">
        <v>76</v>
      </c>
    </row>
    <row r="12" spans="1:3">
      <c r="B12" s="5" t="s">
        <v>96</v>
      </c>
      <c r="C12" s="5" t="s">
        <v>97</v>
      </c>
    </row>
    <row r="13" spans="1:3">
      <c r="B13" s="3" t="s">
        <v>53</v>
      </c>
    </row>
    <row r="14" spans="1:3">
      <c r="C14" s="16" t="s">
        <v>521</v>
      </c>
    </row>
    <row r="15" spans="1:3">
      <c r="C15" s="3" t="s">
        <v>522</v>
      </c>
    </row>
  </sheetData>
  <phoneticPr fontId="17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7"/>
  <sheetViews>
    <sheetView workbookViewId="0"/>
  </sheetViews>
  <sheetFormatPr defaultRowHeight="12.75"/>
  <cols>
    <col min="1" max="1" width="5" bestFit="1" customWidth="1"/>
    <col min="2" max="2" width="12.85546875" bestFit="1" customWidth="1"/>
  </cols>
  <sheetData>
    <row r="1" spans="1:3">
      <c r="A1" s="39" t="s">
        <v>55</v>
      </c>
    </row>
    <row r="2" spans="1:3">
      <c r="B2" s="1" t="s">
        <v>49</v>
      </c>
      <c r="C2" s="1" t="s">
        <v>293</v>
      </c>
    </row>
    <row r="3" spans="1:3">
      <c r="B3" s="1" t="s">
        <v>51</v>
      </c>
      <c r="C3" s="1" t="s">
        <v>294</v>
      </c>
    </row>
    <row r="4" spans="1:3">
      <c r="B4" s="1" t="s">
        <v>44</v>
      </c>
      <c r="C4" s="1" t="s">
        <v>295</v>
      </c>
    </row>
    <row r="5" spans="1:3">
      <c r="B5" s="1" t="s">
        <v>66</v>
      </c>
      <c r="C5" s="1" t="s">
        <v>130</v>
      </c>
    </row>
    <row r="6" spans="1:3">
      <c r="B6" s="1" t="s">
        <v>53</v>
      </c>
    </row>
    <row r="7" spans="1:3">
      <c r="C7" s="40" t="s">
        <v>296</v>
      </c>
    </row>
  </sheetData>
  <hyperlinks>
    <hyperlink ref="A1" location="Main!A1" display="Main" xr:uid="{00000000-0004-0000-1300-000000000000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3"/>
  <sheetViews>
    <sheetView workbookViewId="0"/>
  </sheetViews>
  <sheetFormatPr defaultRowHeight="12.75"/>
  <cols>
    <col min="1" max="1" width="5" style="4" bestFit="1" customWidth="1"/>
    <col min="2" max="2" width="12" style="4" bestFit="1" customWidth="1"/>
    <col min="3" max="16384" width="9.140625" style="4"/>
  </cols>
  <sheetData>
    <row r="1" spans="1:3">
      <c r="A1" s="13" t="s">
        <v>55</v>
      </c>
    </row>
    <row r="2" spans="1:3">
      <c r="B2" s="4" t="s">
        <v>49</v>
      </c>
      <c r="C2" s="4" t="s">
        <v>78</v>
      </c>
    </row>
    <row r="3" spans="1:3">
      <c r="B3" s="4" t="s">
        <v>66</v>
      </c>
      <c r="C3" s="4" t="s">
        <v>252</v>
      </c>
    </row>
    <row r="4" spans="1:3">
      <c r="B4" s="4" t="s">
        <v>44</v>
      </c>
      <c r="C4" s="4" t="s">
        <v>246</v>
      </c>
    </row>
    <row r="5" spans="1:3">
      <c r="B5" s="4" t="s">
        <v>75</v>
      </c>
      <c r="C5" s="4" t="s">
        <v>121</v>
      </c>
    </row>
    <row r="6" spans="1:3">
      <c r="B6" s="4" t="s">
        <v>53</v>
      </c>
    </row>
    <row r="7" spans="1:3">
      <c r="C7" s="16" t="s">
        <v>257</v>
      </c>
    </row>
    <row r="10" spans="1:3">
      <c r="C10" s="16" t="s">
        <v>256</v>
      </c>
    </row>
    <row r="11" spans="1:3">
      <c r="C11" s="4" t="s">
        <v>255</v>
      </c>
    </row>
    <row r="13" spans="1:3">
      <c r="C13" s="4" t="s">
        <v>285</v>
      </c>
    </row>
  </sheetData>
  <phoneticPr fontId="17" type="noConversion"/>
  <hyperlinks>
    <hyperlink ref="A1" location="Main!A1" display="Main" xr:uid="{00000000-0004-0000-0E00-000000000000}"/>
  </hyperlinks>
  <pageMargins left="0.75" right="0.75" top="1" bottom="1" header="0.5" footer="0.5"/>
  <pageSetup orientation="portrait" horizontalDpi="4294967293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15"/>
  <sheetViews>
    <sheetView workbookViewId="0"/>
  </sheetViews>
  <sheetFormatPr defaultRowHeight="12.75"/>
  <cols>
    <col min="1" max="1" width="5" style="4" bestFit="1" customWidth="1"/>
    <col min="2" max="2" width="12.85546875" style="4" bestFit="1" customWidth="1"/>
    <col min="3" max="16384" width="9.140625" style="4"/>
  </cols>
  <sheetData>
    <row r="1" spans="1:3">
      <c r="A1" s="13" t="s">
        <v>55</v>
      </c>
    </row>
    <row r="2" spans="1:3">
      <c r="B2" s="4" t="s">
        <v>49</v>
      </c>
      <c r="C2" s="4" t="s">
        <v>222</v>
      </c>
    </row>
    <row r="3" spans="1:3">
      <c r="B3" s="4" t="s">
        <v>51</v>
      </c>
      <c r="C3" s="4" t="s">
        <v>199</v>
      </c>
    </row>
    <row r="4" spans="1:3">
      <c r="B4" s="4" t="s">
        <v>66</v>
      </c>
      <c r="C4" s="4" t="s">
        <v>203</v>
      </c>
    </row>
    <row r="5" spans="1:3">
      <c r="B5" s="4" t="s">
        <v>65</v>
      </c>
      <c r="C5" s="4" t="s">
        <v>200</v>
      </c>
    </row>
    <row r="6" spans="1:3">
      <c r="B6" s="4" t="s">
        <v>9</v>
      </c>
      <c r="C6" s="4" t="s">
        <v>202</v>
      </c>
    </row>
    <row r="7" spans="1:3">
      <c r="B7" s="4" t="s">
        <v>81</v>
      </c>
      <c r="C7" s="4" t="s">
        <v>201</v>
      </c>
    </row>
    <row r="8" spans="1:3">
      <c r="B8" s="4" t="s">
        <v>53</v>
      </c>
    </row>
    <row r="9" spans="1:3">
      <c r="C9" s="16" t="s">
        <v>507</v>
      </c>
    </row>
    <row r="10" spans="1:3">
      <c r="C10" s="3" t="s">
        <v>508</v>
      </c>
    </row>
    <row r="11" spans="1:3">
      <c r="C11" s="3" t="s">
        <v>509</v>
      </c>
    </row>
    <row r="13" spans="1:3">
      <c r="C13" s="16" t="s">
        <v>204</v>
      </c>
    </row>
    <row r="14" spans="1:3">
      <c r="C14" s="4" t="s">
        <v>221</v>
      </c>
    </row>
    <row r="15" spans="1:3">
      <c r="C15" s="15" t="s">
        <v>205</v>
      </c>
    </row>
  </sheetData>
  <phoneticPr fontId="17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0731-3B1A-4265-8D07-A9072AED03E3}">
  <dimension ref="A1:H3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6" sqref="B36:G36"/>
    </sheetView>
  </sheetViews>
  <sheetFormatPr defaultRowHeight="12.75"/>
  <cols>
    <col min="1" max="1" width="5" bestFit="1" customWidth="1"/>
    <col min="3" max="3" width="11.5703125" customWidth="1"/>
    <col min="6" max="6" width="10.140625" customWidth="1"/>
    <col min="7" max="7" width="13.140625" customWidth="1"/>
  </cols>
  <sheetData>
    <row r="1" spans="1:8">
      <c r="A1" s="39" t="s">
        <v>55</v>
      </c>
    </row>
    <row r="2" spans="1:8">
      <c r="B2" s="2" t="s">
        <v>814</v>
      </c>
      <c r="C2" s="2" t="s">
        <v>815</v>
      </c>
      <c r="D2" s="2" t="s">
        <v>44</v>
      </c>
      <c r="E2" s="2" t="s">
        <v>87</v>
      </c>
      <c r="F2" s="2" t="s">
        <v>65</v>
      </c>
      <c r="G2" s="2" t="s">
        <v>818</v>
      </c>
    </row>
    <row r="3" spans="1:8">
      <c r="B3" s="2" t="s">
        <v>33</v>
      </c>
      <c r="C3" s="2" t="s">
        <v>819</v>
      </c>
      <c r="D3" s="2" t="s">
        <v>86</v>
      </c>
      <c r="E3">
        <v>1999</v>
      </c>
      <c r="F3" s="2" t="s">
        <v>820</v>
      </c>
      <c r="G3" s="2" t="s">
        <v>399</v>
      </c>
    </row>
    <row r="4" spans="1:8">
      <c r="B4" s="2" t="s">
        <v>113</v>
      </c>
      <c r="C4" s="2" t="s">
        <v>822</v>
      </c>
      <c r="D4" s="2" t="s">
        <v>206</v>
      </c>
      <c r="E4" s="101">
        <v>36959</v>
      </c>
    </row>
    <row r="6" spans="1:8">
      <c r="B6" s="3" t="s">
        <v>705</v>
      </c>
    </row>
    <row r="7" spans="1:8">
      <c r="B7" s="3" t="s">
        <v>732</v>
      </c>
    </row>
    <row r="8" spans="1:8">
      <c r="B8" s="3" t="s">
        <v>751</v>
      </c>
    </row>
    <row r="9" spans="1:8">
      <c r="B9" s="4"/>
    </row>
    <row r="10" spans="1:8">
      <c r="B10" s="4"/>
    </row>
    <row r="11" spans="1:8">
      <c r="B11" s="4"/>
    </row>
    <row r="12" spans="1:8">
      <c r="B12" s="3" t="s">
        <v>746</v>
      </c>
    </row>
    <row r="13" spans="1:8">
      <c r="B13" s="3" t="s">
        <v>745</v>
      </c>
    </row>
    <row r="14" spans="1:8">
      <c r="B14" s="53" t="s">
        <v>404</v>
      </c>
      <c r="C14" s="11" t="s">
        <v>67</v>
      </c>
      <c r="D14" s="11" t="s">
        <v>80</v>
      </c>
      <c r="E14" s="14">
        <v>1</v>
      </c>
      <c r="F14" s="11" t="s">
        <v>68</v>
      </c>
      <c r="G14" s="86"/>
      <c r="H14" s="42" t="s">
        <v>253</v>
      </c>
    </row>
    <row r="15" spans="1:8">
      <c r="B15" s="53" t="s">
        <v>348</v>
      </c>
      <c r="C15" s="10" t="s">
        <v>280</v>
      </c>
      <c r="D15" s="11" t="s">
        <v>80</v>
      </c>
      <c r="E15" s="14">
        <v>1</v>
      </c>
      <c r="F15" s="11" t="s">
        <v>281</v>
      </c>
      <c r="G15" s="86"/>
      <c r="H15" s="35" t="s">
        <v>253</v>
      </c>
    </row>
    <row r="16" spans="1:8">
      <c r="B16" s="53" t="s">
        <v>364</v>
      </c>
      <c r="C16" s="10" t="s">
        <v>586</v>
      </c>
      <c r="D16" s="10" t="s">
        <v>80</v>
      </c>
      <c r="E16" s="14">
        <v>1</v>
      </c>
      <c r="F16" s="10" t="s">
        <v>363</v>
      </c>
      <c r="G16" s="86"/>
      <c r="H16" s="35" t="s">
        <v>253</v>
      </c>
    </row>
    <row r="17" spans="2:8">
      <c r="B17" s="53" t="s">
        <v>392</v>
      </c>
      <c r="C17" s="10" t="s">
        <v>393</v>
      </c>
      <c r="D17" s="10" t="s">
        <v>80</v>
      </c>
      <c r="E17" s="14">
        <v>1</v>
      </c>
      <c r="F17" s="10" t="s">
        <v>394</v>
      </c>
      <c r="G17" s="86"/>
      <c r="H17" s="35" t="s">
        <v>395</v>
      </c>
    </row>
    <row r="18" spans="2:8">
      <c r="B18" s="8" t="s">
        <v>109</v>
      </c>
      <c r="C18" s="11" t="s">
        <v>79</v>
      </c>
      <c r="D18" s="10" t="s">
        <v>80</v>
      </c>
      <c r="E18" s="14" t="s">
        <v>270</v>
      </c>
      <c r="F18" s="11" t="s">
        <v>254</v>
      </c>
      <c r="G18" s="87" t="s">
        <v>610</v>
      </c>
      <c r="H18" s="35" t="s">
        <v>253</v>
      </c>
    </row>
    <row r="19" spans="2:8">
      <c r="B19" s="8" t="s">
        <v>111</v>
      </c>
      <c r="C19" s="11" t="s">
        <v>79</v>
      </c>
      <c r="D19" s="10" t="s">
        <v>110</v>
      </c>
      <c r="E19" s="14" t="s">
        <v>112</v>
      </c>
      <c r="F19" s="11" t="s">
        <v>269</v>
      </c>
      <c r="G19" s="87" t="s">
        <v>530</v>
      </c>
      <c r="H19" s="35" t="s">
        <v>253</v>
      </c>
    </row>
    <row r="20" spans="2:8">
      <c r="B20" s="8" t="s">
        <v>271</v>
      </c>
      <c r="C20" s="11" t="s">
        <v>67</v>
      </c>
      <c r="D20" s="11" t="s">
        <v>110</v>
      </c>
      <c r="E20" s="14">
        <v>1</v>
      </c>
      <c r="F20" s="10" t="s">
        <v>468</v>
      </c>
      <c r="G20" s="86"/>
      <c r="H20" s="35" t="s">
        <v>253</v>
      </c>
    </row>
    <row r="21" spans="2:8">
      <c r="B21" s="8" t="s">
        <v>272</v>
      </c>
      <c r="C21" s="11" t="s">
        <v>67</v>
      </c>
      <c r="D21" s="11" t="s">
        <v>110</v>
      </c>
      <c r="E21" s="14">
        <v>1</v>
      </c>
      <c r="F21" s="10" t="s">
        <v>468</v>
      </c>
      <c r="G21" s="86"/>
      <c r="H21" s="35" t="s">
        <v>253</v>
      </c>
    </row>
    <row r="22" spans="2:8">
      <c r="B22" s="53" t="s">
        <v>355</v>
      </c>
      <c r="C22" s="10" t="s">
        <v>67</v>
      </c>
      <c r="D22" s="10" t="s">
        <v>110</v>
      </c>
      <c r="E22" s="14">
        <v>1</v>
      </c>
      <c r="F22" s="10" t="s">
        <v>469</v>
      </c>
      <c r="G22" s="86"/>
      <c r="H22" s="35" t="s">
        <v>253</v>
      </c>
    </row>
    <row r="23" spans="2:8">
      <c r="B23" s="53" t="s">
        <v>357</v>
      </c>
      <c r="C23" s="10" t="s">
        <v>358</v>
      </c>
      <c r="D23" s="10" t="s">
        <v>110</v>
      </c>
      <c r="E23" s="14">
        <v>1</v>
      </c>
      <c r="F23" s="10"/>
      <c r="G23" s="86"/>
      <c r="H23" s="35" t="s">
        <v>253</v>
      </c>
    </row>
    <row r="24" spans="2:8">
      <c r="B24" s="53" t="s">
        <v>609</v>
      </c>
      <c r="C24" s="10" t="s">
        <v>67</v>
      </c>
      <c r="D24" s="10" t="s">
        <v>80</v>
      </c>
      <c r="E24" s="14">
        <v>1</v>
      </c>
      <c r="F24" s="10"/>
      <c r="G24" s="86"/>
      <c r="H24" s="35" t="s">
        <v>253</v>
      </c>
    </row>
    <row r="25" spans="2:8">
      <c r="B25" s="43" t="s">
        <v>322</v>
      </c>
      <c r="C25" s="33" t="s">
        <v>323</v>
      </c>
      <c r="D25" s="33" t="s">
        <v>80</v>
      </c>
      <c r="E25" s="14">
        <v>1</v>
      </c>
      <c r="F25" s="10" t="s">
        <v>585</v>
      </c>
      <c r="H25" s="35" t="s">
        <v>299</v>
      </c>
    </row>
    <row r="26" spans="2:8">
      <c r="B26" s="53" t="s">
        <v>881</v>
      </c>
      <c r="C26" s="10" t="s">
        <v>587</v>
      </c>
      <c r="D26" s="10" t="s">
        <v>80</v>
      </c>
      <c r="E26" s="41">
        <v>1</v>
      </c>
      <c r="F26" s="10" t="s">
        <v>588</v>
      </c>
      <c r="G26" s="10" t="s">
        <v>880</v>
      </c>
      <c r="H26" s="35" t="s">
        <v>253</v>
      </c>
    </row>
    <row r="27" spans="2:8">
      <c r="B27" s="53" t="s">
        <v>882</v>
      </c>
      <c r="C27" s="11" t="s">
        <v>67</v>
      </c>
      <c r="D27" s="33" t="s">
        <v>80</v>
      </c>
      <c r="E27" s="37" t="s">
        <v>19</v>
      </c>
      <c r="F27" s="10" t="s">
        <v>356</v>
      </c>
      <c r="G27" s="35" t="s">
        <v>253</v>
      </c>
    </row>
    <row r="28" spans="2:8">
      <c r="B28" s="53" t="s">
        <v>387</v>
      </c>
      <c r="C28" s="10" t="s">
        <v>115</v>
      </c>
      <c r="D28" s="10" t="s">
        <v>80</v>
      </c>
      <c r="E28" s="41">
        <v>1</v>
      </c>
      <c r="F28" s="10" t="s">
        <v>342</v>
      </c>
      <c r="G28" s="35" t="s">
        <v>253</v>
      </c>
    </row>
    <row r="29" spans="2:8">
      <c r="B29" s="53" t="s">
        <v>346</v>
      </c>
      <c r="C29" s="10" t="s">
        <v>283</v>
      </c>
      <c r="D29" s="10" t="s">
        <v>80</v>
      </c>
      <c r="E29" s="41" t="s">
        <v>883</v>
      </c>
      <c r="F29" s="10" t="s">
        <v>347</v>
      </c>
      <c r="G29" s="36" t="s">
        <v>161</v>
      </c>
    </row>
    <row r="30" spans="2:8">
      <c r="B30" s="53" t="s">
        <v>713</v>
      </c>
      <c r="C30" s="10" t="s">
        <v>115</v>
      </c>
      <c r="D30" s="10" t="s">
        <v>114</v>
      </c>
      <c r="E30" s="37">
        <v>1</v>
      </c>
      <c r="F30" s="10" t="s">
        <v>589</v>
      </c>
      <c r="G30" s="35" t="s">
        <v>161</v>
      </c>
    </row>
    <row r="31" spans="2:8">
      <c r="B31" s="53" t="s">
        <v>381</v>
      </c>
      <c r="C31" s="10" t="s">
        <v>115</v>
      </c>
      <c r="D31" s="10" t="s">
        <v>80</v>
      </c>
      <c r="E31" s="41" t="s">
        <v>376</v>
      </c>
      <c r="F31" s="10" t="s">
        <v>382</v>
      </c>
      <c r="G31" s="35" t="s">
        <v>211</v>
      </c>
    </row>
    <row r="32" spans="2:8">
      <c r="B32" s="43" t="s">
        <v>319</v>
      </c>
      <c r="C32" s="33" t="s">
        <v>320</v>
      </c>
      <c r="D32" s="33" t="s">
        <v>80</v>
      </c>
      <c r="E32" s="37" t="s">
        <v>321</v>
      </c>
      <c r="F32" s="10" t="s">
        <v>325</v>
      </c>
      <c r="G32" s="35" t="s">
        <v>253</v>
      </c>
    </row>
    <row r="33" spans="2:7">
      <c r="B33" s="8" t="s">
        <v>275</v>
      </c>
      <c r="C33" s="11" t="s">
        <v>276</v>
      </c>
      <c r="D33" s="11" t="s">
        <v>110</v>
      </c>
      <c r="E33" s="41" t="s">
        <v>354</v>
      </c>
      <c r="F33" s="10" t="s">
        <v>467</v>
      </c>
      <c r="G33" s="35" t="s">
        <v>161</v>
      </c>
    </row>
    <row r="34" spans="2:7">
      <c r="B34" s="53" t="s">
        <v>730</v>
      </c>
      <c r="C34" s="10" t="s">
        <v>699</v>
      </c>
      <c r="D34" s="10" t="s">
        <v>80</v>
      </c>
      <c r="E34" s="41" t="s">
        <v>573</v>
      </c>
      <c r="F34" s="10" t="s">
        <v>700</v>
      </c>
      <c r="G34" s="35" t="s">
        <v>253</v>
      </c>
    </row>
    <row r="35" spans="2:7">
      <c r="B35" s="53" t="s">
        <v>894</v>
      </c>
      <c r="C35" s="10" t="s">
        <v>313</v>
      </c>
      <c r="D35" s="10" t="s">
        <v>110</v>
      </c>
      <c r="E35" s="41">
        <v>1</v>
      </c>
      <c r="F35" s="10" t="s">
        <v>470</v>
      </c>
      <c r="G35" s="35" t="s">
        <v>253</v>
      </c>
    </row>
    <row r="36" spans="2:7">
      <c r="B36" s="53" t="s">
        <v>581</v>
      </c>
      <c r="C36" s="10" t="s">
        <v>70</v>
      </c>
      <c r="D36" s="10" t="s">
        <v>110</v>
      </c>
      <c r="E36" s="41">
        <v>1</v>
      </c>
      <c r="F36" s="10" t="s">
        <v>582</v>
      </c>
      <c r="G36" s="35" t="s">
        <v>253</v>
      </c>
    </row>
  </sheetData>
  <hyperlinks>
    <hyperlink ref="A1" location="Main!A1" display="Main" xr:uid="{32DF19F5-FDF1-4641-B108-B96FB56A526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91"/>
  <sheetViews>
    <sheetView zoomScale="145" zoomScaleNormal="145" workbookViewId="0">
      <selection activeCell="B5" sqref="B5"/>
    </sheetView>
  </sheetViews>
  <sheetFormatPr defaultRowHeight="12.75"/>
  <cols>
    <col min="1" max="1" width="2.42578125" style="4" customWidth="1"/>
    <col min="2" max="2" width="28.140625" style="4" customWidth="1"/>
    <col min="3" max="3" width="32.28515625" style="11" customWidth="1"/>
    <col min="4" max="4" width="11.140625" style="11" customWidth="1"/>
    <col min="5" max="5" width="11" style="11" bestFit="1" customWidth="1"/>
    <col min="6" max="6" width="22.140625" style="11" customWidth="1"/>
    <col min="7" max="7" width="9.140625" style="4"/>
    <col min="8" max="8" width="3.28515625" style="4" customWidth="1"/>
    <col min="9" max="9" width="12.7109375" style="4" customWidth="1"/>
    <col min="10" max="10" width="8.42578125" style="4" customWidth="1"/>
    <col min="11" max="11" width="6.85546875" style="4" customWidth="1"/>
    <col min="12" max="12" width="8.140625" style="4" bestFit="1" customWidth="1"/>
    <col min="13" max="13" width="7.140625" style="4" customWidth="1"/>
    <col min="14" max="16384" width="9.140625" style="4"/>
  </cols>
  <sheetData>
    <row r="1" spans="1:13">
      <c r="A1" s="3"/>
    </row>
    <row r="2" spans="1:13" s="3" customFormat="1">
      <c r="B2" s="6" t="s">
        <v>43</v>
      </c>
      <c r="C2" s="9" t="s">
        <v>44</v>
      </c>
      <c r="D2" s="9" t="s">
        <v>87</v>
      </c>
      <c r="E2" s="9" t="s">
        <v>95</v>
      </c>
      <c r="F2" s="9" t="s">
        <v>66</v>
      </c>
      <c r="G2" s="12" t="s">
        <v>74</v>
      </c>
      <c r="I2" s="3" t="s">
        <v>284</v>
      </c>
      <c r="J2" s="19">
        <v>278</v>
      </c>
      <c r="K2" s="19"/>
    </row>
    <row r="3" spans="1:13" s="3" customFormat="1">
      <c r="B3" s="7" t="s">
        <v>48</v>
      </c>
      <c r="C3" s="33" t="s">
        <v>327</v>
      </c>
      <c r="D3" s="10">
        <v>2004</v>
      </c>
      <c r="E3" s="41">
        <v>1</v>
      </c>
      <c r="F3" s="10" t="s">
        <v>71</v>
      </c>
      <c r="G3" s="35" t="s">
        <v>161</v>
      </c>
      <c r="I3" s="3" t="s">
        <v>42</v>
      </c>
      <c r="J3" s="20">
        <v>800.40300000000002</v>
      </c>
      <c r="K3" s="54" t="s">
        <v>788</v>
      </c>
    </row>
    <row r="4" spans="1:13">
      <c r="B4" s="7" t="s">
        <v>94</v>
      </c>
      <c r="C4" s="11" t="s">
        <v>146</v>
      </c>
      <c r="D4" s="11">
        <v>1998</v>
      </c>
      <c r="E4" s="14">
        <v>1</v>
      </c>
      <c r="F4" s="11" t="s">
        <v>163</v>
      </c>
      <c r="G4" s="36" t="s">
        <v>161</v>
      </c>
      <c r="I4" s="4" t="s">
        <v>107</v>
      </c>
      <c r="J4" s="21">
        <f>J3*J2+J12</f>
        <v>222512.03400000001</v>
      </c>
      <c r="K4" s="20"/>
    </row>
    <row r="5" spans="1:13">
      <c r="B5" s="7" t="s">
        <v>172</v>
      </c>
      <c r="C5" s="33" t="s">
        <v>328</v>
      </c>
      <c r="D5" s="11">
        <v>1997</v>
      </c>
      <c r="E5" s="33" t="s">
        <v>297</v>
      </c>
      <c r="F5" s="11" t="s">
        <v>82</v>
      </c>
      <c r="G5" s="36" t="s">
        <v>161</v>
      </c>
      <c r="I5" s="3" t="s">
        <v>182</v>
      </c>
      <c r="J5" s="21">
        <f>31198-18167</f>
        <v>13031</v>
      </c>
      <c r="K5" s="54" t="s">
        <v>788</v>
      </c>
    </row>
    <row r="6" spans="1:13">
      <c r="B6" s="53" t="s">
        <v>794</v>
      </c>
      <c r="C6" s="10" t="s">
        <v>821</v>
      </c>
      <c r="F6" s="10"/>
      <c r="G6" s="35"/>
      <c r="I6" s="3" t="s">
        <v>577</v>
      </c>
      <c r="J6" s="21">
        <v>31198</v>
      </c>
      <c r="K6" s="54" t="s">
        <v>788</v>
      </c>
      <c r="L6" s="3"/>
      <c r="M6" s="3"/>
    </row>
    <row r="7" spans="1:13">
      <c r="B7" s="38" t="s">
        <v>811</v>
      </c>
      <c r="C7" s="10" t="s">
        <v>812</v>
      </c>
      <c r="D7" s="119">
        <v>42508</v>
      </c>
      <c r="E7" s="14">
        <v>1</v>
      </c>
      <c r="F7" s="10" t="s">
        <v>813</v>
      </c>
      <c r="G7" s="35" t="s">
        <v>161</v>
      </c>
      <c r="I7" s="4" t="s">
        <v>108</v>
      </c>
      <c r="J7" s="21">
        <f>J4-J5+J6</f>
        <v>240679.03400000001</v>
      </c>
      <c r="L7" s="3"/>
      <c r="M7" s="3"/>
    </row>
    <row r="8" spans="1:13">
      <c r="B8" s="38" t="s">
        <v>704</v>
      </c>
      <c r="C8" s="10" t="s">
        <v>405</v>
      </c>
      <c r="D8" s="11" t="s">
        <v>114</v>
      </c>
      <c r="E8" s="14">
        <v>1</v>
      </c>
      <c r="F8" s="10" t="s">
        <v>163</v>
      </c>
      <c r="G8" s="36" t="s">
        <v>161</v>
      </c>
      <c r="J8" s="21"/>
      <c r="K8" s="110"/>
      <c r="L8" s="3"/>
      <c r="M8" s="3"/>
    </row>
    <row r="9" spans="1:13">
      <c r="B9" s="38" t="s">
        <v>823</v>
      </c>
      <c r="C9" s="10" t="s">
        <v>123</v>
      </c>
      <c r="E9" s="41" t="s">
        <v>297</v>
      </c>
      <c r="F9" s="10" t="s">
        <v>82</v>
      </c>
      <c r="G9" s="35" t="s">
        <v>161</v>
      </c>
      <c r="I9" s="3"/>
      <c r="J9" s="3"/>
      <c r="K9" s="21"/>
      <c r="L9" s="3"/>
      <c r="M9" s="3"/>
    </row>
    <row r="10" spans="1:13">
      <c r="B10" s="38" t="s">
        <v>265</v>
      </c>
      <c r="C10" s="11" t="s">
        <v>147</v>
      </c>
      <c r="D10" s="11">
        <v>2004</v>
      </c>
      <c r="E10" s="33" t="s">
        <v>298</v>
      </c>
      <c r="F10" s="11" t="s">
        <v>164</v>
      </c>
      <c r="G10" s="85" t="s">
        <v>315</v>
      </c>
    </row>
    <row r="11" spans="1:13">
      <c r="B11" s="38" t="s">
        <v>312</v>
      </c>
      <c r="C11" s="33" t="s">
        <v>313</v>
      </c>
      <c r="E11" s="37" t="s">
        <v>314</v>
      </c>
      <c r="F11" s="33" t="s">
        <v>71</v>
      </c>
      <c r="G11" s="85" t="s">
        <v>161</v>
      </c>
      <c r="I11" s="3"/>
      <c r="J11" s="3"/>
      <c r="K11" s="21"/>
      <c r="L11" s="3"/>
      <c r="M11" s="3"/>
    </row>
    <row r="12" spans="1:13">
      <c r="B12" s="7" t="s">
        <v>244</v>
      </c>
      <c r="C12" s="11" t="s">
        <v>79</v>
      </c>
      <c r="D12" s="11">
        <v>2002</v>
      </c>
      <c r="E12" s="14">
        <v>1</v>
      </c>
      <c r="F12" s="11" t="s">
        <v>240</v>
      </c>
      <c r="G12" s="84" t="s">
        <v>211</v>
      </c>
      <c r="J12" s="21"/>
      <c r="K12" s="21"/>
      <c r="L12" s="3"/>
      <c r="M12" s="3"/>
    </row>
    <row r="13" spans="1:13">
      <c r="B13" s="38" t="s">
        <v>731</v>
      </c>
      <c r="C13" s="33" t="s">
        <v>317</v>
      </c>
      <c r="D13" s="10" t="s">
        <v>114</v>
      </c>
      <c r="E13" s="33" t="s">
        <v>318</v>
      </c>
      <c r="F13" s="10" t="s">
        <v>163</v>
      </c>
      <c r="G13" s="35" t="s">
        <v>529</v>
      </c>
      <c r="I13" s="60" t="s">
        <v>41</v>
      </c>
      <c r="J13" s="21"/>
      <c r="K13" s="21"/>
    </row>
    <row r="14" spans="1:13" s="3" customFormat="1">
      <c r="B14" s="38" t="s">
        <v>752</v>
      </c>
      <c r="C14" s="11" t="s">
        <v>84</v>
      </c>
      <c r="D14" s="10">
        <v>2009</v>
      </c>
      <c r="E14" s="14">
        <v>1</v>
      </c>
      <c r="F14" s="11" t="s">
        <v>83</v>
      </c>
      <c r="G14" s="36" t="s">
        <v>161</v>
      </c>
      <c r="I14" s="60" t="s">
        <v>471</v>
      </c>
      <c r="K14" s="21"/>
      <c r="L14" s="4"/>
      <c r="M14" s="4"/>
    </row>
    <row r="15" spans="1:13">
      <c r="B15" s="8" t="s">
        <v>267</v>
      </c>
      <c r="C15" s="11" t="s">
        <v>207</v>
      </c>
      <c r="D15" s="11">
        <v>1995</v>
      </c>
      <c r="E15" s="14">
        <v>1</v>
      </c>
      <c r="F15" s="10" t="s">
        <v>345</v>
      </c>
      <c r="G15" s="83" t="s">
        <v>464</v>
      </c>
    </row>
    <row r="16" spans="1:13">
      <c r="B16" s="38" t="s">
        <v>847</v>
      </c>
      <c r="C16" s="10" t="s">
        <v>851</v>
      </c>
      <c r="E16" s="41" t="s">
        <v>848</v>
      </c>
      <c r="F16" s="10" t="s">
        <v>850</v>
      </c>
      <c r="G16" s="83" t="s">
        <v>849</v>
      </c>
    </row>
    <row r="17" spans="2:11">
      <c r="B17" s="53" t="s">
        <v>712</v>
      </c>
      <c r="C17" s="10" t="s">
        <v>377</v>
      </c>
      <c r="D17" s="10"/>
      <c r="E17" s="41" t="s">
        <v>378</v>
      </c>
      <c r="F17" s="10" t="s">
        <v>379</v>
      </c>
      <c r="G17" s="35" t="s">
        <v>253</v>
      </c>
    </row>
    <row r="18" spans="2:11">
      <c r="B18" s="53" t="s">
        <v>753</v>
      </c>
      <c r="C18" s="10" t="s">
        <v>572</v>
      </c>
      <c r="D18" s="10">
        <v>2013</v>
      </c>
      <c r="E18" s="41">
        <v>1</v>
      </c>
      <c r="F18" s="10" t="s">
        <v>82</v>
      </c>
      <c r="G18" s="35" t="s">
        <v>161</v>
      </c>
    </row>
    <row r="19" spans="2:11">
      <c r="B19" s="53" t="s">
        <v>910</v>
      </c>
      <c r="C19" s="10" t="s">
        <v>86</v>
      </c>
      <c r="D19" s="123">
        <v>43397</v>
      </c>
      <c r="E19" s="41">
        <v>1</v>
      </c>
      <c r="F19" s="10"/>
      <c r="G19" s="35"/>
    </row>
    <row r="20" spans="2:11">
      <c r="B20" s="53" t="s">
        <v>908</v>
      </c>
      <c r="C20" s="10" t="s">
        <v>909</v>
      </c>
      <c r="D20" s="123">
        <v>44057</v>
      </c>
      <c r="E20" s="41">
        <v>1</v>
      </c>
      <c r="F20" s="10" t="s">
        <v>83</v>
      </c>
      <c r="G20" s="35" t="s">
        <v>161</v>
      </c>
    </row>
    <row r="21" spans="2:11">
      <c r="B21" s="53" t="s">
        <v>904</v>
      </c>
      <c r="C21" s="10" t="s">
        <v>905</v>
      </c>
      <c r="D21" s="123">
        <v>44917</v>
      </c>
      <c r="E21" s="41">
        <v>1</v>
      </c>
      <c r="F21" s="10" t="s">
        <v>885</v>
      </c>
      <c r="G21" s="35" t="s">
        <v>892</v>
      </c>
    </row>
    <row r="22" spans="2:11">
      <c r="B22" s="53" t="s">
        <v>906</v>
      </c>
      <c r="C22" s="10" t="s">
        <v>313</v>
      </c>
      <c r="D22" s="123">
        <v>44589</v>
      </c>
      <c r="E22" s="41"/>
      <c r="F22" s="10" t="s">
        <v>907</v>
      </c>
      <c r="G22" s="35"/>
    </row>
    <row r="23" spans="2:11">
      <c r="B23" s="38" t="s">
        <v>266</v>
      </c>
      <c r="C23" s="11" t="s">
        <v>239</v>
      </c>
      <c r="D23" s="11">
        <v>1998</v>
      </c>
      <c r="E23" s="14">
        <v>1</v>
      </c>
      <c r="F23" s="10" t="s">
        <v>400</v>
      </c>
      <c r="G23" s="83" t="s">
        <v>512</v>
      </c>
      <c r="K23" s="21"/>
    </row>
    <row r="24" spans="2:11">
      <c r="B24" s="53" t="s">
        <v>729</v>
      </c>
      <c r="C24" s="10" t="s">
        <v>324</v>
      </c>
      <c r="D24" s="10"/>
      <c r="E24" s="37" t="s">
        <v>321</v>
      </c>
      <c r="F24" s="33" t="s">
        <v>325</v>
      </c>
      <c r="G24" s="35" t="s">
        <v>253</v>
      </c>
      <c r="I24" s="3" t="s">
        <v>679</v>
      </c>
    </row>
    <row r="25" spans="2:11">
      <c r="B25" s="7" t="s">
        <v>47</v>
      </c>
      <c r="C25" s="11" t="s">
        <v>45</v>
      </c>
      <c r="D25" s="11">
        <v>2007</v>
      </c>
      <c r="E25" s="11" t="s">
        <v>73</v>
      </c>
      <c r="F25" s="11" t="s">
        <v>72</v>
      </c>
      <c r="G25" s="84" t="s">
        <v>211</v>
      </c>
      <c r="I25" s="3" t="s">
        <v>846</v>
      </c>
    </row>
    <row r="26" spans="2:11">
      <c r="B26" s="6"/>
      <c r="C26" s="9"/>
      <c r="D26" s="9" t="s">
        <v>46</v>
      </c>
      <c r="E26" s="9"/>
      <c r="F26" s="9"/>
      <c r="G26" s="12"/>
      <c r="I26" s="3" t="s">
        <v>856</v>
      </c>
    </row>
    <row r="27" spans="2:11">
      <c r="B27" s="120" t="s">
        <v>899</v>
      </c>
      <c r="C27" s="10" t="s">
        <v>879</v>
      </c>
      <c r="D27" s="10" t="s">
        <v>114</v>
      </c>
      <c r="E27" s="41" t="s">
        <v>900</v>
      </c>
      <c r="G27" s="36"/>
    </row>
    <row r="28" spans="2:11">
      <c r="B28" s="53" t="s">
        <v>884</v>
      </c>
      <c r="C28" s="10" t="s">
        <v>851</v>
      </c>
      <c r="D28" s="10" t="s">
        <v>114</v>
      </c>
      <c r="F28" s="10" t="s">
        <v>885</v>
      </c>
      <c r="G28" s="121" t="s">
        <v>892</v>
      </c>
    </row>
    <row r="29" spans="2:11">
      <c r="B29" s="53" t="s">
        <v>898</v>
      </c>
      <c r="F29" s="10" t="s">
        <v>886</v>
      </c>
      <c r="G29" s="121" t="s">
        <v>161</v>
      </c>
    </row>
    <row r="30" spans="2:11">
      <c r="B30" s="53" t="s">
        <v>901</v>
      </c>
      <c r="C30" s="10" t="s">
        <v>123</v>
      </c>
      <c r="D30" s="10" t="s">
        <v>114</v>
      </c>
      <c r="F30" s="10" t="s">
        <v>902</v>
      </c>
      <c r="G30" s="121"/>
    </row>
    <row r="31" spans="2:11">
      <c r="B31" s="53" t="s">
        <v>911</v>
      </c>
      <c r="C31" s="10"/>
      <c r="D31" s="10" t="s">
        <v>114</v>
      </c>
      <c r="F31" s="10" t="s">
        <v>912</v>
      </c>
      <c r="G31" s="121"/>
    </row>
    <row r="32" spans="2:11">
      <c r="B32" s="53" t="s">
        <v>887</v>
      </c>
      <c r="C32" s="10" t="s">
        <v>889</v>
      </c>
      <c r="F32" s="10" t="s">
        <v>888</v>
      </c>
      <c r="G32" s="121" t="s">
        <v>529</v>
      </c>
    </row>
    <row r="33" spans="2:7">
      <c r="B33" s="53" t="s">
        <v>890</v>
      </c>
      <c r="C33" s="10" t="s">
        <v>893</v>
      </c>
      <c r="F33" s="10" t="s">
        <v>891</v>
      </c>
      <c r="G33" s="121" t="s">
        <v>892</v>
      </c>
    </row>
    <row r="34" spans="2:7">
      <c r="B34" s="53" t="s">
        <v>896</v>
      </c>
      <c r="C34" s="10"/>
      <c r="F34" s="10" t="s">
        <v>897</v>
      </c>
      <c r="G34" s="121" t="s">
        <v>892</v>
      </c>
    </row>
    <row r="35" spans="2:7">
      <c r="B35" s="53" t="s">
        <v>903</v>
      </c>
      <c r="C35" s="10" t="s">
        <v>359</v>
      </c>
      <c r="D35" s="10" t="s">
        <v>114</v>
      </c>
      <c r="E35" s="41" t="s">
        <v>360</v>
      </c>
      <c r="F35" s="10" t="s">
        <v>361</v>
      </c>
      <c r="G35" s="35" t="s">
        <v>161</v>
      </c>
    </row>
    <row r="36" spans="2:7">
      <c r="B36" s="53" t="s">
        <v>734</v>
      </c>
      <c r="C36" s="10" t="s">
        <v>359</v>
      </c>
      <c r="D36" s="10"/>
      <c r="E36" s="41"/>
      <c r="F36" s="10" t="s">
        <v>361</v>
      </c>
      <c r="G36" s="35" t="s">
        <v>161</v>
      </c>
    </row>
    <row r="37" spans="2:7">
      <c r="B37" s="53" t="s">
        <v>738</v>
      </c>
      <c r="C37" s="10" t="s">
        <v>735</v>
      </c>
      <c r="D37" s="10" t="s">
        <v>110</v>
      </c>
      <c r="E37" s="41">
        <v>1</v>
      </c>
      <c r="F37" s="10" t="s">
        <v>736</v>
      </c>
      <c r="G37" s="35" t="s">
        <v>253</v>
      </c>
    </row>
    <row r="38" spans="2:7">
      <c r="B38" s="53" t="s">
        <v>741</v>
      </c>
      <c r="C38" s="10" t="s">
        <v>359</v>
      </c>
      <c r="D38" s="10" t="s">
        <v>110</v>
      </c>
      <c r="E38" s="41">
        <v>1</v>
      </c>
      <c r="F38" s="10" t="s">
        <v>742</v>
      </c>
      <c r="G38" s="35"/>
    </row>
    <row r="39" spans="2:7">
      <c r="B39" s="53" t="s">
        <v>737</v>
      </c>
      <c r="C39" s="10" t="s">
        <v>359</v>
      </c>
      <c r="D39" s="10" t="s">
        <v>110</v>
      </c>
      <c r="E39" s="41" t="s">
        <v>739</v>
      </c>
      <c r="F39" s="10" t="s">
        <v>740</v>
      </c>
      <c r="G39" s="35" t="s">
        <v>253</v>
      </c>
    </row>
    <row r="40" spans="2:7">
      <c r="B40" s="53" t="s">
        <v>743</v>
      </c>
      <c r="C40" s="10" t="s">
        <v>268</v>
      </c>
      <c r="D40" s="10" t="s">
        <v>110</v>
      </c>
      <c r="E40" s="41">
        <v>1</v>
      </c>
      <c r="F40" s="10" t="s">
        <v>744</v>
      </c>
      <c r="G40" s="35"/>
    </row>
    <row r="41" spans="2:7">
      <c r="B41" s="53" t="s">
        <v>709</v>
      </c>
      <c r="C41" s="10" t="s">
        <v>359</v>
      </c>
      <c r="D41" s="10" t="s">
        <v>110</v>
      </c>
      <c r="E41" s="41">
        <v>1</v>
      </c>
      <c r="F41" s="10" t="s">
        <v>710</v>
      </c>
      <c r="G41" s="35" t="s">
        <v>253</v>
      </c>
    </row>
    <row r="42" spans="2:7" s="17" customFormat="1">
      <c r="B42" s="53" t="s">
        <v>706</v>
      </c>
      <c r="C42" s="10" t="s">
        <v>707</v>
      </c>
      <c r="D42" s="10" t="s">
        <v>110</v>
      </c>
      <c r="E42" s="41">
        <v>1</v>
      </c>
      <c r="F42" s="10" t="s">
        <v>708</v>
      </c>
      <c r="G42" s="35" t="s">
        <v>253</v>
      </c>
    </row>
    <row r="43" spans="2:7" s="17" customFormat="1">
      <c r="B43" s="8" t="s">
        <v>278</v>
      </c>
      <c r="C43" s="11" t="s">
        <v>115</v>
      </c>
      <c r="D43" s="11" t="s">
        <v>110</v>
      </c>
      <c r="E43" s="14">
        <v>1</v>
      </c>
      <c r="F43" s="10" t="s">
        <v>383</v>
      </c>
      <c r="G43" s="35" t="s">
        <v>253</v>
      </c>
    </row>
    <row r="44" spans="2:7">
      <c r="B44" s="53" t="s">
        <v>692</v>
      </c>
      <c r="C44" s="10" t="s">
        <v>115</v>
      </c>
      <c r="D44" s="10" t="s">
        <v>110</v>
      </c>
      <c r="E44" s="41">
        <v>1</v>
      </c>
      <c r="F44" s="10" t="s">
        <v>474</v>
      </c>
      <c r="G44" s="35" t="s">
        <v>161</v>
      </c>
    </row>
    <row r="45" spans="2:7">
      <c r="B45" s="53" t="s">
        <v>279</v>
      </c>
      <c r="C45" s="10" t="s">
        <v>115</v>
      </c>
      <c r="D45" s="10" t="s">
        <v>110</v>
      </c>
      <c r="E45" s="41">
        <v>1</v>
      </c>
      <c r="F45" s="10" t="s">
        <v>606</v>
      </c>
      <c r="G45" s="35"/>
    </row>
    <row r="46" spans="2:7">
      <c r="B46" s="53" t="s">
        <v>370</v>
      </c>
      <c r="C46" s="10" t="s">
        <v>115</v>
      </c>
      <c r="D46" s="10" t="s">
        <v>110</v>
      </c>
      <c r="E46" s="41">
        <v>1</v>
      </c>
      <c r="F46" s="10" t="s">
        <v>473</v>
      </c>
      <c r="G46" s="35" t="s">
        <v>253</v>
      </c>
    </row>
    <row r="47" spans="2:7">
      <c r="B47" s="53" t="s">
        <v>384</v>
      </c>
      <c r="C47" s="10" t="s">
        <v>115</v>
      </c>
      <c r="D47" s="10" t="s">
        <v>110</v>
      </c>
      <c r="E47" s="41">
        <v>1</v>
      </c>
      <c r="F47" s="10" t="s">
        <v>385</v>
      </c>
      <c r="G47" s="35" t="s">
        <v>161</v>
      </c>
    </row>
    <row r="48" spans="2:7">
      <c r="B48" s="53" t="s">
        <v>670</v>
      </c>
      <c r="C48" s="10" t="s">
        <v>115</v>
      </c>
      <c r="D48" s="10" t="s">
        <v>110</v>
      </c>
      <c r="E48" s="41">
        <v>1</v>
      </c>
      <c r="F48" s="10" t="s">
        <v>386</v>
      </c>
      <c r="G48" s="35" t="s">
        <v>253</v>
      </c>
    </row>
    <row r="49" spans="2:7">
      <c r="B49" s="53" t="s">
        <v>371</v>
      </c>
      <c r="C49" s="10" t="s">
        <v>115</v>
      </c>
      <c r="D49" s="10" t="s">
        <v>110</v>
      </c>
      <c r="E49" s="41">
        <v>1</v>
      </c>
      <c r="G49" s="35" t="s">
        <v>253</v>
      </c>
    </row>
    <row r="50" spans="2:7">
      <c r="B50" s="53" t="s">
        <v>368</v>
      </c>
      <c r="C50" s="11" t="s">
        <v>115</v>
      </c>
      <c r="D50" s="11" t="s">
        <v>110</v>
      </c>
      <c r="E50" s="14">
        <v>1</v>
      </c>
      <c r="F50" s="10" t="s">
        <v>369</v>
      </c>
      <c r="G50" s="35" t="s">
        <v>253</v>
      </c>
    </row>
    <row r="51" spans="2:7">
      <c r="B51" s="53" t="s">
        <v>607</v>
      </c>
      <c r="C51" s="10" t="s">
        <v>115</v>
      </c>
      <c r="D51" s="10" t="s">
        <v>110</v>
      </c>
      <c r="E51" s="14">
        <v>1</v>
      </c>
      <c r="F51" s="10"/>
      <c r="G51" s="35" t="s">
        <v>253</v>
      </c>
    </row>
    <row r="52" spans="2:7">
      <c r="B52" s="53" t="s">
        <v>574</v>
      </c>
      <c r="C52" s="10" t="s">
        <v>115</v>
      </c>
      <c r="D52" s="10" t="s">
        <v>110</v>
      </c>
      <c r="E52" s="41" t="s">
        <v>575</v>
      </c>
      <c r="F52" s="10"/>
      <c r="G52" s="35" t="s">
        <v>253</v>
      </c>
    </row>
    <row r="53" spans="2:7">
      <c r="B53" s="53" t="s">
        <v>671</v>
      </c>
      <c r="C53" s="10" t="s">
        <v>605</v>
      </c>
      <c r="D53" s="10" t="s">
        <v>110</v>
      </c>
      <c r="E53" s="41">
        <v>1</v>
      </c>
      <c r="F53" s="10" t="s">
        <v>386</v>
      </c>
      <c r="G53" s="35" t="s">
        <v>253</v>
      </c>
    </row>
    <row r="54" spans="2:7">
      <c r="B54" s="53" t="s">
        <v>375</v>
      </c>
      <c r="C54" s="10" t="s">
        <v>115</v>
      </c>
      <c r="D54" s="10" t="s">
        <v>110</v>
      </c>
      <c r="E54" s="41">
        <v>1</v>
      </c>
      <c r="F54" s="10" t="s">
        <v>472</v>
      </c>
      <c r="G54" s="35" t="s">
        <v>253</v>
      </c>
    </row>
    <row r="55" spans="2:7">
      <c r="B55" s="53" t="s">
        <v>365</v>
      </c>
      <c r="C55" s="10" t="s">
        <v>366</v>
      </c>
      <c r="D55" s="10" t="s">
        <v>110</v>
      </c>
      <c r="E55" s="14">
        <v>1</v>
      </c>
      <c r="F55" s="10" t="s">
        <v>367</v>
      </c>
      <c r="G55" s="35" t="s">
        <v>211</v>
      </c>
    </row>
    <row r="56" spans="2:7">
      <c r="B56" s="53" t="s">
        <v>590</v>
      </c>
      <c r="C56" s="10" t="s">
        <v>115</v>
      </c>
      <c r="D56" s="10" t="s">
        <v>110</v>
      </c>
      <c r="E56" s="14">
        <v>1</v>
      </c>
      <c r="F56" s="10" t="s">
        <v>591</v>
      </c>
      <c r="G56" s="35" t="s">
        <v>253</v>
      </c>
    </row>
    <row r="57" spans="2:7">
      <c r="B57" s="96" t="s">
        <v>733</v>
      </c>
      <c r="C57" s="122" t="s">
        <v>349</v>
      </c>
      <c r="D57" s="122" t="s">
        <v>110</v>
      </c>
      <c r="E57" s="97">
        <v>1</v>
      </c>
      <c r="F57" s="122" t="s">
        <v>350</v>
      </c>
      <c r="G57" s="98" t="s">
        <v>161</v>
      </c>
    </row>
    <row r="58" spans="2:7" s="17" customFormat="1">
      <c r="B58" s="53" t="s">
        <v>576</v>
      </c>
      <c r="C58" s="10" t="s">
        <v>465</v>
      </c>
      <c r="D58" s="10" t="s">
        <v>80</v>
      </c>
      <c r="E58" s="14">
        <v>1</v>
      </c>
      <c r="F58" s="10" t="s">
        <v>466</v>
      </c>
      <c r="G58" s="35" t="s">
        <v>161</v>
      </c>
    </row>
    <row r="59" spans="2:7">
      <c r="B59" s="53" t="s">
        <v>351</v>
      </c>
      <c r="C59" s="10" t="s">
        <v>352</v>
      </c>
      <c r="D59" s="10" t="s">
        <v>110</v>
      </c>
      <c r="E59" s="14">
        <v>1</v>
      </c>
      <c r="F59" s="10" t="s">
        <v>353</v>
      </c>
      <c r="G59" s="35" t="s">
        <v>161</v>
      </c>
    </row>
    <row r="60" spans="2:7">
      <c r="B60" s="53" t="s">
        <v>372</v>
      </c>
      <c r="C60" s="10" t="s">
        <v>115</v>
      </c>
      <c r="D60" s="10" t="s">
        <v>110</v>
      </c>
      <c r="E60" s="41" t="s">
        <v>373</v>
      </c>
      <c r="F60" s="10" t="s">
        <v>374</v>
      </c>
      <c r="G60" s="35" t="s">
        <v>161</v>
      </c>
    </row>
    <row r="61" spans="2:7">
      <c r="B61" s="53" t="s">
        <v>584</v>
      </c>
      <c r="C61" s="10" t="s">
        <v>413</v>
      </c>
      <c r="D61" s="10" t="s">
        <v>110</v>
      </c>
      <c r="E61" s="41" t="s">
        <v>414</v>
      </c>
      <c r="F61" s="10" t="s">
        <v>583</v>
      </c>
      <c r="G61" s="35" t="s">
        <v>253</v>
      </c>
    </row>
    <row r="62" spans="2:7">
      <c r="B62" s="53"/>
      <c r="C62" s="10" t="s">
        <v>388</v>
      </c>
      <c r="D62" s="10" t="s">
        <v>110</v>
      </c>
      <c r="E62" s="41">
        <v>1</v>
      </c>
      <c r="F62" s="10" t="s">
        <v>390</v>
      </c>
      <c r="G62" s="35" t="s">
        <v>253</v>
      </c>
    </row>
    <row r="63" spans="2:7">
      <c r="B63" s="53"/>
      <c r="C63" s="10" t="s">
        <v>389</v>
      </c>
      <c r="D63" s="10" t="s">
        <v>110</v>
      </c>
      <c r="E63" s="41">
        <v>1</v>
      </c>
      <c r="F63" s="10" t="s">
        <v>391</v>
      </c>
      <c r="G63" s="35" t="s">
        <v>161</v>
      </c>
    </row>
    <row r="64" spans="2:7">
      <c r="B64" s="61" t="s">
        <v>343</v>
      </c>
      <c r="C64" s="62" t="s">
        <v>283</v>
      </c>
      <c r="D64" s="62" t="s">
        <v>80</v>
      </c>
      <c r="E64" s="22">
        <v>1</v>
      </c>
      <c r="F64" s="62" t="s">
        <v>344</v>
      </c>
      <c r="G64" s="63" t="s">
        <v>161</v>
      </c>
    </row>
    <row r="66" spans="2:6">
      <c r="B66" s="3"/>
      <c r="F66" s="18" t="s">
        <v>103</v>
      </c>
    </row>
    <row r="67" spans="2:6">
      <c r="B67" s="3"/>
      <c r="F67" s="18" t="s">
        <v>120</v>
      </c>
    </row>
    <row r="68" spans="2:6">
      <c r="B68" s="3"/>
      <c r="F68" s="18" t="s">
        <v>243</v>
      </c>
    </row>
    <row r="69" spans="2:6">
      <c r="F69" s="18" t="s">
        <v>241</v>
      </c>
    </row>
    <row r="70" spans="2:6">
      <c r="F70" s="18" t="s">
        <v>333</v>
      </c>
    </row>
    <row r="71" spans="2:6">
      <c r="F71" s="18" t="s">
        <v>331</v>
      </c>
    </row>
    <row r="72" spans="2:6">
      <c r="F72" s="18" t="s">
        <v>330</v>
      </c>
    </row>
    <row r="73" spans="2:6">
      <c r="F73" s="18" t="s">
        <v>306</v>
      </c>
    </row>
    <row r="74" spans="2:6">
      <c r="F74" s="18" t="s">
        <v>329</v>
      </c>
    </row>
    <row r="75" spans="2:6">
      <c r="F75" s="18" t="s">
        <v>326</v>
      </c>
    </row>
    <row r="76" spans="2:6">
      <c r="F76" s="18" t="s">
        <v>458</v>
      </c>
    </row>
    <row r="77" spans="2:6">
      <c r="F77" s="18" t="s">
        <v>398</v>
      </c>
    </row>
    <row r="78" spans="2:6">
      <c r="F78" s="18" t="s">
        <v>505</v>
      </c>
    </row>
    <row r="79" spans="2:6">
      <c r="F79" s="18" t="s">
        <v>515</v>
      </c>
    </row>
    <row r="80" spans="2:6">
      <c r="F80" s="18" t="s">
        <v>503</v>
      </c>
    </row>
    <row r="81" spans="6:6">
      <c r="F81" s="18" t="s">
        <v>431</v>
      </c>
    </row>
    <row r="82" spans="6:6">
      <c r="F82" s="18" t="s">
        <v>595</v>
      </c>
    </row>
    <row r="83" spans="6:6">
      <c r="F83" s="18" t="s">
        <v>693</v>
      </c>
    </row>
    <row r="84" spans="6:6">
      <c r="F84" s="18" t="s">
        <v>475</v>
      </c>
    </row>
    <row r="85" spans="6:6">
      <c r="F85" s="18" t="s">
        <v>711</v>
      </c>
    </row>
    <row r="87" spans="6:6">
      <c r="F87" s="118" t="s">
        <v>834</v>
      </c>
    </row>
    <row r="88" spans="6:6">
      <c r="F88" s="118" t="s">
        <v>835</v>
      </c>
    </row>
    <row r="89" spans="6:6">
      <c r="F89" s="118"/>
    </row>
    <row r="90" spans="6:6">
      <c r="F90" s="3" t="s">
        <v>857</v>
      </c>
    </row>
    <row r="91" spans="6:6">
      <c r="F91" s="118" t="s">
        <v>842</v>
      </c>
    </row>
  </sheetData>
  <phoneticPr fontId="17" type="noConversion"/>
  <hyperlinks>
    <hyperlink ref="B25" location="Mircera!A1" display="Mircera (CERA)" xr:uid="{00000000-0004-0000-0200-000000000000}"/>
    <hyperlink ref="B14" location="Actemra!A1" display="Actemra" xr:uid="{00000000-0004-0000-0200-000001000000}"/>
    <hyperlink ref="B3" location="Avastin!A1" display="Avastin (bevacizumab)" xr:uid="{00000000-0004-0000-0200-000002000000}"/>
    <hyperlink ref="B5" location="MabThera!A1" display="MabThera/Rituxan" xr:uid="{00000000-0004-0000-0200-000003000000}"/>
    <hyperlink ref="B4" location="Herceptin!A1" display="Herceptin (trastuzumab)" xr:uid="{00000000-0004-0000-0200-000004000000}"/>
    <hyperlink ref="B12" location="Pegasys!A1" display="Pegasys (peginterferon alfa-2a)" xr:uid="{00000000-0004-0000-0200-000005000000}"/>
    <hyperlink ref="B10" location="Tarceva!A1" display="Tarceva (erlotinib)" xr:uid="{00000000-0004-0000-0200-000006000000}"/>
    <hyperlink ref="I13" location="Diagnostics!A1" display="Diagnostics" xr:uid="{00000000-0004-0000-0200-000009000000}"/>
    <hyperlink ref="I14" location="Failures!A1" display="Failures" xr:uid="{00000000-0004-0000-0200-00000A000000}"/>
    <hyperlink ref="B7" location="Tecentriq!A1" display="Tecentriq (atezolizumab)" xr:uid="{C7FB439F-D96B-4A7C-A1A3-DEBF4D4B91A8}"/>
    <hyperlink ref="B11" location="Lucentis!A1" display="Lucentis (ranibizumab)" xr:uid="{98F1104D-A5E2-4615-843A-9BC0949A0E4F}"/>
    <hyperlink ref="B23" location="Xeloda!A1" display="Xeloda (capecitabine)" xr:uid="{8F2B063A-3A15-4B1A-884E-2E99BF7876ED}"/>
    <hyperlink ref="B8" location="pertuzumab!A1" display="pertuzumab" xr:uid="{2102BCC2-8611-491C-B597-7B5693B26690}"/>
    <hyperlink ref="B13" location="Kadcyla!A1" display="Kadcyla (trastuzumab-DM1)" xr:uid="{0181DD6A-FC19-4133-B47A-15F0C3075EB5}"/>
    <hyperlink ref="B9" location="Ocrevus!A1" display="Ocrevus (ocrelizumab)" xr:uid="{04ABF57F-9F2D-412F-9F21-BE805E3FE321}"/>
    <hyperlink ref="B16" location="Polivy!A1" display="Polivy (polatuzumab vedotin)" xr:uid="{6AF5067F-A358-4F13-A8ED-CEB4A668A3F6}"/>
  </hyperlinks>
  <pageMargins left="0.18" right="0.17" top="0.33" bottom="0.31" header="0.17" footer="0.35"/>
  <pageSetup scale="55" orientation="portrait" horizontalDpi="1200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W152"/>
  <sheetViews>
    <sheetView zoomScale="145" zoomScaleNormal="145" zoomScaleSheetLayoutView="100" workbookViewId="0">
      <pane xSplit="2" ySplit="2" topLeftCell="DH3" activePane="bottomRight" state="frozen"/>
      <selection activeCell="AT9" sqref="AT9"/>
      <selection pane="topRight" activeCell="AT9" sqref="AT9"/>
      <selection pane="bottomLeft" activeCell="AT9" sqref="AT9"/>
      <selection pane="bottomRight" activeCell="DV14" sqref="DV14"/>
    </sheetView>
  </sheetViews>
  <sheetFormatPr defaultRowHeight="12.75"/>
  <cols>
    <col min="1" max="1" width="5" style="15" bestFit="1" customWidth="1"/>
    <col min="2" max="2" width="28.85546875" style="15" customWidth="1"/>
    <col min="3" max="6" width="7.85546875" style="23" customWidth="1"/>
    <col min="7" max="24" width="7.85546875" style="67" customWidth="1"/>
    <col min="25" max="25" width="7.85546875" style="25" customWidth="1"/>
    <col min="26" max="48" width="7.85546875" style="67" customWidth="1"/>
    <col min="49" max="49" width="9.140625" style="93" customWidth="1"/>
    <col min="50" max="133" width="7.140625" style="93" customWidth="1"/>
    <col min="134" max="134" width="1.7109375" style="5" customWidth="1"/>
    <col min="135" max="135" width="9.140625" style="23" customWidth="1"/>
    <col min="136" max="140" width="8.28515625" style="23" bestFit="1" customWidth="1"/>
    <col min="141" max="154" width="8" style="23" customWidth="1"/>
    <col min="155" max="155" width="7.85546875" style="44" customWidth="1" collapsed="1"/>
    <col min="156" max="156" width="7.85546875" style="15" customWidth="1" collapsed="1"/>
    <col min="157" max="158" width="7.85546875" style="44" customWidth="1" collapsed="1"/>
    <col min="159" max="161" width="9.140625" style="15" collapsed="1"/>
    <col min="162" max="16384" width="9.140625" style="15"/>
  </cols>
  <sheetData>
    <row r="1" spans="1:165">
      <c r="A1" s="34" t="s">
        <v>55</v>
      </c>
      <c r="B1" s="17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</row>
    <row r="2" spans="1:165" s="26" customFormat="1">
      <c r="B2" s="17" t="s">
        <v>340</v>
      </c>
      <c r="C2" s="23" t="s">
        <v>181</v>
      </c>
      <c r="D2" s="23" t="s">
        <v>180</v>
      </c>
      <c r="E2" s="23" t="s">
        <v>179</v>
      </c>
      <c r="F2" s="23" t="s">
        <v>178</v>
      </c>
      <c r="G2" s="23" t="s">
        <v>179</v>
      </c>
      <c r="H2" s="23" t="s">
        <v>178</v>
      </c>
      <c r="I2" s="25" t="s">
        <v>177</v>
      </c>
      <c r="J2" s="25" t="s">
        <v>176</v>
      </c>
      <c r="K2" s="25" t="s">
        <v>143</v>
      </c>
      <c r="L2" s="25" t="s">
        <v>144</v>
      </c>
      <c r="M2" s="25" t="s">
        <v>145</v>
      </c>
      <c r="N2" s="25" t="s">
        <v>159</v>
      </c>
      <c r="O2" s="25" t="s">
        <v>173</v>
      </c>
      <c r="P2" s="25" t="s">
        <v>174</v>
      </c>
      <c r="Q2" s="25" t="s">
        <v>334</v>
      </c>
      <c r="R2" s="25" t="s">
        <v>335</v>
      </c>
      <c r="S2" s="25" t="s">
        <v>592</v>
      </c>
      <c r="T2" s="25" t="s">
        <v>593</v>
      </c>
      <c r="U2" s="68" t="s">
        <v>695</v>
      </c>
      <c r="V2" s="68" t="s">
        <v>696</v>
      </c>
      <c r="W2" s="68" t="s">
        <v>714</v>
      </c>
      <c r="X2" s="68" t="s">
        <v>715</v>
      </c>
      <c r="Y2" s="68" t="s">
        <v>754</v>
      </c>
      <c r="Z2" s="68" t="s">
        <v>755</v>
      </c>
      <c r="AA2" s="68" t="s">
        <v>756</v>
      </c>
      <c r="AB2" s="68" t="s">
        <v>757</v>
      </c>
      <c r="AC2" s="68" t="s">
        <v>859</v>
      </c>
      <c r="AD2" s="68" t="s">
        <v>860</v>
      </c>
      <c r="AE2" s="68" t="s">
        <v>861</v>
      </c>
      <c r="AF2" s="68" t="s">
        <v>862</v>
      </c>
      <c r="AG2" s="68" t="s">
        <v>863</v>
      </c>
      <c r="AH2" s="68" t="s">
        <v>864</v>
      </c>
      <c r="AI2" s="68" t="s">
        <v>865</v>
      </c>
      <c r="AJ2" s="68" t="s">
        <v>866</v>
      </c>
      <c r="AK2" s="68" t="s">
        <v>867</v>
      </c>
      <c r="AL2" s="68" t="s">
        <v>868</v>
      </c>
      <c r="AM2" s="68" t="s">
        <v>869</v>
      </c>
      <c r="AN2" s="68" t="s">
        <v>870</v>
      </c>
      <c r="AO2" s="68" t="s">
        <v>871</v>
      </c>
      <c r="AP2" s="68" t="s">
        <v>872</v>
      </c>
      <c r="AQ2" s="68" t="s">
        <v>873</v>
      </c>
      <c r="AR2" s="68" t="s">
        <v>874</v>
      </c>
      <c r="AS2" s="68"/>
      <c r="AT2" s="68"/>
      <c r="AU2" s="68"/>
      <c r="AV2" s="68"/>
      <c r="AW2" s="93"/>
      <c r="AX2" s="93" t="s">
        <v>157</v>
      </c>
      <c r="AY2" s="93" t="s">
        <v>156</v>
      </c>
      <c r="AZ2" s="93" t="s">
        <v>155</v>
      </c>
      <c r="BA2" s="93" t="s">
        <v>154</v>
      </c>
      <c r="BB2" s="93" t="s">
        <v>153</v>
      </c>
      <c r="BC2" s="93" t="s">
        <v>152</v>
      </c>
      <c r="BD2" s="93" t="s">
        <v>151</v>
      </c>
      <c r="BE2" s="93" t="s">
        <v>150</v>
      </c>
      <c r="BF2" s="93" t="s">
        <v>131</v>
      </c>
      <c r="BG2" s="93" t="s">
        <v>160</v>
      </c>
      <c r="BH2" s="93" t="s">
        <v>132</v>
      </c>
      <c r="BI2" s="93" t="s">
        <v>133</v>
      </c>
      <c r="BJ2" s="93" t="s">
        <v>134</v>
      </c>
      <c r="BK2" s="93" t="s">
        <v>135</v>
      </c>
      <c r="BL2" s="93" t="s">
        <v>136</v>
      </c>
      <c r="BM2" s="93" t="s">
        <v>137</v>
      </c>
      <c r="BN2" s="93" t="s">
        <v>195</v>
      </c>
      <c r="BO2" s="93" t="s">
        <v>196</v>
      </c>
      <c r="BP2" s="93" t="s">
        <v>197</v>
      </c>
      <c r="BQ2" s="93" t="s">
        <v>198</v>
      </c>
      <c r="BR2" s="44" t="s">
        <v>301</v>
      </c>
      <c r="BS2" s="44" t="s">
        <v>302</v>
      </c>
      <c r="BT2" s="44" t="s">
        <v>303</v>
      </c>
      <c r="BU2" s="44" t="s">
        <v>304</v>
      </c>
      <c r="BV2" s="52" t="s">
        <v>578</v>
      </c>
      <c r="BW2" s="52" t="s">
        <v>678</v>
      </c>
      <c r="BX2" s="52" t="s">
        <v>684</v>
      </c>
      <c r="BY2" s="52" t="s">
        <v>685</v>
      </c>
      <c r="BZ2" s="52" t="s">
        <v>686</v>
      </c>
      <c r="CA2" s="52" t="s">
        <v>687</v>
      </c>
      <c r="CB2" s="52" t="s">
        <v>688</v>
      </c>
      <c r="CC2" s="52" t="s">
        <v>689</v>
      </c>
      <c r="CD2" s="52" t="s">
        <v>716</v>
      </c>
      <c r="CE2" s="52" t="s">
        <v>717</v>
      </c>
      <c r="CF2" s="52" t="s">
        <v>718</v>
      </c>
      <c r="CG2" s="52" t="s">
        <v>719</v>
      </c>
      <c r="CH2" s="52" t="s">
        <v>725</v>
      </c>
      <c r="CI2" s="52" t="s">
        <v>726</v>
      </c>
      <c r="CJ2" s="52" t="s">
        <v>727</v>
      </c>
      <c r="CK2" s="52" t="s">
        <v>728</v>
      </c>
      <c r="CL2" s="52" t="s">
        <v>747</v>
      </c>
      <c r="CM2" s="52" t="s">
        <v>748</v>
      </c>
      <c r="CN2" s="52" t="s">
        <v>749</v>
      </c>
      <c r="CO2" s="52" t="s">
        <v>750</v>
      </c>
      <c r="CP2" s="52" t="s">
        <v>761</v>
      </c>
      <c r="CQ2" s="52" t="s">
        <v>762</v>
      </c>
      <c r="CR2" s="52" t="s">
        <v>763</v>
      </c>
      <c r="CS2" s="52" t="s">
        <v>764</v>
      </c>
      <c r="CT2" s="52" t="s">
        <v>765</v>
      </c>
      <c r="CU2" s="52" t="s">
        <v>766</v>
      </c>
      <c r="CV2" s="52" t="s">
        <v>767</v>
      </c>
      <c r="CW2" s="52" t="s">
        <v>768</v>
      </c>
      <c r="CX2" s="52" t="s">
        <v>769</v>
      </c>
      <c r="CY2" s="52" t="s">
        <v>770</v>
      </c>
      <c r="CZ2" s="52" t="s">
        <v>771</v>
      </c>
      <c r="DA2" s="52" t="s">
        <v>772</v>
      </c>
      <c r="DB2" s="52" t="s">
        <v>773</v>
      </c>
      <c r="DC2" s="52" t="s">
        <v>774</v>
      </c>
      <c r="DD2" s="52" t="s">
        <v>775</v>
      </c>
      <c r="DE2" s="52" t="s">
        <v>776</v>
      </c>
      <c r="DF2" s="52" t="s">
        <v>777</v>
      </c>
      <c r="DG2" s="52" t="s">
        <v>778</v>
      </c>
      <c r="DH2" s="52" t="s">
        <v>779</v>
      </c>
      <c r="DI2" s="52" t="s">
        <v>780</v>
      </c>
      <c r="DJ2" s="52" t="s">
        <v>781</v>
      </c>
      <c r="DK2" s="52" t="s">
        <v>782</v>
      </c>
      <c r="DL2" s="52" t="s">
        <v>783</v>
      </c>
      <c r="DM2" s="52" t="s">
        <v>784</v>
      </c>
      <c r="DN2" s="52" t="s">
        <v>785</v>
      </c>
      <c r="DO2" s="52" t="s">
        <v>786</v>
      </c>
      <c r="DP2" s="52" t="s">
        <v>787</v>
      </c>
      <c r="DQ2" s="52" t="s">
        <v>788</v>
      </c>
      <c r="DR2" s="52" t="s">
        <v>789</v>
      </c>
      <c r="DS2" s="52" t="s">
        <v>790</v>
      </c>
      <c r="DT2" s="52" t="s">
        <v>791</v>
      </c>
      <c r="DU2" s="52" t="s">
        <v>792</v>
      </c>
      <c r="DV2" s="52" t="s">
        <v>875</v>
      </c>
      <c r="DW2" s="52" t="s">
        <v>876</v>
      </c>
      <c r="DX2" s="52" t="s">
        <v>877</v>
      </c>
      <c r="DY2" s="52" t="s">
        <v>878</v>
      </c>
      <c r="DZ2" s="52"/>
      <c r="EA2" s="52"/>
      <c r="EB2" s="52"/>
      <c r="EC2" s="52"/>
      <c r="ED2" s="5"/>
      <c r="EE2" s="45">
        <v>2001</v>
      </c>
      <c r="EF2" s="45">
        <v>2002</v>
      </c>
      <c r="EG2" s="45">
        <v>2003</v>
      </c>
      <c r="EH2" s="45">
        <v>2004</v>
      </c>
      <c r="EI2" s="45">
        <v>2005</v>
      </c>
      <c r="EJ2" s="45">
        <v>2006</v>
      </c>
      <c r="EK2" s="45">
        <v>2007</v>
      </c>
      <c r="EL2" s="45">
        <f>EK2+1</f>
        <v>2008</v>
      </c>
      <c r="EM2" s="45">
        <f t="shared" ref="EM2:EX2" si="0">EL2+1</f>
        <v>2009</v>
      </c>
      <c r="EN2" s="45">
        <f t="shared" si="0"/>
        <v>2010</v>
      </c>
      <c r="EO2" s="45">
        <f t="shared" si="0"/>
        <v>2011</v>
      </c>
      <c r="EP2" s="45">
        <f t="shared" si="0"/>
        <v>2012</v>
      </c>
      <c r="EQ2" s="45">
        <f t="shared" si="0"/>
        <v>2013</v>
      </c>
      <c r="ER2" s="45">
        <f t="shared" si="0"/>
        <v>2014</v>
      </c>
      <c r="ES2" s="45">
        <f t="shared" si="0"/>
        <v>2015</v>
      </c>
      <c r="ET2" s="45">
        <f t="shared" si="0"/>
        <v>2016</v>
      </c>
      <c r="EU2" s="45">
        <f t="shared" si="0"/>
        <v>2017</v>
      </c>
      <c r="EV2" s="45">
        <f t="shared" si="0"/>
        <v>2018</v>
      </c>
      <c r="EW2" s="45">
        <f t="shared" si="0"/>
        <v>2019</v>
      </c>
      <c r="EX2" s="45">
        <f t="shared" si="0"/>
        <v>2020</v>
      </c>
      <c r="EY2" s="45">
        <f t="shared" ref="EY2" si="1">EX2+1</f>
        <v>2021</v>
      </c>
      <c r="EZ2" s="45">
        <f t="shared" ref="EZ2" si="2">EY2+1</f>
        <v>2022</v>
      </c>
      <c r="FA2" s="45">
        <f t="shared" ref="FA2" si="3">EZ2+1</f>
        <v>2023</v>
      </c>
      <c r="FB2" s="45">
        <f t="shared" ref="FB2" si="4">FA2+1</f>
        <v>2024</v>
      </c>
      <c r="FC2" s="45">
        <f t="shared" ref="FC2" si="5">FB2+1</f>
        <v>2025</v>
      </c>
      <c r="FD2" s="45">
        <f t="shared" ref="FD2" si="6">FC2+1</f>
        <v>2026</v>
      </c>
      <c r="FE2" s="45">
        <f t="shared" ref="FE2" si="7">FD2+1</f>
        <v>2027</v>
      </c>
      <c r="FF2" s="45">
        <f t="shared" ref="FF2" si="8">FE2+1</f>
        <v>2028</v>
      </c>
      <c r="FG2" s="45">
        <f t="shared" ref="FG2" si="9">FF2+1</f>
        <v>2029</v>
      </c>
      <c r="FH2" s="45">
        <f t="shared" ref="FH2" si="10">FG2+1</f>
        <v>2030</v>
      </c>
      <c r="FI2" s="45">
        <f t="shared" ref="FI2" si="11">FH2+1</f>
        <v>2031</v>
      </c>
    </row>
    <row r="3" spans="1:165" s="26" customFormat="1">
      <c r="B3" s="17" t="s">
        <v>484</v>
      </c>
      <c r="C3" s="23"/>
      <c r="D3" s="23"/>
      <c r="E3" s="23"/>
      <c r="F3" s="23"/>
      <c r="G3" s="23"/>
      <c r="H3" s="23"/>
      <c r="I3" s="25"/>
      <c r="J3" s="25"/>
      <c r="K3" s="25"/>
      <c r="L3" s="25"/>
      <c r="M3" s="25"/>
      <c r="N3" s="25"/>
      <c r="O3" s="25"/>
      <c r="P3" s="25"/>
      <c r="Q3" s="66">
        <f>SUM(Q14:Q60)</f>
        <v>19477</v>
      </c>
      <c r="R3" s="25">
        <f>BT3+BU3</f>
        <v>20063</v>
      </c>
      <c r="S3" s="25">
        <f>BU3+BV3</f>
        <v>18474</v>
      </c>
      <c r="T3" s="25">
        <f>37058-S3</f>
        <v>18584</v>
      </c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93"/>
      <c r="AX3" s="66">
        <f t="shared" ref="AX3:BK3" si="12">SUM(AX14:AX60)</f>
        <v>5217.9046424090338</v>
      </c>
      <c r="AY3" s="66">
        <f t="shared" si="12"/>
        <v>5426.6097867001254</v>
      </c>
      <c r="AZ3" s="66">
        <f t="shared" si="12"/>
        <v>5487.2823086574654</v>
      </c>
      <c r="BA3" s="66">
        <f t="shared" si="12"/>
        <v>5562.7076596246898</v>
      </c>
      <c r="BB3" s="66">
        <f t="shared" si="12"/>
        <v>6156</v>
      </c>
      <c r="BC3" s="66">
        <f t="shared" si="12"/>
        <v>6507.7282626022334</v>
      </c>
      <c r="BD3" s="66">
        <f t="shared" si="12"/>
        <v>6761.2717373977657</v>
      </c>
      <c r="BE3" s="66">
        <f t="shared" si="12"/>
        <v>7867</v>
      </c>
      <c r="BF3" s="66">
        <f t="shared" si="12"/>
        <v>7733</v>
      </c>
      <c r="BG3" s="66">
        <f t="shared" si="12"/>
        <v>7837</v>
      </c>
      <c r="BH3" s="66">
        <f t="shared" si="12"/>
        <v>8359.2578675886834</v>
      </c>
      <c r="BI3" s="66">
        <f t="shared" si="12"/>
        <v>9025.1465217449659</v>
      </c>
      <c r="BJ3" s="66">
        <f t="shared" si="12"/>
        <v>7729</v>
      </c>
      <c r="BK3" s="66">
        <f t="shared" si="12"/>
        <v>7696</v>
      </c>
      <c r="BL3" s="66">
        <f t="shared" ref="BL3:BU3" si="13">SUM(BL14:BL61)</f>
        <v>9212</v>
      </c>
      <c r="BM3" s="66">
        <f t="shared" si="13"/>
        <v>10011</v>
      </c>
      <c r="BN3" s="66">
        <f t="shared" si="13"/>
        <v>8795</v>
      </c>
      <c r="BO3" s="66">
        <f t="shared" si="13"/>
        <v>8902</v>
      </c>
      <c r="BP3" s="66">
        <f t="shared" si="13"/>
        <v>9138</v>
      </c>
      <c r="BQ3" s="66">
        <f t="shared" si="13"/>
        <v>9972</v>
      </c>
      <c r="BR3" s="66">
        <f t="shared" si="13"/>
        <v>9396</v>
      </c>
      <c r="BS3" s="66">
        <f t="shared" si="13"/>
        <v>10081</v>
      </c>
      <c r="BT3" s="66">
        <f t="shared" si="13"/>
        <v>10101</v>
      </c>
      <c r="BU3" s="66">
        <f t="shared" si="13"/>
        <v>9962</v>
      </c>
      <c r="BV3" s="66">
        <f>SUM(BV14:BV60)</f>
        <v>8512</v>
      </c>
      <c r="BW3" s="66">
        <f t="shared" ref="BW3:CC3" si="14">SUM(BW14:BW61)</f>
        <v>9659</v>
      </c>
      <c r="BX3" s="66">
        <f t="shared" si="14"/>
        <v>9009</v>
      </c>
      <c r="BY3" s="66">
        <f t="shared" si="14"/>
        <v>8663</v>
      </c>
      <c r="BZ3" s="66">
        <f t="shared" si="14"/>
        <v>8712</v>
      </c>
      <c r="CA3" s="66">
        <f t="shared" si="14"/>
        <v>8103</v>
      </c>
      <c r="CB3" s="66">
        <f t="shared" si="14"/>
        <v>7582</v>
      </c>
      <c r="CC3" s="66">
        <f t="shared" si="14"/>
        <v>8397</v>
      </c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  <c r="CX3" s="66"/>
      <c r="CY3" s="66"/>
      <c r="CZ3" s="66"/>
      <c r="DA3" s="66"/>
      <c r="DB3" s="66"/>
      <c r="DC3" s="66"/>
      <c r="DD3" s="66"/>
      <c r="DE3" s="66"/>
      <c r="DF3" s="66"/>
      <c r="DG3" s="66"/>
      <c r="DH3" s="66"/>
      <c r="DI3" s="66"/>
      <c r="DJ3" s="66"/>
      <c r="DK3" s="66"/>
      <c r="DL3" s="66"/>
      <c r="DM3" s="66"/>
      <c r="DN3" s="66">
        <f t="shared" ref="DN3:DQ3" si="15">SUM(DN9:DN60)</f>
        <v>9557</v>
      </c>
      <c r="DO3" s="66">
        <f t="shared" si="15"/>
        <v>10001</v>
      </c>
      <c r="DP3" s="66">
        <f t="shared" si="15"/>
        <v>10547</v>
      </c>
      <c r="DQ3" s="66">
        <f t="shared" si="15"/>
        <v>10511</v>
      </c>
      <c r="DR3" s="66">
        <f>SUM(DR9:DR60)</f>
        <v>11159</v>
      </c>
      <c r="DS3" s="66">
        <f t="shared" ref="DS3:DY3" si="16">SUM(DS9:DS60)</f>
        <v>10082</v>
      </c>
      <c r="DT3" s="66">
        <f t="shared" si="16"/>
        <v>9636</v>
      </c>
      <c r="DU3" s="66">
        <f t="shared" si="16"/>
        <v>11562.100000000002</v>
      </c>
      <c r="DV3" s="66">
        <f t="shared" si="16"/>
        <v>0</v>
      </c>
      <c r="DW3" s="66">
        <f t="shared" si="16"/>
        <v>0</v>
      </c>
      <c r="DX3" s="66">
        <f t="shared" si="16"/>
        <v>0</v>
      </c>
      <c r="DY3" s="66">
        <f t="shared" si="16"/>
        <v>0</v>
      </c>
      <c r="DZ3" s="66"/>
      <c r="EA3" s="66"/>
      <c r="EB3" s="66"/>
      <c r="EC3" s="66"/>
      <c r="ED3" s="5"/>
      <c r="EE3" s="66">
        <f t="shared" ref="EE3:EL3" si="17">SUM(EE14:EE60)</f>
        <v>17200</v>
      </c>
      <c r="EF3" s="66">
        <f t="shared" si="17"/>
        <v>17703</v>
      </c>
      <c r="EG3" s="66">
        <f t="shared" si="17"/>
        <v>19781</v>
      </c>
      <c r="EH3" s="66">
        <f t="shared" si="17"/>
        <v>21694.504397391313</v>
      </c>
      <c r="EI3" s="66">
        <f t="shared" si="17"/>
        <v>27292</v>
      </c>
      <c r="EJ3" s="66">
        <f t="shared" si="17"/>
        <v>32088.404389333649</v>
      </c>
      <c r="EK3" s="66">
        <f t="shared" si="17"/>
        <v>31009</v>
      </c>
      <c r="EL3" s="66">
        <f t="shared" si="17"/>
        <v>30761</v>
      </c>
      <c r="EM3" s="66">
        <f>SUM(EM14:EM61)</f>
        <v>39540</v>
      </c>
      <c r="EN3" s="66">
        <f>SUM(EN14:EN61)</f>
        <v>36911</v>
      </c>
      <c r="EO3" s="68">
        <f t="shared" ref="EO3:EO8" si="18">SUM(BZ3:CC3)</f>
        <v>32794</v>
      </c>
      <c r="EP3" s="66">
        <f t="shared" ref="EP3:EW3" si="19">SUM(EP14:EP61)</f>
        <v>30432</v>
      </c>
      <c r="EQ3" s="66">
        <f t="shared" si="19"/>
        <v>31404</v>
      </c>
      <c r="ER3" s="66">
        <f t="shared" si="19"/>
        <v>30229.620000000003</v>
      </c>
      <c r="ES3" s="66">
        <f t="shared" si="19"/>
        <v>29747.181199999999</v>
      </c>
      <c r="ET3" s="66">
        <f t="shared" si="19"/>
        <v>29677.626001999997</v>
      </c>
      <c r="EU3" s="66">
        <f t="shared" si="19"/>
        <v>28642.10138276</v>
      </c>
      <c r="EV3" s="66">
        <f t="shared" si="19"/>
        <v>27880.457600417809</v>
      </c>
      <c r="EW3" s="66">
        <f t="shared" si="19"/>
        <v>23580.29338870334</v>
      </c>
      <c r="EX3" s="66">
        <f>SUM(EX9:EX61)</f>
        <v>44532</v>
      </c>
      <c r="EY3" s="66">
        <f>SUM(EY9:EY61)</f>
        <v>45041</v>
      </c>
      <c r="EZ3" s="16"/>
      <c r="FA3" s="46"/>
      <c r="FB3" s="46"/>
    </row>
    <row r="4" spans="1:165" s="26" customFormat="1">
      <c r="B4" s="17" t="s">
        <v>579</v>
      </c>
      <c r="C4" s="46"/>
      <c r="D4" s="46"/>
      <c r="E4" s="24">
        <v>2051</v>
      </c>
      <c r="F4" s="24">
        <v>2470</v>
      </c>
      <c r="G4" s="24"/>
      <c r="H4" s="24"/>
      <c r="I4" s="27">
        <v>2867</v>
      </c>
      <c r="J4" s="27">
        <f>6614-I4</f>
        <v>3747</v>
      </c>
      <c r="K4" s="27">
        <v>4223</v>
      </c>
      <c r="L4" s="27">
        <f>9125-K4</f>
        <v>4902</v>
      </c>
      <c r="M4" s="27">
        <v>5227</v>
      </c>
      <c r="N4" s="27">
        <f>10414-M4</f>
        <v>5187</v>
      </c>
      <c r="O4" s="27">
        <v>4867</v>
      </c>
      <c r="P4" s="27">
        <f>10461-O4</f>
        <v>5594</v>
      </c>
      <c r="Q4" s="27">
        <v>7516</v>
      </c>
      <c r="R4" s="27">
        <f>BT4+BU4</f>
        <v>7289</v>
      </c>
      <c r="S4" s="27">
        <v>7372</v>
      </c>
      <c r="T4" s="27">
        <f>14071-S4</f>
        <v>6699</v>
      </c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48"/>
      <c r="AX4" s="46"/>
      <c r="AY4" s="46"/>
      <c r="AZ4" s="46"/>
      <c r="BA4" s="46"/>
      <c r="BB4" s="24"/>
      <c r="BC4" s="24"/>
      <c r="BD4" s="24"/>
      <c r="BE4" s="24">
        <v>1982</v>
      </c>
      <c r="BF4" s="24">
        <v>2056</v>
      </c>
      <c r="BG4" s="24">
        <v>2167</v>
      </c>
      <c r="BH4" s="24">
        <v>2299</v>
      </c>
      <c r="BI4" s="24">
        <v>2603</v>
      </c>
      <c r="BJ4" s="24">
        <v>2547</v>
      </c>
      <c r="BK4" s="24">
        <v>2680</v>
      </c>
      <c r="BL4" s="24">
        <v>2623</v>
      </c>
      <c r="BM4" s="24">
        <v>2564</v>
      </c>
      <c r="BN4" s="24">
        <v>3326</v>
      </c>
      <c r="BO4" s="24">
        <v>2468</v>
      </c>
      <c r="BP4" s="24">
        <v>2669</v>
      </c>
      <c r="BQ4" s="24">
        <v>2925</v>
      </c>
      <c r="BR4" s="24">
        <v>3586</v>
      </c>
      <c r="BS4" s="24">
        <f>7516-BR4</f>
        <v>3930</v>
      </c>
      <c r="BT4" s="24">
        <f>11157-BS4-BR4</f>
        <v>3641</v>
      </c>
      <c r="BU4" s="24">
        <v>3648</v>
      </c>
      <c r="BV4" s="24">
        <v>3647</v>
      </c>
      <c r="BW4" s="24">
        <v>3725</v>
      </c>
      <c r="BX4" s="24">
        <v>3506</v>
      </c>
      <c r="BY4" s="24">
        <v>3193</v>
      </c>
      <c r="BZ4" s="24">
        <v>3322</v>
      </c>
      <c r="CA4" s="24">
        <v>2963</v>
      </c>
      <c r="CB4" s="24">
        <v>2819</v>
      </c>
      <c r="CC4" s="24">
        <v>3119</v>
      </c>
      <c r="CD4" s="24"/>
      <c r="CE4" s="24"/>
      <c r="CF4" s="24"/>
      <c r="CG4" s="24"/>
      <c r="CH4" s="24"/>
      <c r="CI4" s="24"/>
      <c r="CJ4" s="24"/>
      <c r="CK4" s="24"/>
      <c r="CL4" s="24"/>
      <c r="CM4" s="24"/>
      <c r="CN4" s="24"/>
      <c r="CO4" s="24"/>
      <c r="CP4" s="24"/>
      <c r="CQ4" s="24"/>
      <c r="CR4" s="24"/>
      <c r="CS4" s="24"/>
      <c r="CT4" s="24"/>
      <c r="CU4" s="24"/>
      <c r="CV4" s="24"/>
      <c r="CW4" s="24"/>
      <c r="CX4" s="24"/>
      <c r="CY4" s="24"/>
      <c r="CZ4" s="24"/>
      <c r="DA4" s="24"/>
      <c r="DB4" s="24"/>
      <c r="DC4" s="24"/>
      <c r="DD4" s="24"/>
      <c r="DE4" s="24"/>
      <c r="DF4" s="24"/>
      <c r="DG4" s="24"/>
      <c r="DH4" s="24"/>
      <c r="DI4" s="24"/>
      <c r="DJ4" s="24"/>
      <c r="DK4" s="24"/>
      <c r="DL4" s="24"/>
      <c r="DM4" s="24"/>
      <c r="DN4" s="24"/>
      <c r="DO4" s="24"/>
      <c r="DP4" s="24"/>
      <c r="DQ4" s="24"/>
      <c r="DR4" s="24"/>
      <c r="DS4" s="24"/>
      <c r="DT4" s="24"/>
      <c r="DU4" s="24"/>
      <c r="DV4" s="24"/>
      <c r="DW4" s="24"/>
      <c r="DX4" s="24"/>
      <c r="DY4" s="24"/>
      <c r="DZ4" s="24"/>
      <c r="EA4" s="24"/>
      <c r="EB4" s="24"/>
      <c r="EC4" s="24"/>
      <c r="ED4" s="17"/>
      <c r="EE4" s="27">
        <v>2866</v>
      </c>
      <c r="EF4" s="27">
        <v>3250</v>
      </c>
      <c r="EG4" s="27">
        <v>3382</v>
      </c>
      <c r="EH4" s="27">
        <v>4521</v>
      </c>
      <c r="EI4" s="27">
        <v>6614</v>
      </c>
      <c r="EJ4" s="27">
        <f>SUM(K4:L4)</f>
        <v>9125</v>
      </c>
      <c r="EK4" s="27">
        <f>SUM(M4:N4)</f>
        <v>10414</v>
      </c>
      <c r="EL4" s="27">
        <f>SUM(O4:P4)</f>
        <v>10461</v>
      </c>
      <c r="EM4" s="27">
        <f t="shared" ref="EM4:EM14" si="20">SUM(BR4:BU4)</f>
        <v>14805</v>
      </c>
      <c r="EN4" s="27">
        <f t="shared" ref="EN4:EN46" si="21">SUM(BV4:BY4)</f>
        <v>14071</v>
      </c>
      <c r="EO4" s="27">
        <f t="shared" si="18"/>
        <v>12223</v>
      </c>
      <c r="EP4" s="27"/>
      <c r="EQ4" s="27"/>
      <c r="ER4" s="27"/>
      <c r="ES4" s="27"/>
      <c r="ET4" s="27"/>
      <c r="EU4" s="27"/>
      <c r="EV4" s="27"/>
      <c r="EW4" s="27"/>
      <c r="EX4" s="27"/>
      <c r="EY4" s="46"/>
      <c r="EZ4" s="16"/>
      <c r="FA4" s="46"/>
      <c r="FB4" s="46"/>
    </row>
    <row r="5" spans="1:165" s="26" customFormat="1">
      <c r="B5" s="17" t="s">
        <v>19</v>
      </c>
      <c r="C5" s="24"/>
      <c r="D5" s="24"/>
      <c r="E5" s="24"/>
      <c r="F5" s="24"/>
      <c r="G5" s="24"/>
      <c r="H5" s="24"/>
      <c r="I5" s="27">
        <v>1807</v>
      </c>
      <c r="J5" s="27">
        <f>3699-I5</f>
        <v>1892</v>
      </c>
      <c r="K5" s="27">
        <v>1684</v>
      </c>
      <c r="L5" s="27">
        <f>3503-K5</f>
        <v>1819</v>
      </c>
      <c r="M5" s="27">
        <v>1674</v>
      </c>
      <c r="N5" s="27">
        <f>3399-M5</f>
        <v>1725</v>
      </c>
      <c r="O5" s="27">
        <v>1452</v>
      </c>
      <c r="P5" s="27">
        <f>3336-O5</f>
        <v>1884</v>
      </c>
      <c r="Q5" s="27">
        <v>2184</v>
      </c>
      <c r="R5" s="27">
        <f t="shared" ref="R5:R6" si="22">BT5+BU5</f>
        <v>2581</v>
      </c>
      <c r="S5" s="27">
        <v>2061</v>
      </c>
      <c r="T5" s="27">
        <f>4319-S5</f>
        <v>2258</v>
      </c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48"/>
      <c r="AX5" s="24">
        <v>748</v>
      </c>
      <c r="AY5" s="24">
        <v>807</v>
      </c>
      <c r="AZ5" s="24">
        <v>767</v>
      </c>
      <c r="BA5" s="24">
        <v>881</v>
      </c>
      <c r="BB5" s="24">
        <v>955</v>
      </c>
      <c r="BC5" s="24">
        <v>852</v>
      </c>
      <c r="BD5" s="24">
        <v>826</v>
      </c>
      <c r="BE5" s="24">
        <v>1066</v>
      </c>
      <c r="BF5" s="24">
        <v>862</v>
      </c>
      <c r="BG5" s="24">
        <v>822</v>
      </c>
      <c r="BH5" s="24">
        <v>841.78159705624148</v>
      </c>
      <c r="BI5" s="24">
        <v>1017.5078900940982</v>
      </c>
      <c r="BJ5" s="24">
        <v>893</v>
      </c>
      <c r="BK5" s="24">
        <v>781</v>
      </c>
      <c r="BL5" s="24">
        <v>808</v>
      </c>
      <c r="BM5" s="24">
        <v>917</v>
      </c>
      <c r="BN5" s="24">
        <v>671</v>
      </c>
      <c r="BO5" s="24">
        <v>781</v>
      </c>
      <c r="BP5" s="24">
        <v>782</v>
      </c>
      <c r="BQ5" s="24">
        <v>1102</v>
      </c>
      <c r="BR5" s="24">
        <v>1139</v>
      </c>
      <c r="BS5" s="24">
        <f>2184-BR5</f>
        <v>1045</v>
      </c>
      <c r="BT5" s="24">
        <f>3490-BS5-BR5</f>
        <v>1306</v>
      </c>
      <c r="BU5" s="24">
        <v>1275</v>
      </c>
      <c r="BV5" s="24">
        <v>988</v>
      </c>
      <c r="BW5" s="24">
        <v>1073</v>
      </c>
      <c r="BX5" s="24">
        <v>1076</v>
      </c>
      <c r="BY5" s="24">
        <v>1182</v>
      </c>
      <c r="BZ5" s="24">
        <v>903</v>
      </c>
      <c r="CA5" s="24">
        <v>928</v>
      </c>
      <c r="CB5" s="24">
        <v>881</v>
      </c>
      <c r="CC5" s="24">
        <v>1105</v>
      </c>
      <c r="CD5" s="24"/>
      <c r="CE5" s="24"/>
      <c r="CF5" s="24"/>
      <c r="CG5" s="24"/>
      <c r="CH5" s="24"/>
      <c r="CI5" s="24"/>
      <c r="CJ5" s="24"/>
      <c r="CK5" s="24"/>
      <c r="CL5" s="24"/>
      <c r="CM5" s="24"/>
      <c r="CN5" s="24"/>
      <c r="CO5" s="24"/>
      <c r="CP5" s="24"/>
      <c r="CQ5" s="24"/>
      <c r="CR5" s="24"/>
      <c r="CS5" s="24"/>
      <c r="CT5" s="24"/>
      <c r="CU5" s="24"/>
      <c r="CV5" s="24"/>
      <c r="CW5" s="24"/>
      <c r="CX5" s="24"/>
      <c r="CY5" s="24"/>
      <c r="CZ5" s="24"/>
      <c r="DA5" s="24"/>
      <c r="DB5" s="24"/>
      <c r="DC5" s="24"/>
      <c r="DD5" s="24"/>
      <c r="DE5" s="24"/>
      <c r="DF5" s="24"/>
      <c r="DG5" s="24"/>
      <c r="DH5" s="24"/>
      <c r="DI5" s="24"/>
      <c r="DJ5" s="24"/>
      <c r="DK5" s="24"/>
      <c r="DL5" s="24"/>
      <c r="DM5" s="24"/>
      <c r="DN5" s="24"/>
      <c r="DO5" s="24"/>
      <c r="DP5" s="24"/>
      <c r="DQ5" s="24"/>
      <c r="DR5" s="24"/>
      <c r="DS5" s="24"/>
      <c r="DT5" s="24"/>
      <c r="DU5" s="24"/>
      <c r="DV5" s="24"/>
      <c r="DW5" s="24"/>
      <c r="DX5" s="24"/>
      <c r="DY5" s="24"/>
      <c r="DZ5" s="24"/>
      <c r="EA5" s="24"/>
      <c r="EB5" s="24"/>
      <c r="EC5" s="24"/>
      <c r="ED5" s="17"/>
      <c r="EE5" s="27">
        <v>1000</v>
      </c>
      <c r="EF5" s="27">
        <v>1585</v>
      </c>
      <c r="EG5" s="27">
        <v>3156</v>
      </c>
      <c r="EH5" s="27">
        <f>SUM(AX5:BA5)</f>
        <v>3203</v>
      </c>
      <c r="EI5" s="27">
        <f>SUM(BB5:BE5)</f>
        <v>3699</v>
      </c>
      <c r="EJ5" s="27">
        <f>SUM(K5:L5)</f>
        <v>3503</v>
      </c>
      <c r="EK5" s="27">
        <f t="shared" ref="EK5:EK45" si="23">SUM(M5:N5)</f>
        <v>3399</v>
      </c>
      <c r="EL5" s="27">
        <f>SUM(O5:P5)</f>
        <v>3336</v>
      </c>
      <c r="EM5" s="27">
        <f t="shared" si="20"/>
        <v>4765</v>
      </c>
      <c r="EN5" s="27">
        <f t="shared" si="21"/>
        <v>4319</v>
      </c>
      <c r="EO5" s="27">
        <f t="shared" si="18"/>
        <v>3817</v>
      </c>
      <c r="EP5" s="27"/>
      <c r="EQ5" s="27"/>
      <c r="ER5" s="27"/>
      <c r="ES5" s="27"/>
      <c r="ET5" s="27"/>
      <c r="EU5" s="27"/>
      <c r="EV5" s="27"/>
      <c r="EW5" s="27"/>
      <c r="EX5" s="27"/>
      <c r="EY5" s="46"/>
      <c r="EZ5" s="16"/>
      <c r="FA5" s="46"/>
      <c r="FB5" s="46"/>
    </row>
    <row r="6" spans="1:165" s="26" customFormat="1">
      <c r="B6" s="17" t="s">
        <v>41</v>
      </c>
      <c r="C6" s="24"/>
      <c r="D6" s="24"/>
      <c r="E6" s="24"/>
      <c r="F6" s="24"/>
      <c r="G6" s="24"/>
      <c r="H6" s="24"/>
      <c r="I6" s="27">
        <v>3970</v>
      </c>
      <c r="J6" s="27">
        <f>8243-I6</f>
        <v>4273</v>
      </c>
      <c r="K6" s="27">
        <v>4272</v>
      </c>
      <c r="L6" s="27">
        <f>8747-K6</f>
        <v>4475</v>
      </c>
      <c r="M6" s="27">
        <v>4559</v>
      </c>
      <c r="N6" s="27">
        <f>9350-M6</f>
        <v>4791</v>
      </c>
      <c r="O6" s="27">
        <v>4747</v>
      </c>
      <c r="P6" s="27">
        <f>9656-O6</f>
        <v>4909</v>
      </c>
      <c r="Q6" s="27">
        <v>4902</v>
      </c>
      <c r="R6" s="27">
        <f t="shared" si="22"/>
        <v>5153</v>
      </c>
      <c r="S6" s="27">
        <v>5250</v>
      </c>
      <c r="T6" s="27">
        <f>10415-S6</f>
        <v>5165</v>
      </c>
      <c r="U6" s="27">
        <v>4856</v>
      </c>
      <c r="V6" s="27">
        <f>9737-U6</f>
        <v>4881</v>
      </c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48"/>
      <c r="AX6" s="48"/>
      <c r="AY6" s="24"/>
      <c r="AZ6" s="24"/>
      <c r="BA6" s="24"/>
      <c r="BB6" s="24"/>
      <c r="BC6" s="24"/>
      <c r="BD6" s="24"/>
      <c r="BE6" s="24">
        <v>2235</v>
      </c>
      <c r="BF6" s="24">
        <v>2091</v>
      </c>
      <c r="BG6" s="24">
        <v>2181</v>
      </c>
      <c r="BH6" s="24">
        <v>2143</v>
      </c>
      <c r="BI6" s="24">
        <v>2332</v>
      </c>
      <c r="BJ6" s="24">
        <v>2216</v>
      </c>
      <c r="BK6" s="24">
        <v>2343</v>
      </c>
      <c r="BL6" s="24">
        <v>2264</v>
      </c>
      <c r="BM6" s="24">
        <v>2527</v>
      </c>
      <c r="BN6" s="24">
        <v>2287</v>
      </c>
      <c r="BO6" s="24">
        <v>2460</v>
      </c>
      <c r="BP6" s="24">
        <v>2365</v>
      </c>
      <c r="BQ6" s="24">
        <v>2544</v>
      </c>
      <c r="BR6" s="24">
        <v>2361</v>
      </c>
      <c r="BS6" s="24">
        <f>4902-BR6</f>
        <v>2541</v>
      </c>
      <c r="BT6" s="24">
        <f>7365-BS6-BR6</f>
        <v>2463</v>
      </c>
      <c r="BU6" s="24">
        <v>2690</v>
      </c>
      <c r="BV6" s="24">
        <v>2518</v>
      </c>
      <c r="BW6" s="24">
        <v>2732</v>
      </c>
      <c r="BX6" s="24">
        <v>2482</v>
      </c>
      <c r="BY6" s="24">
        <v>2683</v>
      </c>
      <c r="BZ6" s="24">
        <v>2408</v>
      </c>
      <c r="CA6" s="24">
        <v>2448</v>
      </c>
      <c r="CB6" s="24">
        <v>2239</v>
      </c>
      <c r="CC6" s="24">
        <v>2642</v>
      </c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  <c r="DF6" s="24"/>
      <c r="DG6" s="24"/>
      <c r="DH6" s="24"/>
      <c r="DI6" s="24"/>
      <c r="DJ6" s="24"/>
      <c r="DK6" s="24"/>
      <c r="DL6" s="24"/>
      <c r="DM6" s="24"/>
      <c r="DN6" s="24">
        <v>4330</v>
      </c>
      <c r="DO6" s="24"/>
      <c r="DP6" s="24">
        <v>4263</v>
      </c>
      <c r="DQ6" s="24">
        <v>4455</v>
      </c>
      <c r="DR6" s="24">
        <v>5286</v>
      </c>
      <c r="DS6" s="24">
        <v>4662</v>
      </c>
      <c r="DT6" s="24">
        <v>3900</v>
      </c>
      <c r="DU6" s="24">
        <f>+DQ6*0.99</f>
        <v>4410.45</v>
      </c>
      <c r="DV6" s="24"/>
      <c r="DW6" s="24"/>
      <c r="DX6" s="24"/>
      <c r="DY6" s="24"/>
      <c r="DZ6" s="24"/>
      <c r="EA6" s="24"/>
      <c r="EB6" s="24"/>
      <c r="EC6" s="24"/>
      <c r="ED6" s="17"/>
      <c r="EE6" s="27">
        <f>17200-EE8-EE5</f>
        <v>2866</v>
      </c>
      <c r="EF6" s="27">
        <f>17703-EF8-EF5</f>
        <v>3250</v>
      </c>
      <c r="EG6" s="27">
        <f>19781-EG5-EG8</f>
        <v>3382</v>
      </c>
      <c r="EH6" s="27">
        <f>21695-EH8-EH5</f>
        <v>4522</v>
      </c>
      <c r="EI6" s="27">
        <f>27268-EI8-EI5</f>
        <v>6614</v>
      </c>
      <c r="EJ6" s="27">
        <f>SUM(K6:L6)</f>
        <v>8747</v>
      </c>
      <c r="EK6" s="27">
        <f>SUM(M6:N6)</f>
        <v>9350</v>
      </c>
      <c r="EL6" s="27">
        <f>SUM(O6:P6)</f>
        <v>9656</v>
      </c>
      <c r="EM6" s="27">
        <f t="shared" si="20"/>
        <v>10055</v>
      </c>
      <c r="EN6" s="27">
        <f t="shared" si="21"/>
        <v>10415</v>
      </c>
      <c r="EO6" s="27">
        <f t="shared" si="18"/>
        <v>9737</v>
      </c>
      <c r="EP6" s="27"/>
      <c r="EQ6" s="27"/>
      <c r="ER6" s="27"/>
      <c r="ES6" s="27"/>
      <c r="ET6" s="27"/>
      <c r="EU6" s="27">
        <v>12079</v>
      </c>
      <c r="EV6" s="27">
        <v>12879</v>
      </c>
      <c r="EW6" s="27">
        <v>12950</v>
      </c>
      <c r="EX6" s="27">
        <v>13791</v>
      </c>
      <c r="EY6" s="27">
        <v>17760</v>
      </c>
      <c r="EZ6" s="20">
        <f>SUM(DR6:DU6)</f>
        <v>18258.45</v>
      </c>
      <c r="FA6" s="46"/>
      <c r="FB6" s="46"/>
    </row>
    <row r="7" spans="1:165" s="26" customFormat="1">
      <c r="B7" s="17" t="s">
        <v>694</v>
      </c>
      <c r="C7" s="24"/>
      <c r="D7" s="24"/>
      <c r="E7" s="24"/>
      <c r="F7" s="24"/>
      <c r="G7" s="24"/>
      <c r="H7" s="24"/>
      <c r="I7" s="27"/>
      <c r="J7" s="27"/>
      <c r="K7" s="27"/>
      <c r="L7" s="27"/>
      <c r="M7" s="27"/>
      <c r="N7" s="27"/>
      <c r="O7" s="27"/>
      <c r="P7" s="27"/>
      <c r="Q7" s="27"/>
      <c r="R7" s="27"/>
      <c r="S7" s="27">
        <f>BV7+BW7</f>
        <v>4909</v>
      </c>
      <c r="T7" s="27">
        <f>9201-S7</f>
        <v>4292</v>
      </c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48"/>
      <c r="AX7" s="48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>
        <v>2238</v>
      </c>
      <c r="BV7" s="24">
        <v>2495</v>
      </c>
      <c r="BW7" s="24">
        <v>2414</v>
      </c>
      <c r="BX7" s="24">
        <v>2176</v>
      </c>
      <c r="BY7" s="24">
        <v>2116</v>
      </c>
      <c r="BZ7" s="24">
        <v>2278</v>
      </c>
      <c r="CA7" s="24">
        <v>2122</v>
      </c>
      <c r="CB7" s="24">
        <v>1971</v>
      </c>
      <c r="CC7" s="24">
        <v>2162</v>
      </c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  <c r="DF7" s="24"/>
      <c r="DG7" s="24"/>
      <c r="DH7" s="24"/>
      <c r="DI7" s="24"/>
      <c r="DJ7" s="24"/>
      <c r="DK7" s="24"/>
      <c r="DL7" s="24"/>
      <c r="DM7" s="24"/>
      <c r="DN7" s="24"/>
      <c r="DO7" s="24"/>
      <c r="DP7" s="24"/>
      <c r="DQ7" s="24"/>
      <c r="DR7" s="24"/>
      <c r="DS7" s="24"/>
      <c r="DT7" s="24"/>
      <c r="DU7" s="24"/>
      <c r="DV7" s="24"/>
      <c r="DW7" s="24"/>
      <c r="DX7" s="24"/>
      <c r="DY7" s="24"/>
      <c r="DZ7" s="24"/>
      <c r="EA7" s="24"/>
      <c r="EB7" s="24"/>
      <c r="EC7" s="24"/>
      <c r="ED7" s="17"/>
      <c r="EE7" s="27"/>
      <c r="EF7" s="27"/>
      <c r="EG7" s="27"/>
      <c r="EH7" s="27"/>
      <c r="EI7" s="27"/>
      <c r="EJ7" s="27"/>
      <c r="EK7" s="27"/>
      <c r="EL7" s="27"/>
      <c r="EM7" s="27">
        <f t="shared" si="20"/>
        <v>2238</v>
      </c>
      <c r="EN7" s="27">
        <f t="shared" si="21"/>
        <v>9201</v>
      </c>
      <c r="EO7" s="27">
        <f t="shared" si="18"/>
        <v>8533</v>
      </c>
      <c r="EP7" s="27"/>
      <c r="EQ7" s="27"/>
      <c r="ER7" s="27"/>
      <c r="ES7" s="27"/>
      <c r="ET7" s="27"/>
      <c r="EU7" s="27"/>
      <c r="EV7" s="27"/>
      <c r="EW7" s="27"/>
      <c r="EX7" s="27"/>
      <c r="EY7" s="46"/>
      <c r="EZ7" s="16"/>
      <c r="FA7" s="46"/>
      <c r="FB7" s="46"/>
    </row>
    <row r="8" spans="1:165" s="26" customFormat="1">
      <c r="B8" s="17" t="s">
        <v>697</v>
      </c>
      <c r="C8" s="24"/>
      <c r="D8" s="24"/>
      <c r="E8" s="24"/>
      <c r="F8" s="24"/>
      <c r="G8" s="24"/>
      <c r="H8" s="24"/>
      <c r="I8" s="27">
        <v>7978</v>
      </c>
      <c r="J8" s="27">
        <f>16955-I8</f>
        <v>8977</v>
      </c>
      <c r="K8" s="27">
        <v>9670</v>
      </c>
      <c r="L8" s="27">
        <f>20666-K8</f>
        <v>10996</v>
      </c>
      <c r="M8" s="27">
        <f>SUM(BJ8:BK8)</f>
        <v>11367</v>
      </c>
      <c r="N8" s="27">
        <f>22970-M8</f>
        <v>11603</v>
      </c>
      <c r="O8" s="27">
        <v>10938</v>
      </c>
      <c r="P8" s="27">
        <f>22164-O8</f>
        <v>11226</v>
      </c>
      <c r="Q8" s="27">
        <f>5182+1647+1099+950+526</f>
        <v>9404</v>
      </c>
      <c r="R8" s="27">
        <f>BT8+BU8</f>
        <v>7784</v>
      </c>
      <c r="S8" s="27">
        <f>BV8+BW8</f>
        <v>5044</v>
      </c>
      <c r="T8" s="27">
        <f>9467-S8</f>
        <v>4423</v>
      </c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48"/>
      <c r="AX8" s="24">
        <v>3546</v>
      </c>
      <c r="AY8" s="24">
        <v>3494</v>
      </c>
      <c r="AZ8" s="24">
        <v>3483</v>
      </c>
      <c r="BA8" s="24">
        <v>3447</v>
      </c>
      <c r="BB8" s="24">
        <v>3859</v>
      </c>
      <c r="BC8" s="24">
        <v>4119</v>
      </c>
      <c r="BD8" s="24">
        <v>4191</v>
      </c>
      <c r="BE8" s="24">
        <v>4786</v>
      </c>
      <c r="BF8" s="24">
        <v>4821</v>
      </c>
      <c r="BG8" s="24">
        <v>4849</v>
      </c>
      <c r="BH8" s="24">
        <v>5017.1291249999995</v>
      </c>
      <c r="BI8" s="24">
        <v>5572.7543856047305</v>
      </c>
      <c r="BJ8" s="24">
        <v>5702</v>
      </c>
      <c r="BK8" s="24">
        <v>5665</v>
      </c>
      <c r="BL8" s="24">
        <v>5425</v>
      </c>
      <c r="BM8" s="24">
        <v>6178</v>
      </c>
      <c r="BN8" s="24">
        <v>4571</v>
      </c>
      <c r="BO8" s="24">
        <v>5440</v>
      </c>
      <c r="BP8" s="24">
        <v>5485</v>
      </c>
      <c r="BQ8" s="24">
        <v>5741</v>
      </c>
      <c r="BR8" s="24">
        <v>4491</v>
      </c>
      <c r="BS8" s="24">
        <f>9404-BR8</f>
        <v>4913</v>
      </c>
      <c r="BT8" s="24">
        <f>14387-BS8-BR8</f>
        <v>4983</v>
      </c>
      <c r="BU8" s="24">
        <f>5039-BU7</f>
        <v>2801</v>
      </c>
      <c r="BV8" s="24">
        <v>2597</v>
      </c>
      <c r="BW8" s="24">
        <v>2447</v>
      </c>
      <c r="BX8" s="24">
        <v>2251</v>
      </c>
      <c r="BY8" s="24">
        <v>2172</v>
      </c>
      <c r="BZ8" s="24">
        <v>2209</v>
      </c>
      <c r="CA8" s="24">
        <v>2090</v>
      </c>
      <c r="CB8" s="24">
        <v>1911</v>
      </c>
      <c r="CC8" s="24">
        <v>2011</v>
      </c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24"/>
      <c r="CO8" s="24"/>
      <c r="CP8" s="24"/>
      <c r="CQ8" s="24"/>
      <c r="CR8" s="24"/>
      <c r="CS8" s="24"/>
      <c r="CT8" s="24"/>
      <c r="CU8" s="24"/>
      <c r="CV8" s="24"/>
      <c r="CW8" s="24"/>
      <c r="CX8" s="24"/>
      <c r="CY8" s="24"/>
      <c r="CZ8" s="24"/>
      <c r="DA8" s="24"/>
      <c r="DB8" s="24"/>
      <c r="DC8" s="24"/>
      <c r="DD8" s="24"/>
      <c r="DE8" s="24"/>
      <c r="DF8" s="24"/>
      <c r="DG8" s="24"/>
      <c r="DH8" s="24"/>
      <c r="DI8" s="24"/>
      <c r="DJ8" s="24"/>
      <c r="DK8" s="24"/>
      <c r="DL8" s="24"/>
      <c r="DM8" s="24"/>
      <c r="DN8" s="24"/>
      <c r="DO8" s="24"/>
      <c r="DP8" s="24"/>
      <c r="DQ8" s="24"/>
      <c r="DR8" s="24"/>
      <c r="DS8" s="24"/>
      <c r="DT8" s="24"/>
      <c r="DU8" s="24"/>
      <c r="DV8" s="24"/>
      <c r="DW8" s="24"/>
      <c r="DX8" s="24"/>
      <c r="DY8" s="24"/>
      <c r="DZ8" s="24"/>
      <c r="EA8" s="24"/>
      <c r="EB8" s="24"/>
      <c r="EC8" s="24"/>
      <c r="ED8" s="17"/>
      <c r="EE8" s="27">
        <v>13334</v>
      </c>
      <c r="EF8" s="27">
        <v>12868</v>
      </c>
      <c r="EG8" s="27">
        <v>13243</v>
      </c>
      <c r="EH8" s="27">
        <f>SUM(AX8:BA8)</f>
        <v>13970</v>
      </c>
      <c r="EI8" s="27">
        <f>SUM(BB8:BE8)</f>
        <v>16955</v>
      </c>
      <c r="EJ8" s="27">
        <f t="shared" ref="EJ8:EJ41" si="24">SUM(K8:L8)</f>
        <v>20666</v>
      </c>
      <c r="EK8" s="27">
        <f t="shared" si="23"/>
        <v>22970</v>
      </c>
      <c r="EL8" s="27">
        <f>SUM(O8:P8)</f>
        <v>22164</v>
      </c>
      <c r="EM8" s="27">
        <f t="shared" si="20"/>
        <v>17188</v>
      </c>
      <c r="EN8" s="27">
        <f t="shared" si="21"/>
        <v>9467</v>
      </c>
      <c r="EO8" s="27">
        <f t="shared" si="18"/>
        <v>8221</v>
      </c>
      <c r="EP8" s="27"/>
      <c r="EQ8" s="27"/>
      <c r="ER8" s="27"/>
      <c r="ES8" s="27"/>
      <c r="ET8" s="27"/>
      <c r="EU8" s="27"/>
      <c r="EV8" s="27"/>
      <c r="EW8" s="27"/>
      <c r="EX8" s="27"/>
      <c r="EY8" s="46"/>
      <c r="EZ8" s="16"/>
      <c r="FA8" s="46"/>
      <c r="FB8" s="46"/>
    </row>
    <row r="9" spans="1:165" s="116" customFormat="1">
      <c r="B9" s="3" t="s">
        <v>793</v>
      </c>
      <c r="C9" s="54"/>
      <c r="D9" s="54"/>
      <c r="E9" s="54"/>
      <c r="F9" s="54"/>
      <c r="G9" s="54"/>
      <c r="H9" s="54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  <c r="AP9" s="68"/>
      <c r="AQ9" s="68"/>
      <c r="AR9" s="68"/>
      <c r="AS9" s="68"/>
      <c r="AT9" s="68"/>
      <c r="AU9" s="68"/>
      <c r="AV9" s="68"/>
      <c r="AW9" s="52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  <c r="BI9" s="54"/>
      <c r="BJ9" s="54"/>
      <c r="BK9" s="54"/>
      <c r="BL9" s="54"/>
      <c r="BM9" s="54"/>
      <c r="BN9" s="54"/>
      <c r="BO9" s="54"/>
      <c r="BP9" s="54"/>
      <c r="BQ9" s="54"/>
      <c r="BR9" s="54"/>
      <c r="BS9" s="54"/>
      <c r="BT9" s="54"/>
      <c r="BU9" s="54"/>
      <c r="BV9" s="54"/>
      <c r="BW9" s="54"/>
      <c r="BX9" s="54"/>
      <c r="BY9" s="54"/>
      <c r="BZ9" s="54"/>
      <c r="CA9" s="54"/>
      <c r="CB9" s="54"/>
      <c r="CC9" s="54"/>
      <c r="CD9" s="54"/>
      <c r="CE9" s="54"/>
      <c r="CF9" s="54"/>
      <c r="CG9" s="54"/>
      <c r="CH9" s="54"/>
      <c r="CI9" s="54"/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  <c r="DI9" s="54"/>
      <c r="DJ9" s="54"/>
      <c r="DK9" s="54"/>
      <c r="DL9" s="54"/>
      <c r="DM9" s="54"/>
      <c r="DN9" s="54">
        <v>1226</v>
      </c>
      <c r="DO9" s="54">
        <v>1212</v>
      </c>
      <c r="DP9" s="54">
        <v>1283</v>
      </c>
      <c r="DQ9" s="54">
        <v>1334</v>
      </c>
      <c r="DR9" s="54">
        <v>1449</v>
      </c>
      <c r="DS9" s="54">
        <v>1461</v>
      </c>
      <c r="DT9" s="54">
        <v>1517</v>
      </c>
      <c r="DU9" s="54">
        <f>+DQ9*1.1</f>
        <v>1467.4</v>
      </c>
      <c r="DV9" s="54"/>
      <c r="DW9" s="54"/>
      <c r="DX9" s="54"/>
      <c r="DY9" s="54"/>
      <c r="DZ9" s="54"/>
      <c r="EA9" s="54"/>
      <c r="EB9" s="54"/>
      <c r="EC9" s="54"/>
      <c r="ED9" s="3"/>
      <c r="EE9" s="68"/>
      <c r="EF9" s="68"/>
      <c r="EG9" s="68"/>
      <c r="EH9" s="68"/>
      <c r="EI9" s="68"/>
      <c r="EJ9" s="68"/>
      <c r="EK9" s="68"/>
      <c r="EL9" s="68"/>
      <c r="EM9" s="68"/>
      <c r="EN9" s="68"/>
      <c r="EO9" s="68"/>
      <c r="EP9" s="68"/>
      <c r="EQ9" s="68"/>
      <c r="ER9" s="68"/>
      <c r="ES9" s="68"/>
      <c r="ET9" s="68"/>
      <c r="EU9" s="68"/>
      <c r="EV9" s="68"/>
      <c r="EW9" s="68"/>
      <c r="EX9" s="68">
        <v>4326</v>
      </c>
      <c r="EY9" s="54">
        <v>5055</v>
      </c>
      <c r="EZ9" s="20">
        <f>SUM(DR9:DU9)</f>
        <v>5894.4</v>
      </c>
      <c r="FA9" s="117"/>
      <c r="FB9" s="117"/>
    </row>
    <row r="10" spans="1:165" s="26" customFormat="1">
      <c r="B10" s="3" t="s">
        <v>724</v>
      </c>
      <c r="C10" s="23"/>
      <c r="D10" s="23"/>
      <c r="E10" s="23"/>
      <c r="F10" s="23"/>
      <c r="G10" s="23"/>
      <c r="H10" s="23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>
        <v>388</v>
      </c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93"/>
      <c r="AX10" s="66"/>
      <c r="AY10" s="66"/>
      <c r="AZ10" s="66"/>
      <c r="BA10" s="66"/>
      <c r="BB10" s="66"/>
      <c r="BC10" s="66"/>
      <c r="BD10" s="66"/>
      <c r="BE10" s="66"/>
      <c r="BF10" s="66"/>
      <c r="BG10" s="66"/>
      <c r="BH10" s="66"/>
      <c r="BI10" s="66"/>
      <c r="BJ10" s="66"/>
      <c r="BK10" s="66"/>
      <c r="BL10" s="66"/>
      <c r="BM10" s="66"/>
      <c r="BN10" s="66"/>
      <c r="BO10" s="66"/>
      <c r="BP10" s="66"/>
      <c r="BQ10" s="66"/>
      <c r="BR10" s="66"/>
      <c r="BS10" s="66"/>
      <c r="BT10" s="66"/>
      <c r="BU10" s="66"/>
      <c r="BV10" s="66"/>
      <c r="BW10" s="66"/>
      <c r="BX10" s="66"/>
      <c r="BY10" s="66"/>
      <c r="BZ10" s="66"/>
      <c r="CA10" s="66"/>
      <c r="CB10" s="66"/>
      <c r="CC10" s="66"/>
      <c r="CD10" s="66"/>
      <c r="CE10" s="66"/>
      <c r="CF10" s="66"/>
      <c r="CG10" s="66">
        <v>30</v>
      </c>
      <c r="CH10" s="66">
        <v>50</v>
      </c>
      <c r="CI10" s="66">
        <v>58</v>
      </c>
      <c r="CJ10" s="66">
        <v>78</v>
      </c>
      <c r="CK10" s="66">
        <v>140</v>
      </c>
      <c r="CL10" s="66">
        <v>178</v>
      </c>
      <c r="CM10" s="66">
        <v>210</v>
      </c>
      <c r="CN10" s="66"/>
      <c r="CO10" s="66"/>
      <c r="CP10" s="66"/>
      <c r="CQ10" s="66"/>
      <c r="CR10" s="66"/>
      <c r="CS10" s="66"/>
      <c r="CT10" s="66"/>
      <c r="CU10" s="66"/>
      <c r="CV10" s="66"/>
      <c r="CW10" s="66"/>
      <c r="CX10" s="66"/>
      <c r="CY10" s="66"/>
      <c r="CZ10" s="66"/>
      <c r="DA10" s="66"/>
      <c r="DB10" s="66"/>
      <c r="DC10" s="66"/>
      <c r="DD10" s="66"/>
      <c r="DE10" s="66"/>
      <c r="DF10" s="66"/>
      <c r="DG10" s="66"/>
      <c r="DH10" s="66"/>
      <c r="DI10" s="66"/>
      <c r="DJ10" s="66"/>
      <c r="DK10" s="66"/>
      <c r="DL10" s="66"/>
      <c r="DM10" s="66"/>
      <c r="DN10" s="66">
        <v>988</v>
      </c>
      <c r="DO10" s="66">
        <v>980</v>
      </c>
      <c r="DP10" s="66">
        <v>1006</v>
      </c>
      <c r="DQ10" s="66">
        <v>981</v>
      </c>
      <c r="DR10" s="66">
        <v>993</v>
      </c>
      <c r="DS10" s="66">
        <v>1068</v>
      </c>
      <c r="DT10" s="66">
        <v>1029</v>
      </c>
      <c r="DU10" s="54">
        <f t="shared" ref="DU10:DU28" si="25">+DQ10*1.1</f>
        <v>1079.1000000000001</v>
      </c>
      <c r="DV10" s="66"/>
      <c r="DW10" s="66"/>
      <c r="DX10" s="66"/>
      <c r="DY10" s="66"/>
      <c r="DZ10" s="66"/>
      <c r="EA10" s="66"/>
      <c r="EB10" s="66"/>
      <c r="EC10" s="66"/>
      <c r="ED10" s="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>
        <f>SUM(CD10:CG10)</f>
        <v>30</v>
      </c>
      <c r="EQ10" s="25">
        <f>SUM(CH10:CK10)</f>
        <v>326</v>
      </c>
      <c r="ER10" s="25">
        <f>+EQ10*1.5</f>
        <v>489</v>
      </c>
      <c r="ES10" s="25">
        <f>+ER10*1.2</f>
        <v>586.79999999999995</v>
      </c>
      <c r="ET10" s="25">
        <f>+ES10*1.1</f>
        <v>645.48</v>
      </c>
      <c r="EU10" s="25">
        <f t="shared" ref="EU10:EV10" si="26">+ET10*1.1</f>
        <v>710.02800000000013</v>
      </c>
      <c r="EV10" s="25">
        <f t="shared" si="26"/>
        <v>781.03080000000023</v>
      </c>
      <c r="EW10" s="25"/>
      <c r="EX10" s="25">
        <v>3883</v>
      </c>
      <c r="EY10" s="54">
        <v>3955</v>
      </c>
      <c r="EZ10" s="20">
        <f t="shared" ref="EZ10:EZ30" si="27">SUM(DR10:DU10)</f>
        <v>4169.1000000000004</v>
      </c>
      <c r="FA10" s="46"/>
      <c r="FB10" s="46"/>
    </row>
    <row r="11" spans="1:165" s="26" customFormat="1">
      <c r="B11" s="3" t="s">
        <v>794</v>
      </c>
      <c r="C11" s="23"/>
      <c r="D11" s="23"/>
      <c r="E11" s="23"/>
      <c r="F11" s="23"/>
      <c r="G11" s="23"/>
      <c r="H11" s="23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93"/>
      <c r="AX11" s="66"/>
      <c r="AY11" s="66"/>
      <c r="AZ11" s="66"/>
      <c r="BA11" s="66"/>
      <c r="BB11" s="66"/>
      <c r="BC11" s="66"/>
      <c r="BD11" s="66"/>
      <c r="BE11" s="66"/>
      <c r="BF11" s="66"/>
      <c r="BG11" s="66"/>
      <c r="BH11" s="66"/>
      <c r="BI11" s="66"/>
      <c r="BJ11" s="66"/>
      <c r="BK11" s="66"/>
      <c r="BL11" s="66"/>
      <c r="BM11" s="66"/>
      <c r="BN11" s="66"/>
      <c r="BO11" s="66"/>
      <c r="BP11" s="66"/>
      <c r="BQ11" s="66"/>
      <c r="BR11" s="66"/>
      <c r="BS11" s="66"/>
      <c r="BT11" s="66"/>
      <c r="BU11" s="66"/>
      <c r="BV11" s="66"/>
      <c r="BW11" s="66"/>
      <c r="BX11" s="66"/>
      <c r="BY11" s="66"/>
      <c r="BZ11" s="66"/>
      <c r="CA11" s="66"/>
      <c r="CB11" s="66"/>
      <c r="CC11" s="66"/>
      <c r="CD11" s="66"/>
      <c r="CE11" s="66"/>
      <c r="CF11" s="66"/>
      <c r="CG11" s="66"/>
      <c r="CH11" s="66"/>
      <c r="CI11" s="66"/>
      <c r="CJ11" s="66"/>
      <c r="CK11" s="66"/>
      <c r="CL11" s="66"/>
      <c r="CM11" s="66"/>
      <c r="CN11" s="66"/>
      <c r="CO11" s="66"/>
      <c r="CP11" s="66"/>
      <c r="CQ11" s="66"/>
      <c r="CR11" s="66"/>
      <c r="CS11" s="66"/>
      <c r="CT11" s="66"/>
      <c r="CU11" s="66"/>
      <c r="CV11" s="66"/>
      <c r="CW11" s="66"/>
      <c r="CX11" s="66"/>
      <c r="CY11" s="66"/>
      <c r="CZ11" s="66"/>
      <c r="DA11" s="66"/>
      <c r="DB11" s="66"/>
      <c r="DC11" s="66"/>
      <c r="DD11" s="66"/>
      <c r="DE11" s="66"/>
      <c r="DF11" s="66"/>
      <c r="DG11" s="66"/>
      <c r="DH11" s="66"/>
      <c r="DI11" s="66"/>
      <c r="DJ11" s="66"/>
      <c r="DK11" s="66"/>
      <c r="DL11" s="66"/>
      <c r="DM11" s="66"/>
      <c r="DN11" s="66">
        <v>661</v>
      </c>
      <c r="DO11" s="66">
        <v>732</v>
      </c>
      <c r="DP11" s="66">
        <v>779</v>
      </c>
      <c r="DQ11" s="66">
        <v>850</v>
      </c>
      <c r="DR11" s="66">
        <v>853</v>
      </c>
      <c r="DS11" s="66">
        <v>973</v>
      </c>
      <c r="DT11" s="66">
        <v>952</v>
      </c>
      <c r="DU11" s="54">
        <f t="shared" si="25"/>
        <v>935.00000000000011</v>
      </c>
      <c r="DV11" s="66"/>
      <c r="DW11" s="66"/>
      <c r="DX11" s="66"/>
      <c r="DY11" s="66"/>
      <c r="DZ11" s="66"/>
      <c r="EA11" s="66"/>
      <c r="EB11" s="66"/>
      <c r="EC11" s="66"/>
      <c r="ED11" s="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>
        <v>2190</v>
      </c>
      <c r="EY11" s="54">
        <v>3022</v>
      </c>
      <c r="EZ11" s="20">
        <f t="shared" si="27"/>
        <v>3713</v>
      </c>
      <c r="FA11" s="46"/>
      <c r="FB11" s="46"/>
    </row>
    <row r="12" spans="1:165" s="26" customFormat="1">
      <c r="B12" s="3" t="s">
        <v>795</v>
      </c>
      <c r="C12" s="23"/>
      <c r="D12" s="23"/>
      <c r="E12" s="23"/>
      <c r="F12" s="23"/>
      <c r="G12" s="23"/>
      <c r="H12" s="23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93"/>
      <c r="AX12" s="66"/>
      <c r="AY12" s="66"/>
      <c r="AZ12" s="66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>
        <v>775</v>
      </c>
      <c r="DO12" s="66">
        <v>824</v>
      </c>
      <c r="DP12" s="66">
        <v>878</v>
      </c>
      <c r="DQ12" s="66">
        <v>838</v>
      </c>
      <c r="DR12" s="66">
        <v>825</v>
      </c>
      <c r="DS12" s="66">
        <v>933</v>
      </c>
      <c r="DT12" s="66">
        <v>934</v>
      </c>
      <c r="DU12" s="54">
        <f t="shared" si="25"/>
        <v>921.80000000000007</v>
      </c>
      <c r="DV12" s="66"/>
      <c r="DW12" s="66"/>
      <c r="DX12" s="66"/>
      <c r="DY12" s="66"/>
      <c r="DZ12" s="66"/>
      <c r="EA12" s="66"/>
      <c r="EB12" s="66"/>
      <c r="EC12" s="66"/>
      <c r="ED12" s="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>
        <v>2738</v>
      </c>
      <c r="EY12" s="54">
        <v>3315</v>
      </c>
      <c r="EZ12" s="20">
        <f t="shared" si="27"/>
        <v>3613.8</v>
      </c>
      <c r="FA12" s="46"/>
      <c r="FB12" s="46"/>
    </row>
    <row r="13" spans="1:165" s="26" customFormat="1">
      <c r="B13" s="15" t="s">
        <v>300</v>
      </c>
      <c r="C13" s="23"/>
      <c r="D13" s="23"/>
      <c r="E13" s="23"/>
      <c r="F13" s="23"/>
      <c r="G13" s="23"/>
      <c r="H13" s="23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>
        <v>155</v>
      </c>
      <c r="T13" s="25">
        <f t="shared" ref="T13" si="28">+BY13+BX13</f>
        <v>242</v>
      </c>
      <c r="U13" s="25">
        <f>SUM(BZ13:CA13)</f>
        <v>277</v>
      </c>
      <c r="V13" s="25">
        <f>CC13+CB13</f>
        <v>341</v>
      </c>
      <c r="W13" s="25"/>
      <c r="X13" s="25"/>
      <c r="Y13" s="25"/>
      <c r="Z13" s="25"/>
      <c r="AA13" s="25">
        <v>568</v>
      </c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93"/>
      <c r="AX13" s="93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>
        <v>66</v>
      </c>
      <c r="BW13" s="66">
        <f t="shared" ref="BW13" si="29">+S13-BV13</f>
        <v>89</v>
      </c>
      <c r="BX13" s="66">
        <v>107</v>
      </c>
      <c r="BY13" s="66">
        <v>135</v>
      </c>
      <c r="BZ13" s="66">
        <v>129</v>
      </c>
      <c r="CA13" s="66">
        <f>277-BZ13</f>
        <v>148</v>
      </c>
      <c r="CB13" s="66">
        <v>156</v>
      </c>
      <c r="CC13" s="66">
        <v>185</v>
      </c>
      <c r="CD13" s="66">
        <v>184</v>
      </c>
      <c r="CE13" s="66">
        <v>201</v>
      </c>
      <c r="CF13" s="66">
        <v>216</v>
      </c>
      <c r="CG13" s="66">
        <v>241</v>
      </c>
      <c r="CH13" s="66">
        <v>238</v>
      </c>
      <c r="CI13" s="66">
        <v>258</v>
      </c>
      <c r="CJ13" s="66">
        <v>267</v>
      </c>
      <c r="CK13" s="66">
        <v>274</v>
      </c>
      <c r="CL13" s="66">
        <v>273</v>
      </c>
      <c r="CM13" s="66">
        <v>295</v>
      </c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>
        <v>779</v>
      </c>
      <c r="DO13" s="66">
        <v>863</v>
      </c>
      <c r="DP13" s="66">
        <v>1048</v>
      </c>
      <c r="DQ13" s="66">
        <v>872</v>
      </c>
      <c r="DR13" s="66">
        <v>792</v>
      </c>
      <c r="DS13" s="66">
        <v>663</v>
      </c>
      <c r="DT13" s="66">
        <v>584</v>
      </c>
      <c r="DU13" s="54">
        <f t="shared" si="25"/>
        <v>959.2</v>
      </c>
      <c r="DV13" s="66"/>
      <c r="DW13" s="66"/>
      <c r="DX13" s="66"/>
      <c r="DY13" s="66"/>
      <c r="DZ13" s="66"/>
      <c r="EA13" s="66"/>
      <c r="EB13" s="66"/>
      <c r="EC13" s="66"/>
      <c r="ED13" s="5"/>
      <c r="EE13" s="25"/>
      <c r="EF13" s="25"/>
      <c r="EG13" s="25"/>
      <c r="EH13" s="25"/>
      <c r="EI13" s="25"/>
      <c r="EJ13" s="25"/>
      <c r="EK13" s="25"/>
      <c r="EL13" s="25"/>
      <c r="EM13" s="25"/>
      <c r="EN13" s="25">
        <f>SUM(BV13:BY13)</f>
        <v>397</v>
      </c>
      <c r="EO13" s="25">
        <f>SUM(BZ13:CC13)</f>
        <v>618</v>
      </c>
      <c r="EP13" s="25">
        <f>SUM(CD13:CG13)</f>
        <v>842</v>
      </c>
      <c r="EQ13" s="25">
        <f>SUM(CH13:CK13)</f>
        <v>1037</v>
      </c>
      <c r="ER13" s="25">
        <f t="shared" ref="ER13:EW13" si="30">EQ13*1.1</f>
        <v>1140.7</v>
      </c>
      <c r="ES13" s="25">
        <f t="shared" si="30"/>
        <v>1254.7700000000002</v>
      </c>
      <c r="ET13" s="25">
        <f t="shared" si="30"/>
        <v>1380.2470000000003</v>
      </c>
      <c r="EU13" s="25">
        <f t="shared" si="30"/>
        <v>1518.2717000000005</v>
      </c>
      <c r="EV13" s="25">
        <f t="shared" si="30"/>
        <v>1670.0988700000007</v>
      </c>
      <c r="EW13" s="25">
        <f t="shared" si="30"/>
        <v>1837.1087570000009</v>
      </c>
      <c r="EX13" s="68">
        <v>2858</v>
      </c>
      <c r="EY13" s="54">
        <v>3562</v>
      </c>
      <c r="EZ13" s="20">
        <f t="shared" si="27"/>
        <v>2998.2</v>
      </c>
      <c r="FA13" s="46"/>
      <c r="FB13" s="46"/>
    </row>
    <row r="14" spans="1:165" s="26" customFormat="1">
      <c r="B14" s="15" t="s">
        <v>23</v>
      </c>
      <c r="C14" s="23"/>
      <c r="D14" s="23"/>
      <c r="E14" s="23"/>
      <c r="F14" s="23"/>
      <c r="G14" s="23"/>
      <c r="H14" s="23"/>
      <c r="I14" s="25">
        <v>607</v>
      </c>
      <c r="J14" s="25">
        <f>1665-I14</f>
        <v>1058</v>
      </c>
      <c r="K14" s="25">
        <v>1389</v>
      </c>
      <c r="L14" s="25">
        <f>2962-K14</f>
        <v>1573</v>
      </c>
      <c r="M14" s="25">
        <v>1909</v>
      </c>
      <c r="N14" s="25">
        <f>4106-M14</f>
        <v>2197</v>
      </c>
      <c r="O14" s="25">
        <v>2351</v>
      </c>
      <c r="P14" s="25">
        <f>SUM(BP14:BQ14)</f>
        <v>2856</v>
      </c>
      <c r="Q14" s="25">
        <f>SUM(BR14:BS14)</f>
        <v>3090</v>
      </c>
      <c r="R14" s="25">
        <f>BT14+BU14</f>
        <v>3132</v>
      </c>
      <c r="S14" s="25">
        <v>3393</v>
      </c>
      <c r="T14" s="25">
        <f>+BY14+BX14</f>
        <v>3068</v>
      </c>
      <c r="U14" s="25">
        <f>SUM(BZ14:CA14)</f>
        <v>2726</v>
      </c>
      <c r="V14" s="25">
        <f>CC14+CB14</f>
        <v>2566</v>
      </c>
      <c r="W14" s="25">
        <f>U14*1</f>
        <v>2726</v>
      </c>
      <c r="X14" s="25">
        <f>V14*1.05</f>
        <v>2694.3</v>
      </c>
      <c r="Y14" s="25"/>
      <c r="Z14" s="25"/>
      <c r="AA14" s="25">
        <v>3097</v>
      </c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93"/>
      <c r="AX14" s="66">
        <v>48</v>
      </c>
      <c r="AY14" s="66">
        <v>169</v>
      </c>
      <c r="AZ14" s="66">
        <v>235</v>
      </c>
      <c r="BA14" s="66">
        <v>238</v>
      </c>
      <c r="BB14" s="66">
        <v>260</v>
      </c>
      <c r="BC14" s="66">
        <v>347</v>
      </c>
      <c r="BD14" s="66">
        <v>486</v>
      </c>
      <c r="BE14" s="66">
        <v>572</v>
      </c>
      <c r="BF14" s="66">
        <v>676</v>
      </c>
      <c r="BG14" s="66">
        <v>713</v>
      </c>
      <c r="BH14" s="66">
        <v>741</v>
      </c>
      <c r="BI14" s="66">
        <v>832</v>
      </c>
      <c r="BJ14" s="66">
        <v>923</v>
      </c>
      <c r="BK14" s="66">
        <v>986</v>
      </c>
      <c r="BL14" s="66">
        <v>1062</v>
      </c>
      <c r="BM14" s="66">
        <v>1135</v>
      </c>
      <c r="BN14" s="66">
        <v>1131</v>
      </c>
      <c r="BO14" s="66">
        <v>1220</v>
      </c>
      <c r="BP14" s="66">
        <v>1351</v>
      </c>
      <c r="BQ14" s="66">
        <v>1505</v>
      </c>
      <c r="BR14" s="66">
        <v>1485</v>
      </c>
      <c r="BS14" s="66">
        <v>1605</v>
      </c>
      <c r="BT14" s="66">
        <v>1594</v>
      </c>
      <c r="BU14" s="66">
        <v>1538</v>
      </c>
      <c r="BV14" s="66">
        <v>1666</v>
      </c>
      <c r="BW14" s="66">
        <f>+S14-BV14</f>
        <v>1727</v>
      </c>
      <c r="BX14" s="66">
        <f>5001-BW14-BV14</f>
        <v>1608</v>
      </c>
      <c r="BY14" s="66">
        <v>1460</v>
      </c>
      <c r="BZ14" s="66">
        <v>1417</v>
      </c>
      <c r="CA14" s="66">
        <f>2726-BZ14</f>
        <v>1309</v>
      </c>
      <c r="CB14" s="66">
        <v>1216</v>
      </c>
      <c r="CC14" s="66">
        <v>1350</v>
      </c>
      <c r="CD14" s="66">
        <v>1385</v>
      </c>
      <c r="CE14" s="66">
        <v>1420</v>
      </c>
      <c r="CF14" s="66">
        <v>1504</v>
      </c>
      <c r="CG14" s="66">
        <v>1455</v>
      </c>
      <c r="CH14" s="66">
        <v>1527</v>
      </c>
      <c r="CI14" s="66">
        <v>1566</v>
      </c>
      <c r="CJ14" s="66">
        <v>1617</v>
      </c>
      <c r="CK14" s="66">
        <v>1544</v>
      </c>
      <c r="CL14" s="66">
        <v>1565</v>
      </c>
      <c r="CM14" s="66">
        <v>1532</v>
      </c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>
        <v>863</v>
      </c>
      <c r="DO14" s="66">
        <v>782</v>
      </c>
      <c r="DP14" s="66">
        <v>745</v>
      </c>
      <c r="DQ14" s="66">
        <v>666</v>
      </c>
      <c r="DR14" s="66">
        <v>581</v>
      </c>
      <c r="DS14" s="66">
        <v>561</v>
      </c>
      <c r="DT14" s="66">
        <v>510</v>
      </c>
      <c r="DU14" s="54">
        <f t="shared" si="25"/>
        <v>732.6</v>
      </c>
      <c r="DV14" s="66"/>
      <c r="DW14" s="66"/>
      <c r="DX14" s="66"/>
      <c r="DY14" s="66"/>
      <c r="DZ14" s="66"/>
      <c r="EA14" s="66"/>
      <c r="EB14" s="66"/>
      <c r="EC14" s="66"/>
      <c r="ED14" s="5"/>
      <c r="EE14" s="25">
        <v>0</v>
      </c>
      <c r="EF14" s="25">
        <v>0</v>
      </c>
      <c r="EG14" s="25">
        <v>0</v>
      </c>
      <c r="EH14" s="25">
        <f>SUM(AX14:BA14)</f>
        <v>690</v>
      </c>
      <c r="EI14" s="25">
        <f>SUM(BB14:BE14)</f>
        <v>1665</v>
      </c>
      <c r="EJ14" s="25">
        <f t="shared" si="24"/>
        <v>2962</v>
      </c>
      <c r="EK14" s="25">
        <f>SUM(M14:N14)</f>
        <v>4106</v>
      </c>
      <c r="EL14" s="25">
        <f t="shared" ref="EL14:EL41" si="31">SUM(BN14:BQ14)</f>
        <v>5207</v>
      </c>
      <c r="EM14" s="25">
        <f t="shared" si="20"/>
        <v>6222</v>
      </c>
      <c r="EN14" s="25">
        <f>SUM(BV14:BY14)</f>
        <v>6461</v>
      </c>
      <c r="EO14" s="25">
        <f>SUM(BZ14:CC14)</f>
        <v>5292</v>
      </c>
      <c r="EP14" s="25">
        <f>SUM(CD14:CG14)</f>
        <v>5764</v>
      </c>
      <c r="EQ14" s="25">
        <f>SUM(CH14:CK14)</f>
        <v>6254</v>
      </c>
      <c r="ER14" s="25">
        <f t="shared" ref="ER14:EV14" si="32">EQ14*1.01</f>
        <v>6316.54</v>
      </c>
      <c r="ES14" s="25">
        <f t="shared" si="32"/>
        <v>6379.7053999999998</v>
      </c>
      <c r="ET14" s="25">
        <f t="shared" si="32"/>
        <v>6443.5024539999995</v>
      </c>
      <c r="EU14" s="25">
        <f t="shared" si="32"/>
        <v>6507.9374785399996</v>
      </c>
      <c r="EV14" s="25">
        <f t="shared" si="32"/>
        <v>6573.0168533254</v>
      </c>
      <c r="EW14" s="25">
        <f>+EV14*0.99</f>
        <v>6507.2866847921459</v>
      </c>
      <c r="EX14" s="25">
        <v>4992</v>
      </c>
      <c r="EY14" s="25">
        <v>3056</v>
      </c>
      <c r="EZ14" s="20">
        <f t="shared" si="27"/>
        <v>2384.6</v>
      </c>
      <c r="FA14" s="46"/>
      <c r="FB14" s="46"/>
    </row>
    <row r="15" spans="1:165" s="26" customFormat="1">
      <c r="B15" s="3" t="s">
        <v>341</v>
      </c>
      <c r="C15" s="23"/>
      <c r="D15" s="23"/>
      <c r="E15" s="23"/>
      <c r="F15" s="23"/>
      <c r="G15" s="23"/>
      <c r="H15" s="23"/>
      <c r="I15" s="25">
        <v>1944</v>
      </c>
      <c r="J15" s="25">
        <f>4154-I15</f>
        <v>2210</v>
      </c>
      <c r="K15" s="25">
        <v>2348</v>
      </c>
      <c r="L15" s="25">
        <f>4839-K15</f>
        <v>2491</v>
      </c>
      <c r="M15" s="25">
        <v>2704</v>
      </c>
      <c r="N15" s="25">
        <f>5516-M15</f>
        <v>2812</v>
      </c>
      <c r="O15" s="25">
        <v>2867</v>
      </c>
      <c r="P15" s="25">
        <f t="shared" ref="P15:P45" si="33">SUM(BP15:BQ15)</f>
        <v>3056</v>
      </c>
      <c r="Q15" s="25">
        <f t="shared" ref="Q15:Q47" si="34">SUM(BR15:BS15)</f>
        <v>3098</v>
      </c>
      <c r="R15" s="25">
        <f t="shared" ref="R15:R47" si="35">BT15+BU15</f>
        <v>2989</v>
      </c>
      <c r="S15" s="25">
        <v>3301</v>
      </c>
      <c r="T15" s="25">
        <f t="shared" ref="T15:T47" si="36">+BY15+BX15</f>
        <v>3055</v>
      </c>
      <c r="U15" s="25">
        <f t="shared" ref="U15:U48" si="37">SUM(BZ15:CA15)</f>
        <v>3056</v>
      </c>
      <c r="V15" s="25">
        <f t="shared" ref="V15:V47" si="38">CC15+CB15</f>
        <v>2949</v>
      </c>
      <c r="W15" s="25">
        <f>U15*1.04</f>
        <v>3178.2400000000002</v>
      </c>
      <c r="X15" s="25">
        <f>V15*1.04</f>
        <v>3066.96</v>
      </c>
      <c r="Y15" s="25"/>
      <c r="Z15" s="25"/>
      <c r="AA15" s="25">
        <v>3360</v>
      </c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93"/>
      <c r="AX15" s="93">
        <v>782</v>
      </c>
      <c r="AY15" s="66">
        <v>842</v>
      </c>
      <c r="AZ15" s="66">
        <v>880</v>
      </c>
      <c r="BA15" s="66">
        <v>874</v>
      </c>
      <c r="BB15" s="66">
        <v>929</v>
      </c>
      <c r="BC15" s="66">
        <v>1015</v>
      </c>
      <c r="BD15" s="66">
        <v>1057</v>
      </c>
      <c r="BE15" s="66">
        <v>1153</v>
      </c>
      <c r="BF15" s="66">
        <v>1146</v>
      </c>
      <c r="BG15" s="66">
        <v>1202</v>
      </c>
      <c r="BH15" s="66">
        <v>1177</v>
      </c>
      <c r="BI15" s="66">
        <v>1314</v>
      </c>
      <c r="BJ15" s="66">
        <v>1309</v>
      </c>
      <c r="BK15" s="66">
        <v>1395</v>
      </c>
      <c r="BL15" s="66">
        <v>1380</v>
      </c>
      <c r="BM15" s="66">
        <v>1432</v>
      </c>
      <c r="BN15" s="66">
        <v>1407</v>
      </c>
      <c r="BO15" s="66">
        <v>1460</v>
      </c>
      <c r="BP15" s="66">
        <v>1472</v>
      </c>
      <c r="BQ15" s="66">
        <v>1584</v>
      </c>
      <c r="BR15" s="66">
        <v>1481</v>
      </c>
      <c r="BS15" s="66">
        <v>1617</v>
      </c>
      <c r="BT15" s="66">
        <v>1508</v>
      </c>
      <c r="BU15" s="66">
        <v>1481</v>
      </c>
      <c r="BV15" s="66">
        <v>1606</v>
      </c>
      <c r="BW15" s="66">
        <f t="shared" ref="BW15:BW46" si="39">+S15-BV15</f>
        <v>1695</v>
      </c>
      <c r="BX15" s="66">
        <f>4821-BW15-BV15</f>
        <v>1520</v>
      </c>
      <c r="BY15" s="66">
        <v>1535</v>
      </c>
      <c r="BZ15" s="66">
        <v>1556</v>
      </c>
      <c r="CA15" s="66">
        <f>3056-BZ15</f>
        <v>1500</v>
      </c>
      <c r="CB15" s="66">
        <v>1361</v>
      </c>
      <c r="CC15" s="66">
        <v>1588</v>
      </c>
      <c r="CD15" s="66">
        <v>1605</v>
      </c>
      <c r="CE15" s="66">
        <v>1710</v>
      </c>
      <c r="CF15" s="66">
        <v>1683</v>
      </c>
      <c r="CG15" s="66">
        <v>1709</v>
      </c>
      <c r="CH15" s="66">
        <v>1696</v>
      </c>
      <c r="CI15" s="66">
        <v>1705</v>
      </c>
      <c r="CJ15" s="66">
        <v>1805</v>
      </c>
      <c r="CK15" s="66">
        <v>1745</v>
      </c>
      <c r="CL15" s="66">
        <v>1667</v>
      </c>
      <c r="CM15" s="66">
        <v>1693</v>
      </c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>
        <v>705</v>
      </c>
      <c r="DO15" s="66">
        <v>674</v>
      </c>
      <c r="DP15" s="66">
        <v>589</v>
      </c>
      <c r="DQ15" s="66">
        <v>597</v>
      </c>
      <c r="DR15" s="66">
        <v>564</v>
      </c>
      <c r="DS15" s="66">
        <v>553</v>
      </c>
      <c r="DT15" s="66">
        <v>479</v>
      </c>
      <c r="DU15" s="54">
        <f t="shared" si="25"/>
        <v>656.7</v>
      </c>
      <c r="DV15" s="66"/>
      <c r="DW15" s="66"/>
      <c r="DX15" s="66"/>
      <c r="DY15" s="66"/>
      <c r="DZ15" s="66"/>
      <c r="EA15" s="66"/>
      <c r="EB15" s="66"/>
      <c r="EC15" s="66"/>
      <c r="ED15" s="5"/>
      <c r="EE15" s="25">
        <v>1721</v>
      </c>
      <c r="EF15" s="25">
        <v>2402</v>
      </c>
      <c r="EG15" s="25">
        <v>2775</v>
      </c>
      <c r="EH15" s="25">
        <v>3378</v>
      </c>
      <c r="EI15" s="25">
        <v>4154</v>
      </c>
      <c r="EJ15" s="25">
        <f t="shared" si="24"/>
        <v>4839</v>
      </c>
      <c r="EK15" s="25">
        <f t="shared" si="23"/>
        <v>5516</v>
      </c>
      <c r="EL15" s="25">
        <f>SUM(BN15:BQ15)</f>
        <v>5923</v>
      </c>
      <c r="EM15" s="25">
        <f>SUM(BR15:BU15)</f>
        <v>6087</v>
      </c>
      <c r="EN15" s="25">
        <f>SUM(BV15:BY15)</f>
        <v>6356</v>
      </c>
      <c r="EO15" s="25">
        <f>SUM(BZ15:CC15)</f>
        <v>6005</v>
      </c>
      <c r="EP15" s="25">
        <f>SUM(CD15:CG15)</f>
        <v>6707</v>
      </c>
      <c r="EQ15" s="25">
        <f>SUM(CH15:CK15)</f>
        <v>6951</v>
      </c>
      <c r="ER15" s="25">
        <f t="shared" ref="ER15:ET16" si="40">EQ15*1.01</f>
        <v>7020.51</v>
      </c>
      <c r="ES15" s="25">
        <f t="shared" si="40"/>
        <v>7090.7151000000003</v>
      </c>
      <c r="ET15" s="25">
        <f t="shared" si="40"/>
        <v>7161.6222510000007</v>
      </c>
      <c r="EU15" s="25">
        <f>ET15*0.99</f>
        <v>7090.006028490001</v>
      </c>
      <c r="EV15" s="25">
        <f>EU15*0.99</f>
        <v>7019.1059682051009</v>
      </c>
      <c r="EW15" s="25">
        <f>+EV15*0.99</f>
        <v>6948.9149085230501</v>
      </c>
      <c r="EX15" s="25">
        <f>3206+1017</f>
        <v>4223</v>
      </c>
      <c r="EY15" s="25">
        <f>1999+566</f>
        <v>2565</v>
      </c>
      <c r="EZ15" s="20">
        <f t="shared" si="27"/>
        <v>2252.6999999999998</v>
      </c>
      <c r="FA15" s="46"/>
      <c r="FB15" s="46"/>
    </row>
    <row r="16" spans="1:165" s="26" customFormat="1">
      <c r="B16" s="15" t="s">
        <v>24</v>
      </c>
      <c r="C16" s="23"/>
      <c r="D16" s="23"/>
      <c r="E16" s="23"/>
      <c r="F16" s="23"/>
      <c r="G16" s="23"/>
      <c r="H16" s="23"/>
      <c r="I16" s="25">
        <v>851</v>
      </c>
      <c r="J16" s="25">
        <f>2146-I16</f>
        <v>1295</v>
      </c>
      <c r="K16" s="25">
        <v>1813</v>
      </c>
      <c r="L16" s="25">
        <f>3927-K16</f>
        <v>2114</v>
      </c>
      <c r="M16" s="25">
        <v>2382</v>
      </c>
      <c r="N16" s="25">
        <f>4852-M16</f>
        <v>2470</v>
      </c>
      <c r="O16" s="25">
        <v>2474</v>
      </c>
      <c r="P16" s="25">
        <f t="shared" si="33"/>
        <v>2618</v>
      </c>
      <c r="Q16" s="25">
        <f t="shared" si="34"/>
        <v>2645</v>
      </c>
      <c r="R16" s="25">
        <f t="shared" si="35"/>
        <v>2621</v>
      </c>
      <c r="S16" s="25">
        <v>2806</v>
      </c>
      <c r="T16" s="25">
        <f t="shared" si="36"/>
        <v>2623</v>
      </c>
      <c r="U16" s="25">
        <f t="shared" si="37"/>
        <v>2716</v>
      </c>
      <c r="V16" s="25">
        <f t="shared" si="38"/>
        <v>2537</v>
      </c>
      <c r="W16" s="25">
        <f>U16*1.04</f>
        <v>2824.64</v>
      </c>
      <c r="X16" s="25">
        <f>V16*1.04</f>
        <v>2638.48</v>
      </c>
      <c r="Y16" s="25"/>
      <c r="Z16" s="25"/>
      <c r="AA16" s="25">
        <v>3082</v>
      </c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93"/>
      <c r="AX16" s="66">
        <v>328</v>
      </c>
      <c r="AY16" s="66">
        <v>356</v>
      </c>
      <c r="AZ16" s="66">
        <v>373</v>
      </c>
      <c r="BA16" s="66">
        <v>377.70765962469017</v>
      </c>
      <c r="BB16" s="66">
        <v>391</v>
      </c>
      <c r="BC16" s="66">
        <v>460</v>
      </c>
      <c r="BD16" s="66">
        <v>591</v>
      </c>
      <c r="BE16" s="66">
        <v>704</v>
      </c>
      <c r="BF16" s="66">
        <v>861</v>
      </c>
      <c r="BG16" s="66">
        <v>952</v>
      </c>
      <c r="BH16" s="66">
        <v>1009</v>
      </c>
      <c r="BI16" s="66">
        <v>1105</v>
      </c>
      <c r="BJ16" s="66">
        <v>1168</v>
      </c>
      <c r="BK16" s="66">
        <v>1214</v>
      </c>
      <c r="BL16" s="66">
        <v>1209</v>
      </c>
      <c r="BM16" s="66">
        <v>1261</v>
      </c>
      <c r="BN16" s="66">
        <v>1225</v>
      </c>
      <c r="BO16" s="66">
        <v>1249</v>
      </c>
      <c r="BP16" s="66">
        <v>1295</v>
      </c>
      <c r="BQ16" s="66">
        <v>1323</v>
      </c>
      <c r="BR16" s="66">
        <v>1307</v>
      </c>
      <c r="BS16" s="66">
        <v>1338</v>
      </c>
      <c r="BT16" s="66">
        <v>1327</v>
      </c>
      <c r="BU16" s="66">
        <v>1294</v>
      </c>
      <c r="BV16" s="66">
        <v>1417</v>
      </c>
      <c r="BW16" s="66">
        <f t="shared" si="39"/>
        <v>1389</v>
      </c>
      <c r="BX16" s="66">
        <f>4163-BW16-BV16</f>
        <v>1357</v>
      </c>
      <c r="BY16" s="66">
        <v>1266</v>
      </c>
      <c r="BZ16" s="66">
        <v>1386</v>
      </c>
      <c r="CA16" s="66">
        <f>2716-BZ16</f>
        <v>1330</v>
      </c>
      <c r="CB16" s="66">
        <v>1189</v>
      </c>
      <c r="CC16" s="66">
        <v>1348</v>
      </c>
      <c r="CD16" s="66">
        <v>1428</v>
      </c>
      <c r="CE16" s="66">
        <v>1523</v>
      </c>
      <c r="CF16" s="66">
        <v>1481</v>
      </c>
      <c r="CG16" s="66">
        <v>1457</v>
      </c>
      <c r="CH16" s="66">
        <v>1572</v>
      </c>
      <c r="CI16" s="66">
        <v>1510</v>
      </c>
      <c r="CJ16" s="66">
        <v>1512</v>
      </c>
      <c r="CK16" s="66">
        <v>1485</v>
      </c>
      <c r="CL16" s="66">
        <v>1526</v>
      </c>
      <c r="CM16" s="66">
        <v>1556</v>
      </c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>
        <v>755</v>
      </c>
      <c r="DO16" s="66">
        <v>641</v>
      </c>
      <c r="DP16" s="66">
        <v>665</v>
      </c>
      <c r="DQ16" s="66">
        <v>633</v>
      </c>
      <c r="DR16" s="66">
        <v>607</v>
      </c>
      <c r="DS16" s="66">
        <v>572</v>
      </c>
      <c r="DT16" s="66">
        <v>493</v>
      </c>
      <c r="DU16" s="54">
        <f t="shared" si="25"/>
        <v>696.30000000000007</v>
      </c>
      <c r="DV16" s="66"/>
      <c r="DW16" s="66"/>
      <c r="DX16" s="66"/>
      <c r="DY16" s="66"/>
      <c r="DZ16" s="66"/>
      <c r="EA16" s="66"/>
      <c r="EB16" s="66"/>
      <c r="EC16" s="66"/>
      <c r="ED16" s="5"/>
      <c r="EE16" s="25">
        <v>806</v>
      </c>
      <c r="EF16" s="25">
        <v>1007</v>
      </c>
      <c r="EG16" s="25">
        <v>1177</v>
      </c>
      <c r="EH16" s="25">
        <f t="shared" ref="EH16:EH46" si="41">SUM(AX16:BA16)</f>
        <v>1434.7076596246902</v>
      </c>
      <c r="EI16" s="25">
        <f t="shared" ref="EI16:EI46" si="42">SUM(BB16:BE16)</f>
        <v>2146</v>
      </c>
      <c r="EJ16" s="25">
        <f t="shared" si="24"/>
        <v>3927</v>
      </c>
      <c r="EK16" s="25">
        <f t="shared" si="23"/>
        <v>4852</v>
      </c>
      <c r="EL16" s="25">
        <f t="shared" si="31"/>
        <v>5092</v>
      </c>
      <c r="EM16" s="25">
        <f t="shared" ref="EM16:EM47" si="43">SUM(BR16:BU16)</f>
        <v>5266</v>
      </c>
      <c r="EN16" s="25">
        <f t="shared" si="21"/>
        <v>5429</v>
      </c>
      <c r="EO16" s="25">
        <f t="shared" ref="EO16:EO48" si="44">SUM(BZ16:CC16)</f>
        <v>5253</v>
      </c>
      <c r="EP16" s="25">
        <f t="shared" ref="EP16:EP58" si="45">SUM(CD16:CG16)</f>
        <v>5889</v>
      </c>
      <c r="EQ16" s="25">
        <f t="shared" ref="EQ16:EQ58" si="46">SUM(CH16:CK16)</f>
        <v>6079</v>
      </c>
      <c r="ER16" s="25">
        <f t="shared" si="40"/>
        <v>6139.79</v>
      </c>
      <c r="ES16" s="25">
        <f t="shared" si="40"/>
        <v>6201.1878999999999</v>
      </c>
      <c r="ET16" s="25">
        <f t="shared" si="40"/>
        <v>6263.1997789999996</v>
      </c>
      <c r="EU16" s="25">
        <f>ET16*0.9</f>
        <v>5636.8798010999999</v>
      </c>
      <c r="EV16" s="25">
        <f>EU16*0.9</f>
        <v>5073.1918209900005</v>
      </c>
      <c r="EW16" s="25">
        <f>+EV16*0.9</f>
        <v>4565.8726388910009</v>
      </c>
      <c r="EX16" s="25">
        <v>3732</v>
      </c>
      <c r="EY16" s="25">
        <v>2694</v>
      </c>
      <c r="EZ16" s="20">
        <f t="shared" si="27"/>
        <v>2368.3000000000002</v>
      </c>
      <c r="FA16" s="46"/>
      <c r="FB16" s="46"/>
    </row>
    <row r="17" spans="2:158" s="26" customFormat="1">
      <c r="B17" s="3" t="s">
        <v>758</v>
      </c>
      <c r="C17" s="23"/>
      <c r="D17" s="23"/>
      <c r="E17" s="23"/>
      <c r="F17" s="23"/>
      <c r="G17" s="23"/>
      <c r="H17" s="23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>
        <v>227</v>
      </c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93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>
        <v>65</v>
      </c>
      <c r="CJ17" s="66">
        <v>73</v>
      </c>
      <c r="CK17" s="66">
        <v>78</v>
      </c>
      <c r="CL17" s="66">
        <v>102</v>
      </c>
      <c r="CM17" s="66">
        <v>125</v>
      </c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>
        <v>478</v>
      </c>
      <c r="DO17" s="66">
        <v>481</v>
      </c>
      <c r="DP17" s="66">
        <v>501</v>
      </c>
      <c r="DQ17" s="66">
        <v>522</v>
      </c>
      <c r="DR17" s="66">
        <v>511</v>
      </c>
      <c r="DS17" s="66">
        <v>563</v>
      </c>
      <c r="DT17" s="66">
        <v>516</v>
      </c>
      <c r="DU17" s="54">
        <f t="shared" si="25"/>
        <v>574.20000000000005</v>
      </c>
      <c r="DV17" s="66"/>
      <c r="DW17" s="66"/>
      <c r="DX17" s="66"/>
      <c r="DY17" s="66"/>
      <c r="DZ17" s="66"/>
      <c r="EA17" s="66"/>
      <c r="EB17" s="66"/>
      <c r="EC17" s="66"/>
      <c r="ED17" s="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>
        <v>1745</v>
      </c>
      <c r="EY17" s="25">
        <v>1982</v>
      </c>
      <c r="EZ17" s="20">
        <f t="shared" si="27"/>
        <v>2164.1999999999998</v>
      </c>
      <c r="FA17" s="46"/>
      <c r="FB17" s="46"/>
    </row>
    <row r="18" spans="2:158" s="26" customFormat="1">
      <c r="B18" s="3" t="s">
        <v>796</v>
      </c>
      <c r="C18" s="23"/>
      <c r="D18" s="23"/>
      <c r="E18" s="23"/>
      <c r="F18" s="23"/>
      <c r="G18" s="23"/>
      <c r="H18" s="23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93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>
        <v>166</v>
      </c>
      <c r="DO18" s="66">
        <v>429</v>
      </c>
      <c r="DP18" s="66">
        <v>489</v>
      </c>
      <c r="DQ18" s="66">
        <v>546</v>
      </c>
      <c r="DR18" s="66">
        <v>587</v>
      </c>
      <c r="DS18" s="66">
        <v>22</v>
      </c>
      <c r="DT18" s="66">
        <v>22</v>
      </c>
      <c r="DU18" s="54">
        <f t="shared" si="25"/>
        <v>600.6</v>
      </c>
      <c r="DV18" s="66"/>
      <c r="DW18" s="66"/>
      <c r="DX18" s="66"/>
      <c r="DY18" s="66"/>
      <c r="DZ18" s="66"/>
      <c r="EA18" s="66"/>
      <c r="EB18" s="66"/>
      <c r="EC18" s="66"/>
      <c r="ED18" s="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>
        <v>0</v>
      </c>
      <c r="EY18" s="25">
        <v>1630</v>
      </c>
      <c r="EZ18" s="20">
        <f t="shared" si="27"/>
        <v>1231.5999999999999</v>
      </c>
      <c r="FA18" s="46"/>
      <c r="FB18" s="46"/>
    </row>
    <row r="19" spans="2:158" s="26" customFormat="1">
      <c r="B19" s="15" t="s">
        <v>28</v>
      </c>
      <c r="C19" s="23"/>
      <c r="D19" s="23"/>
      <c r="E19" s="23"/>
      <c r="F19" s="23"/>
      <c r="G19" s="23"/>
      <c r="H19" s="23"/>
      <c r="I19" s="25">
        <v>181</v>
      </c>
      <c r="J19" s="25">
        <f>408-I19</f>
        <v>227</v>
      </c>
      <c r="K19" s="25">
        <v>257</v>
      </c>
      <c r="L19" s="25">
        <f>537-K19</f>
        <v>280</v>
      </c>
      <c r="M19" s="25">
        <v>284</v>
      </c>
      <c r="N19" s="25">
        <f>567-M19</f>
        <v>283</v>
      </c>
      <c r="O19" s="25">
        <v>259</v>
      </c>
      <c r="P19" s="25">
        <f>SUM(BP19:BQ19)</f>
        <v>301</v>
      </c>
      <c r="Q19" s="25">
        <f>SUM(BR19:BS19)</f>
        <v>313</v>
      </c>
      <c r="R19" s="25">
        <f>BT19+BU19</f>
        <v>307</v>
      </c>
      <c r="S19" s="25">
        <v>324</v>
      </c>
      <c r="T19" s="25">
        <f>+BY19+BX19</f>
        <v>317</v>
      </c>
      <c r="U19" s="25">
        <f>SUM(BZ19:CA19)</f>
        <v>300</v>
      </c>
      <c r="V19" s="25">
        <f>CC19+CB19</f>
        <v>303</v>
      </c>
      <c r="W19" s="25"/>
      <c r="X19" s="25"/>
      <c r="Y19" s="25"/>
      <c r="Z19" s="25"/>
      <c r="AA19" s="25">
        <v>437</v>
      </c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93"/>
      <c r="AX19" s="66">
        <v>38</v>
      </c>
      <c r="AY19" s="66">
        <v>55</v>
      </c>
      <c r="AZ19" s="66">
        <v>68</v>
      </c>
      <c r="BA19" s="66">
        <v>73</v>
      </c>
      <c r="BB19" s="66">
        <v>81</v>
      </c>
      <c r="BC19" s="66">
        <v>100</v>
      </c>
      <c r="BD19" s="66">
        <v>104</v>
      </c>
      <c r="BE19" s="66">
        <v>123</v>
      </c>
      <c r="BF19" s="66">
        <v>124</v>
      </c>
      <c r="BG19" s="66">
        <v>133</v>
      </c>
      <c r="BH19" s="66">
        <v>135</v>
      </c>
      <c r="BI19" s="66">
        <v>145</v>
      </c>
      <c r="BJ19" s="66">
        <v>136</v>
      </c>
      <c r="BK19" s="66">
        <v>148</v>
      </c>
      <c r="BL19" s="66">
        <v>145</v>
      </c>
      <c r="BM19" s="66">
        <v>138</v>
      </c>
      <c r="BN19" s="66">
        <v>125</v>
      </c>
      <c r="BO19" s="66">
        <v>134</v>
      </c>
      <c r="BP19" s="66">
        <v>145</v>
      </c>
      <c r="BQ19" s="66">
        <v>156</v>
      </c>
      <c r="BR19" s="66">
        <v>152</v>
      </c>
      <c r="BS19" s="66">
        <v>161</v>
      </c>
      <c r="BT19" s="66">
        <v>157</v>
      </c>
      <c r="BU19" s="66">
        <v>150</v>
      </c>
      <c r="BV19" s="66">
        <v>148</v>
      </c>
      <c r="BW19" s="66">
        <f>+S19-BV19</f>
        <v>176</v>
      </c>
      <c r="BX19" s="66">
        <f>491-BW19-BV19</f>
        <v>167</v>
      </c>
      <c r="BY19" s="66">
        <v>150</v>
      </c>
      <c r="BZ19" s="66">
        <v>149</v>
      </c>
      <c r="CA19" s="66">
        <f>300-BZ19</f>
        <v>151</v>
      </c>
      <c r="CB19" s="66">
        <v>146</v>
      </c>
      <c r="CC19" s="66">
        <v>157</v>
      </c>
      <c r="CD19" s="66">
        <v>164</v>
      </c>
      <c r="CE19" s="66">
        <v>181</v>
      </c>
      <c r="CF19" s="66">
        <v>185</v>
      </c>
      <c r="CG19" s="66">
        <v>175</v>
      </c>
      <c r="CH19" s="66">
        <v>185</v>
      </c>
      <c r="CI19" s="66">
        <v>201</v>
      </c>
      <c r="CJ19" s="66">
        <v>204</v>
      </c>
      <c r="CK19" s="66">
        <v>200</v>
      </c>
      <c r="CL19" s="66">
        <v>205</v>
      </c>
      <c r="CM19" s="66">
        <v>232</v>
      </c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>
        <v>409</v>
      </c>
      <c r="DO19" s="66">
        <v>478</v>
      </c>
      <c r="DP19" s="66">
        <v>529</v>
      </c>
      <c r="DQ19" s="66">
        <v>526</v>
      </c>
      <c r="DR19" s="66">
        <v>456</v>
      </c>
      <c r="DS19" s="66">
        <v>569</v>
      </c>
      <c r="DT19" s="66">
        <v>600</v>
      </c>
      <c r="DU19" s="54">
        <f t="shared" si="25"/>
        <v>578.6</v>
      </c>
      <c r="DV19" s="66"/>
      <c r="DW19" s="66"/>
      <c r="DX19" s="66"/>
      <c r="DY19" s="66"/>
      <c r="DZ19" s="66"/>
      <c r="EA19" s="66"/>
      <c r="EB19" s="66"/>
      <c r="EC19" s="66"/>
      <c r="ED19" s="5"/>
      <c r="EE19" s="25">
        <v>0</v>
      </c>
      <c r="EF19" s="25">
        <v>0</v>
      </c>
      <c r="EG19" s="25">
        <v>33</v>
      </c>
      <c r="EH19" s="25">
        <f>SUM(AX19:BA19)</f>
        <v>234</v>
      </c>
      <c r="EI19" s="25">
        <f>SUM(BB19:BE19)</f>
        <v>408</v>
      </c>
      <c r="EJ19" s="25">
        <f>SUM(K19:L19)</f>
        <v>537</v>
      </c>
      <c r="EK19" s="25">
        <f>SUM(M19:N19)</f>
        <v>567</v>
      </c>
      <c r="EL19" s="25">
        <f>SUM(BN19:BQ19)</f>
        <v>560</v>
      </c>
      <c r="EM19" s="25">
        <f>SUM(BR19:BU19)</f>
        <v>620</v>
      </c>
      <c r="EN19" s="25">
        <f>SUM(BV19:BY19)</f>
        <v>641</v>
      </c>
      <c r="EO19" s="25">
        <f>SUM(BZ19:CC19)</f>
        <v>603</v>
      </c>
      <c r="EP19" s="25">
        <f>SUM(CD19:CG19)</f>
        <v>705</v>
      </c>
      <c r="EQ19" s="25">
        <f>SUM(CH19:CK19)</f>
        <v>790</v>
      </c>
      <c r="ER19" s="25">
        <f t="shared" ref="ER19:EW19" si="47">EQ19*1.01</f>
        <v>797.9</v>
      </c>
      <c r="ES19" s="25">
        <f t="shared" si="47"/>
        <v>805.87900000000002</v>
      </c>
      <c r="ET19" s="25">
        <f t="shared" si="47"/>
        <v>813.93779000000006</v>
      </c>
      <c r="EU19" s="25">
        <f t="shared" si="47"/>
        <v>822.07716790000006</v>
      </c>
      <c r="EV19" s="25">
        <f t="shared" si="47"/>
        <v>830.29793957900006</v>
      </c>
      <c r="EW19" s="25">
        <f t="shared" si="47"/>
        <v>838.60091897479003</v>
      </c>
      <c r="EX19" s="25">
        <v>1904</v>
      </c>
      <c r="EY19" s="25">
        <v>1942</v>
      </c>
      <c r="EZ19" s="20">
        <f t="shared" si="27"/>
        <v>2203.6</v>
      </c>
      <c r="FA19" s="46"/>
      <c r="FB19" s="46"/>
    </row>
    <row r="20" spans="2:158" s="26" customFormat="1">
      <c r="B20" s="3" t="s">
        <v>797</v>
      </c>
      <c r="C20" s="23"/>
      <c r="D20" s="23"/>
      <c r="E20" s="23"/>
      <c r="F20" s="23"/>
      <c r="G20" s="23"/>
      <c r="H20" s="23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93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>
        <v>298</v>
      </c>
      <c r="DO20" s="66">
        <v>333</v>
      </c>
      <c r="DP20" s="66">
        <v>357</v>
      </c>
      <c r="DQ20" s="66">
        <v>368</v>
      </c>
      <c r="DR20" s="66">
        <v>361</v>
      </c>
      <c r="DS20" s="66">
        <v>384</v>
      </c>
      <c r="DT20" s="66">
        <v>382</v>
      </c>
      <c r="DU20" s="54">
        <f t="shared" si="25"/>
        <v>404.8</v>
      </c>
      <c r="DV20" s="66"/>
      <c r="DW20" s="66"/>
      <c r="DX20" s="66"/>
      <c r="DY20" s="66"/>
      <c r="DZ20" s="66"/>
      <c r="EA20" s="66"/>
      <c r="EB20" s="66"/>
      <c r="EC20" s="66"/>
      <c r="ED20" s="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>
        <v>1160</v>
      </c>
      <c r="EY20" s="25">
        <v>1356</v>
      </c>
      <c r="EZ20" s="20">
        <f t="shared" si="27"/>
        <v>1531.8</v>
      </c>
      <c r="FA20" s="46"/>
      <c r="FB20" s="46"/>
    </row>
    <row r="21" spans="2:158" s="26" customFormat="1">
      <c r="B21" s="15" t="s">
        <v>29</v>
      </c>
      <c r="C21" s="23"/>
      <c r="D21" s="23"/>
      <c r="E21" s="23"/>
      <c r="F21" s="23"/>
      <c r="G21" s="23"/>
      <c r="H21" s="23"/>
      <c r="I21" s="25"/>
      <c r="J21" s="25"/>
      <c r="K21" s="25">
        <v>13</v>
      </c>
      <c r="L21" s="25">
        <f>478-K21</f>
        <v>465</v>
      </c>
      <c r="M21" s="25">
        <v>524</v>
      </c>
      <c r="N21" s="25">
        <f>991-M21</f>
        <v>467</v>
      </c>
      <c r="O21" s="25">
        <v>440</v>
      </c>
      <c r="P21" s="25">
        <f>SUM(BP21:BQ21)</f>
        <v>520</v>
      </c>
      <c r="Q21" s="25">
        <f>SUM(BR21:BS21)</f>
        <v>573</v>
      </c>
      <c r="R21" s="25">
        <f>BT21+BU21</f>
        <v>625</v>
      </c>
      <c r="S21" s="25">
        <v>697</v>
      </c>
      <c r="T21" s="25">
        <f t="shared" si="36"/>
        <v>761</v>
      </c>
      <c r="U21" s="25">
        <f t="shared" si="37"/>
        <v>769</v>
      </c>
      <c r="V21" s="25">
        <f t="shared" si="38"/>
        <v>754</v>
      </c>
      <c r="W21" s="25"/>
      <c r="X21" s="25"/>
      <c r="Y21" s="25"/>
      <c r="Z21" s="25"/>
      <c r="AA21" s="25">
        <v>828</v>
      </c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5"/>
      <c r="AQ21" s="25"/>
      <c r="AR21" s="25"/>
      <c r="AS21" s="25"/>
      <c r="AT21" s="25"/>
      <c r="AU21" s="25"/>
      <c r="AV21" s="25"/>
      <c r="AW21" s="93"/>
      <c r="AX21" s="93">
        <v>0</v>
      </c>
      <c r="AY21" s="66">
        <v>0</v>
      </c>
      <c r="AZ21" s="66">
        <v>0</v>
      </c>
      <c r="BA21" s="66">
        <v>0</v>
      </c>
      <c r="BB21" s="66">
        <v>0</v>
      </c>
      <c r="BC21" s="66">
        <v>0</v>
      </c>
      <c r="BD21" s="66">
        <v>0</v>
      </c>
      <c r="BE21" s="66">
        <v>0</v>
      </c>
      <c r="BF21" s="66">
        <v>0</v>
      </c>
      <c r="BG21" s="66">
        <v>13</v>
      </c>
      <c r="BH21" s="66">
        <v>192</v>
      </c>
      <c r="BI21" s="66">
        <v>273</v>
      </c>
      <c r="BJ21" s="66">
        <v>263</v>
      </c>
      <c r="BK21" s="66">
        <v>261</v>
      </c>
      <c r="BL21" s="66">
        <v>239</v>
      </c>
      <c r="BM21" s="66">
        <v>228</v>
      </c>
      <c r="BN21" s="66">
        <v>215</v>
      </c>
      <c r="BO21" s="66">
        <v>225</v>
      </c>
      <c r="BP21" s="66">
        <v>246</v>
      </c>
      <c r="BQ21" s="66">
        <v>274</v>
      </c>
      <c r="BR21" s="66">
        <v>279</v>
      </c>
      <c r="BS21" s="66">
        <v>294</v>
      </c>
      <c r="BT21" s="66">
        <v>296</v>
      </c>
      <c r="BU21" s="66">
        <v>329</v>
      </c>
      <c r="BV21" s="66">
        <v>327</v>
      </c>
      <c r="BW21" s="66">
        <f>+S21-BV21</f>
        <v>370</v>
      </c>
      <c r="BX21" s="66">
        <f>1081-BW21-BV21</f>
        <v>384</v>
      </c>
      <c r="BY21" s="66">
        <v>377</v>
      </c>
      <c r="BZ21" s="66">
        <v>392</v>
      </c>
      <c r="CA21" s="66">
        <f>769-BZ21</f>
        <v>377</v>
      </c>
      <c r="CB21" s="66">
        <v>359</v>
      </c>
      <c r="CC21" s="66">
        <v>395</v>
      </c>
      <c r="CD21" s="66">
        <v>385</v>
      </c>
      <c r="CE21" s="66">
        <v>360</v>
      </c>
      <c r="CF21" s="66">
        <v>368</v>
      </c>
      <c r="CG21" s="66">
        <v>368</v>
      </c>
      <c r="CH21" s="66">
        <v>393</v>
      </c>
      <c r="CI21" s="66">
        <v>427</v>
      </c>
      <c r="CJ21" s="66">
        <v>431</v>
      </c>
      <c r="CK21" s="66">
        <v>438</v>
      </c>
      <c r="CL21" s="66">
        <v>407</v>
      </c>
      <c r="CM21" s="66">
        <v>421</v>
      </c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>
        <v>337</v>
      </c>
      <c r="DO21" s="66">
        <v>328</v>
      </c>
      <c r="DP21" s="66">
        <v>352</v>
      </c>
      <c r="DQ21" s="66">
        <v>336</v>
      </c>
      <c r="DR21" s="66">
        <v>256</v>
      </c>
      <c r="DS21" s="66">
        <v>316</v>
      </c>
      <c r="DT21" s="66">
        <v>228</v>
      </c>
      <c r="DU21" s="54">
        <f t="shared" si="25"/>
        <v>369.6</v>
      </c>
      <c r="DV21" s="66"/>
      <c r="DW21" s="66"/>
      <c r="DX21" s="66"/>
      <c r="DY21" s="66"/>
      <c r="DZ21" s="66"/>
      <c r="EA21" s="66"/>
      <c r="EB21" s="66"/>
      <c r="EC21" s="66"/>
      <c r="ED21" s="5"/>
      <c r="EE21" s="25">
        <v>0</v>
      </c>
      <c r="EF21" s="25">
        <v>0</v>
      </c>
      <c r="EG21" s="25">
        <v>0</v>
      </c>
      <c r="EH21" s="25">
        <f>SUM(AX21:BA21)</f>
        <v>0</v>
      </c>
      <c r="EI21" s="25">
        <f>SUM(BB21:BE21)</f>
        <v>0</v>
      </c>
      <c r="EJ21" s="25">
        <f t="shared" si="24"/>
        <v>478</v>
      </c>
      <c r="EK21" s="25">
        <f>SUM(M21:N21)</f>
        <v>991</v>
      </c>
      <c r="EL21" s="25">
        <f t="shared" si="31"/>
        <v>960</v>
      </c>
      <c r="EM21" s="25">
        <f>SUM(BR21:BU21)</f>
        <v>1198</v>
      </c>
      <c r="EN21" s="25">
        <f t="shared" si="21"/>
        <v>1458</v>
      </c>
      <c r="EO21" s="25">
        <f t="shared" si="44"/>
        <v>1523</v>
      </c>
      <c r="EP21" s="25">
        <f t="shared" si="45"/>
        <v>1481</v>
      </c>
      <c r="EQ21" s="25">
        <f t="shared" si="46"/>
        <v>1689</v>
      </c>
      <c r="ER21" s="25">
        <f t="shared" ref="ER21:EW21" si="48">EQ21*1.01</f>
        <v>1705.89</v>
      </c>
      <c r="ES21" s="25">
        <f t="shared" si="48"/>
        <v>1722.9489000000001</v>
      </c>
      <c r="ET21" s="25">
        <f t="shared" si="48"/>
        <v>1740.1783890000002</v>
      </c>
      <c r="EU21" s="25">
        <f t="shared" si="48"/>
        <v>1757.5801728900001</v>
      </c>
      <c r="EV21" s="25">
        <f t="shared" si="48"/>
        <v>1775.1559746189</v>
      </c>
      <c r="EW21" s="25">
        <f t="shared" si="48"/>
        <v>1792.9075343650891</v>
      </c>
      <c r="EX21" s="25">
        <v>1444</v>
      </c>
      <c r="EY21" s="25">
        <v>1353</v>
      </c>
      <c r="EZ21" s="20">
        <f t="shared" si="27"/>
        <v>1169.5999999999999</v>
      </c>
      <c r="FA21" s="46"/>
      <c r="FB21" s="46"/>
    </row>
    <row r="22" spans="2:158" s="26" customFormat="1">
      <c r="B22" s="15" t="s">
        <v>26</v>
      </c>
      <c r="C22" s="23"/>
      <c r="D22" s="23"/>
      <c r="E22" s="23"/>
      <c r="F22" s="23"/>
      <c r="G22" s="23"/>
      <c r="H22" s="23"/>
      <c r="I22" s="25"/>
      <c r="J22" s="25">
        <f>310-I22</f>
        <v>310</v>
      </c>
      <c r="K22" s="25">
        <v>178</v>
      </c>
      <c r="L22" s="25">
        <f>362-K22</f>
        <v>184</v>
      </c>
      <c r="M22" s="25">
        <v>202</v>
      </c>
      <c r="N22" s="25">
        <f>382-M22</f>
        <v>180</v>
      </c>
      <c r="O22" s="25">
        <v>164</v>
      </c>
      <c r="P22" s="25">
        <f>SUM(BP22:BQ22)</f>
        <v>178</v>
      </c>
      <c r="Q22" s="25">
        <f>SUM(BR22:BS22)</f>
        <v>226</v>
      </c>
      <c r="R22" s="25">
        <f>BT22+BU22</f>
        <v>229</v>
      </c>
      <c r="S22" s="25">
        <v>227</v>
      </c>
      <c r="T22" s="25">
        <f>+BY22+BX22</f>
        <v>233</v>
      </c>
      <c r="U22" s="25">
        <f>SUM(BZ22:CA22)</f>
        <v>231</v>
      </c>
      <c r="V22" s="25">
        <f>CC22+CB22</f>
        <v>222</v>
      </c>
      <c r="W22" s="25"/>
      <c r="X22" s="25"/>
      <c r="Y22" s="25"/>
      <c r="Z22" s="25"/>
      <c r="AA22" s="25">
        <v>359</v>
      </c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93"/>
      <c r="AX22" s="66">
        <v>63</v>
      </c>
      <c r="AY22" s="66">
        <v>72</v>
      </c>
      <c r="AZ22" s="66">
        <v>76</v>
      </c>
      <c r="BA22" s="66">
        <v>67</v>
      </c>
      <c r="BB22" s="66">
        <v>67</v>
      </c>
      <c r="BC22" s="66">
        <v>72</v>
      </c>
      <c r="BD22" s="66">
        <v>84</v>
      </c>
      <c r="BE22" s="66">
        <v>87</v>
      </c>
      <c r="BF22" s="66">
        <v>88</v>
      </c>
      <c r="BG22" s="66">
        <v>90</v>
      </c>
      <c r="BH22" s="66">
        <v>89</v>
      </c>
      <c r="BI22" s="66">
        <v>95</v>
      </c>
      <c r="BJ22" s="66">
        <v>96</v>
      </c>
      <c r="BK22" s="66">
        <v>106</v>
      </c>
      <c r="BL22" s="66">
        <v>92</v>
      </c>
      <c r="BM22" s="66">
        <v>88</v>
      </c>
      <c r="BN22" s="66">
        <v>83</v>
      </c>
      <c r="BO22" s="66">
        <v>81</v>
      </c>
      <c r="BP22" s="66">
        <v>81</v>
      </c>
      <c r="BQ22" s="66">
        <v>97</v>
      </c>
      <c r="BR22" s="66">
        <v>126</v>
      </c>
      <c r="BS22" s="66">
        <v>100</v>
      </c>
      <c r="BT22" s="66">
        <v>107</v>
      </c>
      <c r="BU22" s="66">
        <v>122</v>
      </c>
      <c r="BV22" s="66">
        <v>110</v>
      </c>
      <c r="BW22" s="66">
        <f>+S22-BV22</f>
        <v>117</v>
      </c>
      <c r="BX22" s="66">
        <f>346-BW22-BV22</f>
        <v>119</v>
      </c>
      <c r="BY22" s="66">
        <v>114</v>
      </c>
      <c r="BZ22" s="66">
        <v>122</v>
      </c>
      <c r="CA22" s="66">
        <f>231-BZ22</f>
        <v>109</v>
      </c>
      <c r="CB22" s="66">
        <v>100</v>
      </c>
      <c r="CC22" s="66">
        <v>122</v>
      </c>
      <c r="CD22" s="66">
        <v>140</v>
      </c>
      <c r="CE22" s="66">
        <v>145</v>
      </c>
      <c r="CF22" s="66">
        <v>152</v>
      </c>
      <c r="CG22" s="66">
        <v>147</v>
      </c>
      <c r="CH22" s="66">
        <v>190</v>
      </c>
      <c r="CI22" s="66">
        <v>151</v>
      </c>
      <c r="CJ22" s="66">
        <v>173</v>
      </c>
      <c r="CK22" s="66">
        <v>169</v>
      </c>
      <c r="CL22" s="66">
        <v>181</v>
      </c>
      <c r="CM22" s="66">
        <v>178</v>
      </c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>
        <v>304</v>
      </c>
      <c r="DO22" s="66">
        <v>294</v>
      </c>
      <c r="DP22" s="66">
        <v>323</v>
      </c>
      <c r="DQ22" s="66">
        <v>391</v>
      </c>
      <c r="DR22" s="66">
        <v>247</v>
      </c>
      <c r="DS22" s="66">
        <v>312</v>
      </c>
      <c r="DT22" s="66">
        <v>322</v>
      </c>
      <c r="DU22" s="54">
        <f t="shared" si="25"/>
        <v>430.1</v>
      </c>
      <c r="DV22" s="66"/>
      <c r="DW22" s="66"/>
      <c r="DX22" s="66"/>
      <c r="DY22" s="66"/>
      <c r="DZ22" s="66"/>
      <c r="EA22" s="66"/>
      <c r="EB22" s="66"/>
      <c r="EC22" s="66"/>
      <c r="ED22" s="5"/>
      <c r="EE22" s="25">
        <v>371</v>
      </c>
      <c r="EF22" s="25">
        <v>322</v>
      </c>
      <c r="EG22" s="25">
        <v>278</v>
      </c>
      <c r="EH22" s="25">
        <f>SUM(AX22:BA22)</f>
        <v>278</v>
      </c>
      <c r="EI22" s="25">
        <f>SUM(BB22:BE22)</f>
        <v>310</v>
      </c>
      <c r="EJ22" s="25">
        <f>SUM(K22:L22)</f>
        <v>362</v>
      </c>
      <c r="EK22" s="25">
        <f>SUM(M22:N22)</f>
        <v>382</v>
      </c>
      <c r="EL22" s="25">
        <f>SUM(BN22:BQ22)</f>
        <v>342</v>
      </c>
      <c r="EM22" s="25">
        <f>SUM(BR22:BU22)</f>
        <v>455</v>
      </c>
      <c r="EN22" s="25">
        <f>SUM(BV22:BY22)</f>
        <v>460</v>
      </c>
      <c r="EO22" s="25">
        <f>SUM(BZ22:CC22)</f>
        <v>453</v>
      </c>
      <c r="EP22" s="25">
        <f>SUM(CD22:CG22)</f>
        <v>584</v>
      </c>
      <c r="EQ22" s="25">
        <f>SUM(CH22:CK22)</f>
        <v>683</v>
      </c>
      <c r="ER22" s="25">
        <f>EQ22*1.05</f>
        <v>717.15</v>
      </c>
      <c r="ES22" s="25">
        <f t="shared" ref="ES22:EV22" si="49">ER22*1.05</f>
        <v>753.00750000000005</v>
      </c>
      <c r="ET22" s="25">
        <f t="shared" si="49"/>
        <v>790.6578750000001</v>
      </c>
      <c r="EU22" s="25">
        <f t="shared" si="49"/>
        <v>830.19076875000019</v>
      </c>
      <c r="EV22" s="25">
        <f t="shared" si="49"/>
        <v>871.70030718750024</v>
      </c>
      <c r="EW22" s="25"/>
      <c r="EX22" s="25">
        <v>1321</v>
      </c>
      <c r="EY22" s="25">
        <v>1312</v>
      </c>
      <c r="EZ22" s="20">
        <f t="shared" si="27"/>
        <v>1311.1</v>
      </c>
      <c r="FA22" s="46"/>
      <c r="FB22" s="46"/>
    </row>
    <row r="23" spans="2:158" s="26" customFormat="1">
      <c r="B23" s="3" t="s">
        <v>798</v>
      </c>
      <c r="C23" s="23"/>
      <c r="D23" s="23"/>
      <c r="E23" s="23"/>
      <c r="F23" s="23"/>
      <c r="G23" s="23"/>
      <c r="H23" s="23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5"/>
      <c r="AQ23" s="25"/>
      <c r="AR23" s="25"/>
      <c r="AS23" s="25"/>
      <c r="AT23" s="25"/>
      <c r="AU23" s="25"/>
      <c r="AV23" s="25"/>
      <c r="AW23" s="93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  <c r="BO23" s="66"/>
      <c r="BP23" s="66"/>
      <c r="BQ23" s="66"/>
      <c r="BR23" s="66"/>
      <c r="BS23" s="66"/>
      <c r="BT23" s="66"/>
      <c r="BU23" s="66"/>
      <c r="BV23" s="66"/>
      <c r="BW23" s="66"/>
      <c r="BX23" s="66"/>
      <c r="BY23" s="66"/>
      <c r="BZ23" s="66"/>
      <c r="CA23" s="66"/>
      <c r="CB23" s="66"/>
      <c r="CC23" s="66"/>
      <c r="CD23" s="66"/>
      <c r="CE23" s="66"/>
      <c r="CF23" s="66"/>
      <c r="CG23" s="66"/>
      <c r="CH23" s="66"/>
      <c r="CI23" s="66"/>
      <c r="CJ23" s="66"/>
      <c r="CK23" s="66"/>
      <c r="CL23" s="66"/>
      <c r="CM23" s="66"/>
      <c r="CN23" s="66"/>
      <c r="CO23" s="66"/>
      <c r="CP23" s="66"/>
      <c r="CQ23" s="66"/>
      <c r="CR23" s="66"/>
      <c r="CS23" s="66"/>
      <c r="CT23" s="66"/>
      <c r="CU23" s="66"/>
      <c r="CV23" s="66"/>
      <c r="CW23" s="66"/>
      <c r="CX23" s="66"/>
      <c r="CY23" s="66"/>
      <c r="CZ23" s="66"/>
      <c r="DA23" s="66"/>
      <c r="DB23" s="66"/>
      <c r="DC23" s="66"/>
      <c r="DD23" s="66"/>
      <c r="DE23" s="66"/>
      <c r="DF23" s="66"/>
      <c r="DG23" s="66"/>
      <c r="DH23" s="66"/>
      <c r="DI23" s="66"/>
      <c r="DJ23" s="66"/>
      <c r="DK23" s="66"/>
      <c r="DL23" s="66"/>
      <c r="DM23" s="66"/>
      <c r="DN23" s="66">
        <v>256</v>
      </c>
      <c r="DO23" s="66">
        <v>270</v>
      </c>
      <c r="DP23" s="66">
        <v>263</v>
      </c>
      <c r="DQ23" s="66">
        <v>250</v>
      </c>
      <c r="DR23" s="66">
        <v>241</v>
      </c>
      <c r="DS23" s="66">
        <v>216</v>
      </c>
      <c r="DT23" s="66">
        <v>133</v>
      </c>
      <c r="DU23" s="54">
        <f t="shared" si="25"/>
        <v>275</v>
      </c>
      <c r="DV23" s="66"/>
      <c r="DW23" s="66"/>
      <c r="DX23" s="66"/>
      <c r="DY23" s="66"/>
      <c r="DZ23" s="66"/>
      <c r="EA23" s="66"/>
      <c r="EB23" s="66"/>
      <c r="EC23" s="66"/>
      <c r="ED23" s="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>
        <v>1108</v>
      </c>
      <c r="EY23" s="25">
        <v>1039</v>
      </c>
      <c r="EZ23" s="20">
        <f t="shared" si="27"/>
        <v>865</v>
      </c>
      <c r="FA23" s="46"/>
      <c r="FB23" s="46"/>
    </row>
    <row r="24" spans="2:158" s="26" customFormat="1">
      <c r="B24" s="3" t="s">
        <v>799</v>
      </c>
      <c r="C24" s="23"/>
      <c r="D24" s="23"/>
      <c r="E24" s="23"/>
      <c r="F24" s="23"/>
      <c r="G24" s="23"/>
      <c r="H24" s="23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93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  <c r="BO24" s="66"/>
      <c r="BP24" s="66"/>
      <c r="BQ24" s="66"/>
      <c r="BR24" s="66"/>
      <c r="BS24" s="66"/>
      <c r="BT24" s="66"/>
      <c r="BU24" s="66"/>
      <c r="BV24" s="66"/>
      <c r="BW24" s="66"/>
      <c r="BX24" s="66"/>
      <c r="BY24" s="66"/>
      <c r="BZ24" s="66"/>
      <c r="CA24" s="66"/>
      <c r="CB24" s="66"/>
      <c r="CC24" s="66"/>
      <c r="CD24" s="66"/>
      <c r="CE24" s="66"/>
      <c r="CF24" s="66"/>
      <c r="CG24" s="66"/>
      <c r="CH24" s="66"/>
      <c r="CI24" s="66"/>
      <c r="CJ24" s="66"/>
      <c r="CK24" s="66"/>
      <c r="CL24" s="66"/>
      <c r="CM24" s="66"/>
      <c r="CN24" s="66"/>
      <c r="CO24" s="66"/>
      <c r="CP24" s="66"/>
      <c r="CQ24" s="66"/>
      <c r="CR24" s="66"/>
      <c r="CS24" s="66"/>
      <c r="CT24" s="66"/>
      <c r="CU24" s="66"/>
      <c r="CV24" s="66"/>
      <c r="CW24" s="66"/>
      <c r="CX24" s="66"/>
      <c r="CY24" s="66"/>
      <c r="CZ24" s="66"/>
      <c r="DA24" s="66"/>
      <c r="DB24" s="66"/>
      <c r="DC24" s="66"/>
      <c r="DD24" s="66"/>
      <c r="DE24" s="66"/>
      <c r="DF24" s="66"/>
      <c r="DG24" s="66"/>
      <c r="DH24" s="66"/>
      <c r="DI24" s="66"/>
      <c r="DJ24" s="66"/>
      <c r="DK24" s="66"/>
      <c r="DL24" s="66"/>
      <c r="DM24" s="66"/>
      <c r="DN24" s="66">
        <v>80</v>
      </c>
      <c r="DO24" s="66">
        <v>163</v>
      </c>
      <c r="DP24" s="66">
        <v>153</v>
      </c>
      <c r="DQ24" s="66">
        <v>206</v>
      </c>
      <c r="DR24" s="66">
        <v>226</v>
      </c>
      <c r="DS24" s="66">
        <v>274</v>
      </c>
      <c r="DT24" s="66">
        <v>293</v>
      </c>
      <c r="DU24" s="54">
        <f t="shared" si="25"/>
        <v>226.60000000000002</v>
      </c>
      <c r="DV24" s="66"/>
      <c r="DW24" s="66"/>
      <c r="DX24" s="66"/>
      <c r="DY24" s="66"/>
      <c r="DZ24" s="66"/>
      <c r="EA24" s="66"/>
      <c r="EB24" s="66"/>
      <c r="EC24" s="66"/>
      <c r="ED24" s="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>
        <v>55</v>
      </c>
      <c r="EY24" s="25">
        <v>602</v>
      </c>
      <c r="EZ24" s="20">
        <f t="shared" si="27"/>
        <v>1019.6</v>
      </c>
      <c r="FA24" s="46"/>
      <c r="FB24" s="46"/>
    </row>
    <row r="25" spans="2:158" s="26" customFormat="1">
      <c r="B25" s="3" t="s">
        <v>760</v>
      </c>
      <c r="C25" s="23"/>
      <c r="D25" s="23"/>
      <c r="E25" s="23"/>
      <c r="F25" s="23"/>
      <c r="G25" s="23"/>
      <c r="H25" s="23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>
        <v>18</v>
      </c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93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  <c r="BO25" s="66"/>
      <c r="BP25" s="66"/>
      <c r="BQ25" s="66"/>
      <c r="BR25" s="66"/>
      <c r="BS25" s="66"/>
      <c r="BT25" s="66"/>
      <c r="BU25" s="66"/>
      <c r="BV25" s="66"/>
      <c r="BW25" s="66"/>
      <c r="BX25" s="66"/>
      <c r="BY25" s="66"/>
      <c r="BZ25" s="66"/>
      <c r="CA25" s="66"/>
      <c r="CB25" s="66"/>
      <c r="CC25" s="66"/>
      <c r="CD25" s="66"/>
      <c r="CE25" s="66"/>
      <c r="CF25" s="66"/>
      <c r="CG25" s="66"/>
      <c r="CH25" s="66"/>
      <c r="CI25" s="66"/>
      <c r="CJ25" s="66"/>
      <c r="CK25" s="66"/>
      <c r="CL25" s="66"/>
      <c r="CM25" s="66"/>
      <c r="CN25" s="66"/>
      <c r="CO25" s="66"/>
      <c r="CP25" s="66"/>
      <c r="CQ25" s="66"/>
      <c r="CR25" s="66"/>
      <c r="CS25" s="66"/>
      <c r="CT25" s="66"/>
      <c r="CU25" s="66"/>
      <c r="CV25" s="66"/>
      <c r="CW25" s="66"/>
      <c r="CX25" s="66"/>
      <c r="CY25" s="66"/>
      <c r="CZ25" s="66"/>
      <c r="DA25" s="66"/>
      <c r="DB25" s="66"/>
      <c r="DC25" s="66"/>
      <c r="DD25" s="66"/>
      <c r="DE25" s="66"/>
      <c r="DF25" s="66"/>
      <c r="DG25" s="66"/>
      <c r="DH25" s="66"/>
      <c r="DI25" s="66"/>
      <c r="DJ25" s="66"/>
      <c r="DK25" s="66"/>
      <c r="DL25" s="66"/>
      <c r="DM25" s="66"/>
      <c r="DN25" s="66">
        <v>155</v>
      </c>
      <c r="DO25" s="66">
        <v>169</v>
      </c>
      <c r="DP25" s="66">
        <v>177</v>
      </c>
      <c r="DQ25" s="66">
        <v>177</v>
      </c>
      <c r="DR25" s="66">
        <v>165</v>
      </c>
      <c r="DS25" s="66">
        <v>184</v>
      </c>
      <c r="DT25" s="66">
        <v>190</v>
      </c>
      <c r="DU25" s="54">
        <f t="shared" si="25"/>
        <v>194.70000000000002</v>
      </c>
      <c r="DV25" s="66"/>
      <c r="DW25" s="66"/>
      <c r="DX25" s="66"/>
      <c r="DY25" s="66"/>
      <c r="DZ25" s="66"/>
      <c r="EA25" s="66"/>
      <c r="EB25" s="66"/>
      <c r="EC25" s="66"/>
      <c r="ED25" s="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>
        <v>632</v>
      </c>
      <c r="EY25" s="25">
        <v>678</v>
      </c>
      <c r="EZ25" s="20">
        <f t="shared" si="27"/>
        <v>733.7</v>
      </c>
      <c r="FA25" s="46"/>
      <c r="FB25" s="46"/>
    </row>
    <row r="26" spans="2:158" s="26" customFormat="1">
      <c r="B26" s="3" t="s">
        <v>800</v>
      </c>
      <c r="C26" s="23"/>
      <c r="D26" s="23"/>
      <c r="E26" s="23"/>
      <c r="F26" s="23"/>
      <c r="G26" s="23"/>
      <c r="H26" s="23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93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  <c r="BO26" s="66"/>
      <c r="BP26" s="66"/>
      <c r="BQ26" s="66"/>
      <c r="BR26" s="66"/>
      <c r="BS26" s="66"/>
      <c r="BT26" s="66"/>
      <c r="BU26" s="66"/>
      <c r="BV26" s="66"/>
      <c r="BW26" s="66"/>
      <c r="BX26" s="66"/>
      <c r="BY26" s="66"/>
      <c r="BZ26" s="66"/>
      <c r="CA26" s="66"/>
      <c r="CB26" s="66"/>
      <c r="CC26" s="66"/>
      <c r="CD26" s="66"/>
      <c r="CE26" s="66"/>
      <c r="CF26" s="66"/>
      <c r="CG26" s="66"/>
      <c r="CH26" s="66"/>
      <c r="CI26" s="66"/>
      <c r="CJ26" s="66"/>
      <c r="CK26" s="66"/>
      <c r="CL26" s="66"/>
      <c r="CM26" s="66"/>
      <c r="CN26" s="66"/>
      <c r="CO26" s="66"/>
      <c r="CP26" s="66"/>
      <c r="CQ26" s="66"/>
      <c r="CR26" s="66"/>
      <c r="CS26" s="66"/>
      <c r="CT26" s="66"/>
      <c r="CU26" s="66"/>
      <c r="CV26" s="66"/>
      <c r="CW26" s="66"/>
      <c r="CX26" s="66"/>
      <c r="CY26" s="66"/>
      <c r="CZ26" s="66"/>
      <c r="DA26" s="66"/>
      <c r="DB26" s="66"/>
      <c r="DC26" s="66"/>
      <c r="DD26" s="66"/>
      <c r="DE26" s="66"/>
      <c r="DF26" s="66"/>
      <c r="DG26" s="66"/>
      <c r="DH26" s="66"/>
      <c r="DI26" s="66"/>
      <c r="DJ26" s="66"/>
      <c r="DK26" s="66"/>
      <c r="DL26" s="66"/>
      <c r="DM26" s="66"/>
      <c r="DN26" s="66">
        <v>29</v>
      </c>
      <c r="DO26" s="66">
        <v>67</v>
      </c>
      <c r="DP26" s="66">
        <v>117</v>
      </c>
      <c r="DQ26" s="66">
        <v>127</v>
      </c>
      <c r="DR26" s="66">
        <v>146</v>
      </c>
      <c r="DS26" s="66">
        <v>179</v>
      </c>
      <c r="DT26" s="66">
        <v>201</v>
      </c>
      <c r="DU26" s="54">
        <f t="shared" si="25"/>
        <v>139.70000000000002</v>
      </c>
      <c r="DV26" s="66"/>
      <c r="DW26" s="66"/>
      <c r="DX26" s="66"/>
      <c r="DY26" s="66"/>
      <c r="DZ26" s="66"/>
      <c r="EA26" s="66"/>
      <c r="EB26" s="66"/>
      <c r="EC26" s="66"/>
      <c r="ED26" s="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>
        <v>23</v>
      </c>
      <c r="EY26" s="25">
        <v>340</v>
      </c>
      <c r="EZ26" s="20">
        <f t="shared" si="27"/>
        <v>665.7</v>
      </c>
      <c r="FA26" s="46"/>
      <c r="FB26" s="46"/>
    </row>
    <row r="27" spans="2:158" s="26" customFormat="1">
      <c r="B27" s="15" t="s">
        <v>27</v>
      </c>
      <c r="C27" s="23"/>
      <c r="D27" s="23"/>
      <c r="E27" s="23"/>
      <c r="F27" s="23"/>
      <c r="G27" s="23"/>
      <c r="H27" s="23"/>
      <c r="I27" s="25">
        <v>186</v>
      </c>
      <c r="J27" s="25">
        <f>393-I27</f>
        <v>207</v>
      </c>
      <c r="K27" s="25">
        <v>212</v>
      </c>
      <c r="L27" s="25">
        <f>436-K27</f>
        <v>224</v>
      </c>
      <c r="M27" s="25">
        <v>231</v>
      </c>
      <c r="N27" s="25">
        <f>483-M27</f>
        <v>252</v>
      </c>
      <c r="O27" s="25">
        <v>237</v>
      </c>
      <c r="P27" s="25">
        <f>SUM(BP27:BQ27)</f>
        <v>259</v>
      </c>
      <c r="Q27" s="25">
        <f>SUM(BR27:BS27)</f>
        <v>248</v>
      </c>
      <c r="R27" s="25">
        <f>BT27+BU27</f>
        <v>253</v>
      </c>
      <c r="S27" s="25">
        <v>264</v>
      </c>
      <c r="T27" s="25">
        <f>+BY27+BX27</f>
        <v>249</v>
      </c>
      <c r="U27" s="25">
        <f>SUM(BZ27:CA27)</f>
        <v>247</v>
      </c>
      <c r="V27" s="25">
        <f>CC27+CB27</f>
        <v>245</v>
      </c>
      <c r="W27" s="25"/>
      <c r="X27" s="25"/>
      <c r="Y27" s="25"/>
      <c r="Z27" s="25"/>
      <c r="AA27" s="25">
        <v>278</v>
      </c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93"/>
      <c r="AX27" s="66">
        <v>84</v>
      </c>
      <c r="AY27" s="66">
        <v>81.796737766624844</v>
      </c>
      <c r="AZ27" s="66">
        <v>86</v>
      </c>
      <c r="BA27" s="66">
        <v>86</v>
      </c>
      <c r="BB27" s="66">
        <v>89</v>
      </c>
      <c r="BC27" s="66">
        <v>97</v>
      </c>
      <c r="BD27" s="66">
        <v>100</v>
      </c>
      <c r="BE27" s="66">
        <v>107</v>
      </c>
      <c r="BF27" s="66">
        <v>109</v>
      </c>
      <c r="BG27" s="66">
        <v>103</v>
      </c>
      <c r="BH27" s="66">
        <v>108</v>
      </c>
      <c r="BI27" s="66">
        <v>116</v>
      </c>
      <c r="BJ27" s="66">
        <v>111</v>
      </c>
      <c r="BK27" s="66">
        <v>120</v>
      </c>
      <c r="BL27" s="66">
        <v>124</v>
      </c>
      <c r="BM27" s="66">
        <v>128</v>
      </c>
      <c r="BN27" s="66">
        <v>117</v>
      </c>
      <c r="BO27" s="66">
        <v>120</v>
      </c>
      <c r="BP27" s="66">
        <v>120</v>
      </c>
      <c r="BQ27" s="66">
        <v>139</v>
      </c>
      <c r="BR27" s="66">
        <v>120</v>
      </c>
      <c r="BS27" s="66">
        <v>128</v>
      </c>
      <c r="BT27" s="66">
        <v>125</v>
      </c>
      <c r="BU27" s="66">
        <v>128</v>
      </c>
      <c r="BV27" s="66">
        <v>135</v>
      </c>
      <c r="BW27" s="66">
        <f>+S27-BV27</f>
        <v>129</v>
      </c>
      <c r="BX27" s="66">
        <f>385-BW27-BV27</f>
        <v>121</v>
      </c>
      <c r="BY27" s="66">
        <v>128</v>
      </c>
      <c r="BZ27" s="66">
        <v>131</v>
      </c>
      <c r="CA27" s="66">
        <f>247-BZ27</f>
        <v>116</v>
      </c>
      <c r="CB27" s="66">
        <v>111</v>
      </c>
      <c r="CC27" s="66">
        <v>134</v>
      </c>
      <c r="CD27" s="66">
        <v>128</v>
      </c>
      <c r="CE27" s="66">
        <v>129</v>
      </c>
      <c r="CF27" s="66">
        <v>139</v>
      </c>
      <c r="CG27" s="66">
        <v>141</v>
      </c>
      <c r="CH27" s="66">
        <v>140</v>
      </c>
      <c r="CI27" s="66">
        <v>138</v>
      </c>
      <c r="CJ27" s="66">
        <v>134</v>
      </c>
      <c r="CK27" s="66">
        <v>160</v>
      </c>
      <c r="CL27" s="66">
        <v>138</v>
      </c>
      <c r="CM27" s="66">
        <v>140</v>
      </c>
      <c r="CN27" s="66"/>
      <c r="CO27" s="66"/>
      <c r="CP27" s="66"/>
      <c r="CQ27" s="66"/>
      <c r="CR27" s="66"/>
      <c r="CS27" s="66"/>
      <c r="CT27" s="66"/>
      <c r="CU27" s="66"/>
      <c r="CV27" s="66"/>
      <c r="CW27" s="66"/>
      <c r="CX27" s="66"/>
      <c r="CY27" s="66"/>
      <c r="CZ27" s="66"/>
      <c r="DA27" s="66"/>
      <c r="DB27" s="66"/>
      <c r="DC27" s="66"/>
      <c r="DD27" s="66"/>
      <c r="DE27" s="66"/>
      <c r="DF27" s="66"/>
      <c r="DG27" s="66"/>
      <c r="DH27" s="66"/>
      <c r="DI27" s="66"/>
      <c r="DJ27" s="66"/>
      <c r="DK27" s="66"/>
      <c r="DL27" s="66"/>
      <c r="DM27" s="66"/>
      <c r="DN27" s="66">
        <v>139</v>
      </c>
      <c r="DO27" s="66">
        <v>137</v>
      </c>
      <c r="DP27" s="66">
        <v>138</v>
      </c>
      <c r="DQ27" s="66">
        <v>152</v>
      </c>
      <c r="DR27" s="66">
        <v>136</v>
      </c>
      <c r="DS27" s="66">
        <v>143</v>
      </c>
      <c r="DT27" s="66">
        <v>135</v>
      </c>
      <c r="DU27" s="54">
        <f t="shared" si="25"/>
        <v>167.20000000000002</v>
      </c>
      <c r="DV27" s="66"/>
      <c r="DW27" s="66"/>
      <c r="DX27" s="66"/>
      <c r="DY27" s="66"/>
      <c r="DZ27" s="66"/>
      <c r="EA27" s="66"/>
      <c r="EB27" s="66"/>
      <c r="EC27" s="66"/>
      <c r="ED27" s="5"/>
      <c r="EE27" s="25">
        <v>319</v>
      </c>
      <c r="EF27" s="25">
        <v>320</v>
      </c>
      <c r="EG27" s="25">
        <v>328</v>
      </c>
      <c r="EH27" s="25">
        <f>SUM(AX27:BA27)</f>
        <v>337.79673776662486</v>
      </c>
      <c r="EI27" s="25">
        <f>SUM(BB27:BE27)</f>
        <v>393</v>
      </c>
      <c r="EJ27" s="25">
        <f>SUM(K27:L27)</f>
        <v>436</v>
      </c>
      <c r="EK27" s="25">
        <f>SUM(M27:N27)</f>
        <v>483</v>
      </c>
      <c r="EL27" s="25">
        <f>SUM(BN27:BQ27)</f>
        <v>496</v>
      </c>
      <c r="EM27" s="25">
        <f>SUM(BR27:BU27)</f>
        <v>501</v>
      </c>
      <c r="EN27" s="25">
        <f>SUM(BV27:BY27)</f>
        <v>513</v>
      </c>
      <c r="EO27" s="25">
        <f>SUM(BZ27:CC27)</f>
        <v>492</v>
      </c>
      <c r="EP27" s="25">
        <f>SUM(CD27:CG27)</f>
        <v>537</v>
      </c>
      <c r="EQ27" s="25">
        <f>SUM(CH27:CK27)</f>
        <v>572</v>
      </c>
      <c r="ER27" s="25">
        <f>EQ27*1.05</f>
        <v>600.6</v>
      </c>
      <c r="ES27" s="25">
        <f t="shared" ref="ES27:EV27" si="50">ER27*1.05</f>
        <v>630.63</v>
      </c>
      <c r="ET27" s="25">
        <f t="shared" si="50"/>
        <v>662.16150000000005</v>
      </c>
      <c r="EU27" s="25">
        <f t="shared" si="50"/>
        <v>695.26957500000003</v>
      </c>
      <c r="EV27" s="25">
        <f t="shared" si="50"/>
        <v>730.03305375000002</v>
      </c>
      <c r="EW27" s="25">
        <f>+EV27*0.9</f>
        <v>657.02974837500005</v>
      </c>
      <c r="EX27" s="25">
        <v>642</v>
      </c>
      <c r="EY27" s="25">
        <v>566</v>
      </c>
      <c r="EZ27" s="20">
        <f t="shared" si="27"/>
        <v>581.20000000000005</v>
      </c>
      <c r="FA27" s="46"/>
      <c r="FB27" s="46"/>
    </row>
    <row r="28" spans="2:158" s="26" customFormat="1">
      <c r="B28" s="15" t="s">
        <v>40</v>
      </c>
      <c r="C28" s="23"/>
      <c r="D28" s="23"/>
      <c r="E28" s="23"/>
      <c r="F28" s="23"/>
      <c r="G28" s="23"/>
      <c r="H28" s="23"/>
      <c r="I28" s="25">
        <v>800</v>
      </c>
      <c r="J28" s="25">
        <f>1705-I28</f>
        <v>905</v>
      </c>
      <c r="K28" s="25">
        <v>891</v>
      </c>
      <c r="L28" s="25">
        <f>1842-K28</f>
        <v>951</v>
      </c>
      <c r="M28" s="25">
        <v>979</v>
      </c>
      <c r="N28" s="25">
        <f>2012-M28</f>
        <v>1033</v>
      </c>
      <c r="O28" s="25">
        <v>1010</v>
      </c>
      <c r="P28" s="25">
        <f>SUM(BP28:BQ28)</f>
        <v>1089</v>
      </c>
      <c r="Q28" s="25">
        <f>SUM(BR28:BS28)</f>
        <v>927</v>
      </c>
      <c r="R28" s="25">
        <f>BT28+BU28</f>
        <v>649</v>
      </c>
      <c r="S28" s="25">
        <v>702</v>
      </c>
      <c r="T28" s="25">
        <f>+BY28+BX28</f>
        <v>588</v>
      </c>
      <c r="U28" s="25">
        <f>SUM(BZ28:CA28)</f>
        <v>538</v>
      </c>
      <c r="V28" s="25">
        <f>CC28+CB28</f>
        <v>453</v>
      </c>
      <c r="W28" s="25"/>
      <c r="X28" s="25"/>
      <c r="Y28" s="25"/>
      <c r="Z28" s="25"/>
      <c r="AA28" s="25">
        <v>413</v>
      </c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93"/>
      <c r="AX28" s="66">
        <v>369</v>
      </c>
      <c r="AY28" s="66">
        <v>350</v>
      </c>
      <c r="AZ28" s="66">
        <v>337</v>
      </c>
      <c r="BA28" s="66">
        <v>347</v>
      </c>
      <c r="BB28" s="66">
        <v>370</v>
      </c>
      <c r="BC28" s="66">
        <v>430</v>
      </c>
      <c r="BD28" s="66">
        <v>441</v>
      </c>
      <c r="BE28" s="66">
        <v>464</v>
      </c>
      <c r="BF28" s="66">
        <v>454</v>
      </c>
      <c r="BG28" s="66">
        <v>437</v>
      </c>
      <c r="BH28" s="66">
        <v>466</v>
      </c>
      <c r="BI28" s="66">
        <v>485</v>
      </c>
      <c r="BJ28" s="66">
        <v>476</v>
      </c>
      <c r="BK28" s="66">
        <v>503</v>
      </c>
      <c r="BL28" s="66">
        <v>485</v>
      </c>
      <c r="BM28" s="66">
        <v>548</v>
      </c>
      <c r="BN28" s="66">
        <v>487</v>
      </c>
      <c r="BO28" s="66">
        <v>523</v>
      </c>
      <c r="BP28" s="66">
        <v>513</v>
      </c>
      <c r="BQ28" s="66">
        <v>576</v>
      </c>
      <c r="BR28" s="66">
        <v>517</v>
      </c>
      <c r="BS28" s="66">
        <v>410</v>
      </c>
      <c r="BT28" s="66">
        <f>1289-BS28-BR28</f>
        <v>362</v>
      </c>
      <c r="BU28" s="66">
        <v>287</v>
      </c>
      <c r="BV28" s="66">
        <v>357</v>
      </c>
      <c r="BW28" s="66">
        <f>+S28-BV28</f>
        <v>345</v>
      </c>
      <c r="BX28" s="66">
        <f>1001-BW28-BV28</f>
        <v>299</v>
      </c>
      <c r="BY28" s="66">
        <v>289</v>
      </c>
      <c r="BZ28" s="66">
        <v>280</v>
      </c>
      <c r="CA28" s="66">
        <f>538-BZ28</f>
        <v>258</v>
      </c>
      <c r="CB28" s="66">
        <v>232</v>
      </c>
      <c r="CC28" s="66">
        <v>221</v>
      </c>
      <c r="CD28" s="66">
        <v>220</v>
      </c>
      <c r="CE28" s="66">
        <v>234</v>
      </c>
      <c r="CF28" s="66">
        <v>230</v>
      </c>
      <c r="CG28" s="66">
        <v>225</v>
      </c>
      <c r="CH28" s="66">
        <v>229</v>
      </c>
      <c r="CI28" s="66">
        <v>236</v>
      </c>
      <c r="CJ28" s="66">
        <v>216</v>
      </c>
      <c r="CK28" s="66">
        <v>193</v>
      </c>
      <c r="CL28" s="66">
        <v>215</v>
      </c>
      <c r="CM28" s="66">
        <v>198</v>
      </c>
      <c r="CN28" s="66"/>
      <c r="CO28" s="66"/>
      <c r="CP28" s="66"/>
      <c r="CQ28" s="66"/>
      <c r="CR28" s="66"/>
      <c r="CS28" s="66"/>
      <c r="CT28" s="66"/>
      <c r="CU28" s="66"/>
      <c r="CV28" s="66"/>
      <c r="CW28" s="66"/>
      <c r="CX28" s="66"/>
      <c r="CY28" s="66"/>
      <c r="CZ28" s="66"/>
      <c r="DA28" s="66"/>
      <c r="DB28" s="66"/>
      <c r="DC28" s="66"/>
      <c r="DD28" s="66"/>
      <c r="DE28" s="66"/>
      <c r="DF28" s="66"/>
      <c r="DG28" s="66"/>
      <c r="DH28" s="66"/>
      <c r="DI28" s="66"/>
      <c r="DJ28" s="66"/>
      <c r="DK28" s="66"/>
      <c r="DL28" s="66"/>
      <c r="DM28" s="66"/>
      <c r="DN28" s="66">
        <v>154</v>
      </c>
      <c r="DO28" s="66">
        <v>144</v>
      </c>
      <c r="DP28" s="66">
        <v>155</v>
      </c>
      <c r="DQ28" s="66">
        <v>139</v>
      </c>
      <c r="DR28" s="66">
        <v>134</v>
      </c>
      <c r="DS28" s="66">
        <v>136</v>
      </c>
      <c r="DT28" s="66">
        <v>116</v>
      </c>
      <c r="DU28" s="54">
        <f t="shared" si="25"/>
        <v>152.9</v>
      </c>
      <c r="DV28" s="66"/>
      <c r="DW28" s="66"/>
      <c r="DX28" s="66"/>
      <c r="DY28" s="66"/>
      <c r="DZ28" s="66"/>
      <c r="EA28" s="66"/>
      <c r="EB28" s="66"/>
      <c r="EC28" s="66"/>
      <c r="ED28" s="5"/>
      <c r="EE28" s="25">
        <v>1056</v>
      </c>
      <c r="EF28" s="25">
        <v>1173</v>
      </c>
      <c r="EG28" s="25">
        <v>1335</v>
      </c>
      <c r="EH28" s="25">
        <f>SUM(AX28:BA28)</f>
        <v>1403</v>
      </c>
      <c r="EI28" s="25">
        <f>SUM(BB28:BE28)</f>
        <v>1705</v>
      </c>
      <c r="EJ28" s="25">
        <f>SUM(K28:L28)</f>
        <v>1842</v>
      </c>
      <c r="EK28" s="25">
        <f>SUM(M28:N28)</f>
        <v>2012</v>
      </c>
      <c r="EL28" s="25">
        <f>SUM(BN28:BQ28)</f>
        <v>2099</v>
      </c>
      <c r="EM28" s="25">
        <f>SUM(BR28:BU28)</f>
        <v>1576</v>
      </c>
      <c r="EN28" s="25">
        <f>SUM(BV28:BY28)</f>
        <v>1290</v>
      </c>
      <c r="EO28" s="25">
        <f>SUM(BZ28:CC28)</f>
        <v>991</v>
      </c>
      <c r="EP28" s="25">
        <f>SUM(CD28:CG28)</f>
        <v>909</v>
      </c>
      <c r="EQ28" s="25">
        <f>SUM(CH28:CK28)</f>
        <v>874</v>
      </c>
      <c r="ER28" s="25">
        <f t="shared" ref="ER28" si="51">EQ28*0.6</f>
        <v>524.4</v>
      </c>
      <c r="ES28" s="25">
        <f t="shared" ref="ES28" si="52">ER28*0.6</f>
        <v>314.64</v>
      </c>
      <c r="ET28" s="25">
        <f t="shared" ref="ET28" si="53">ES28*0.6</f>
        <v>188.78399999999999</v>
      </c>
      <c r="EU28" s="25">
        <f t="shared" ref="EU28" si="54">ET28*0.6</f>
        <v>113.2704</v>
      </c>
      <c r="EV28" s="25">
        <f t="shared" ref="EV28" si="55">EU28*0.6</f>
        <v>67.962239999999994</v>
      </c>
      <c r="EW28" s="25">
        <f t="shared" ref="EW28" si="56">EV28*0.6</f>
        <v>40.777343999999992</v>
      </c>
      <c r="EX28" s="25">
        <v>606</v>
      </c>
      <c r="EY28" s="25">
        <v>592</v>
      </c>
      <c r="EZ28" s="20">
        <f t="shared" si="27"/>
        <v>538.9</v>
      </c>
      <c r="FA28" s="46"/>
      <c r="FB28" s="46"/>
    </row>
    <row r="29" spans="2:158" s="26" customFormat="1">
      <c r="B29" s="3" t="s">
        <v>801</v>
      </c>
      <c r="C29" s="23"/>
      <c r="D29" s="23"/>
      <c r="E29" s="23"/>
      <c r="F29" s="23"/>
      <c r="G29" s="23"/>
      <c r="H29" s="23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93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  <c r="BO29" s="66"/>
      <c r="BP29" s="66"/>
      <c r="BQ29" s="66"/>
      <c r="BR29" s="66"/>
      <c r="BS29" s="66"/>
      <c r="BT29" s="66"/>
      <c r="BU29" s="66"/>
      <c r="BV29" s="66"/>
      <c r="BW29" s="66"/>
      <c r="BX29" s="66"/>
      <c r="BY29" s="66"/>
      <c r="BZ29" s="66"/>
      <c r="CA29" s="66"/>
      <c r="CB29" s="66"/>
      <c r="CC29" s="66"/>
      <c r="CD29" s="66"/>
      <c r="CE29" s="66"/>
      <c r="CF29" s="66"/>
      <c r="CG29" s="66"/>
      <c r="CH29" s="66"/>
      <c r="CI29" s="66"/>
      <c r="CJ29" s="66"/>
      <c r="CK29" s="66"/>
      <c r="CL29" s="66"/>
      <c r="CM29" s="66"/>
      <c r="CN29" s="66"/>
      <c r="CO29" s="66"/>
      <c r="CP29" s="66"/>
      <c r="CQ29" s="66"/>
      <c r="CR29" s="66"/>
      <c r="CS29" s="66"/>
      <c r="CT29" s="66"/>
      <c r="CU29" s="66"/>
      <c r="CV29" s="66"/>
      <c r="CW29" s="66"/>
      <c r="CX29" s="66"/>
      <c r="CY29" s="66"/>
      <c r="CZ29" s="66"/>
      <c r="DA29" s="66"/>
      <c r="DB29" s="66"/>
      <c r="DC29" s="66"/>
      <c r="DD29" s="66"/>
      <c r="DE29" s="66"/>
      <c r="DF29" s="66"/>
      <c r="DG29" s="66"/>
      <c r="DH29" s="66"/>
      <c r="DI29" s="66"/>
      <c r="DJ29" s="66"/>
      <c r="DK29" s="66"/>
      <c r="DL29" s="66"/>
      <c r="DM29" s="66"/>
      <c r="DN29" s="66"/>
      <c r="DO29" s="66"/>
      <c r="DP29" s="66"/>
      <c r="DQ29" s="66"/>
      <c r="DR29" s="66">
        <v>81</v>
      </c>
      <c r="DS29" s="66"/>
      <c r="DT29" s="66"/>
      <c r="DU29" s="66"/>
      <c r="DV29" s="66"/>
      <c r="DW29" s="66"/>
      <c r="DX29" s="66"/>
      <c r="DY29" s="66"/>
      <c r="DZ29" s="66"/>
      <c r="EA29" s="66"/>
      <c r="EB29" s="66"/>
      <c r="EC29" s="66"/>
      <c r="ED29" s="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>
        <v>169</v>
      </c>
      <c r="EY29" s="25">
        <v>247</v>
      </c>
      <c r="EZ29" s="20">
        <f t="shared" si="27"/>
        <v>81</v>
      </c>
      <c r="FA29" s="46"/>
      <c r="FB29" s="46"/>
    </row>
    <row r="30" spans="2:158" s="26" customFormat="1">
      <c r="B30" s="3" t="s">
        <v>759</v>
      </c>
      <c r="C30" s="23"/>
      <c r="D30" s="23"/>
      <c r="E30" s="23"/>
      <c r="F30" s="23"/>
      <c r="G30" s="23"/>
      <c r="H30" s="23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>
        <v>57</v>
      </c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93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  <c r="BO30" s="66"/>
      <c r="BP30" s="66"/>
      <c r="BQ30" s="66"/>
      <c r="BR30" s="66"/>
      <c r="BS30" s="66"/>
      <c r="BT30" s="66"/>
      <c r="BU30" s="66"/>
      <c r="BV30" s="66"/>
      <c r="BW30" s="66"/>
      <c r="BX30" s="66"/>
      <c r="BY30" s="66"/>
      <c r="BZ30" s="66"/>
      <c r="CA30" s="66"/>
      <c r="CB30" s="66"/>
      <c r="CC30" s="66"/>
      <c r="CD30" s="66"/>
      <c r="CE30" s="66"/>
      <c r="CF30" s="66"/>
      <c r="CG30" s="66"/>
      <c r="CH30" s="66"/>
      <c r="CI30" s="66"/>
      <c r="CJ30" s="66"/>
      <c r="CK30" s="66"/>
      <c r="CL30" s="66"/>
      <c r="CM30" s="66"/>
      <c r="CN30" s="66"/>
      <c r="CO30" s="66"/>
      <c r="CP30" s="66"/>
      <c r="CQ30" s="66"/>
      <c r="CR30" s="66"/>
      <c r="CS30" s="66"/>
      <c r="CT30" s="66"/>
      <c r="CU30" s="66"/>
      <c r="CV30" s="66"/>
      <c r="CW30" s="66"/>
      <c r="CX30" s="66"/>
      <c r="CY30" s="66"/>
      <c r="CZ30" s="66"/>
      <c r="DA30" s="66"/>
      <c r="DB30" s="66"/>
      <c r="DC30" s="66"/>
      <c r="DD30" s="66"/>
      <c r="DE30" s="66"/>
      <c r="DF30" s="66"/>
      <c r="DG30" s="66"/>
      <c r="DH30" s="66"/>
      <c r="DI30" s="66"/>
      <c r="DJ30" s="66"/>
      <c r="DK30" s="66"/>
      <c r="DL30" s="66"/>
      <c r="DM30" s="66"/>
      <c r="DN30" s="66"/>
      <c r="DO30" s="66"/>
      <c r="DP30" s="66"/>
      <c r="DQ30" s="66"/>
      <c r="DR30" s="66">
        <v>63</v>
      </c>
      <c r="DS30" s="66"/>
      <c r="DT30" s="66"/>
      <c r="DU30" s="66"/>
      <c r="DV30" s="66"/>
      <c r="DW30" s="66"/>
      <c r="DX30" s="66"/>
      <c r="DY30" s="66"/>
      <c r="DZ30" s="66"/>
      <c r="EA30" s="66"/>
      <c r="EB30" s="66"/>
      <c r="EC30" s="66"/>
      <c r="ED30" s="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>
        <v>278</v>
      </c>
      <c r="EY30" s="25">
        <v>269</v>
      </c>
      <c r="EZ30" s="20">
        <f t="shared" si="27"/>
        <v>63</v>
      </c>
      <c r="FA30" s="46"/>
      <c r="FB30" s="46"/>
    </row>
    <row r="31" spans="2:158" s="26" customFormat="1">
      <c r="B31" s="3" t="s">
        <v>802</v>
      </c>
      <c r="C31" s="23"/>
      <c r="D31" s="23"/>
      <c r="E31" s="23"/>
      <c r="F31" s="23"/>
      <c r="G31" s="23"/>
      <c r="H31" s="23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93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  <c r="BO31" s="66"/>
      <c r="BP31" s="66"/>
      <c r="BQ31" s="66"/>
      <c r="BR31" s="66"/>
      <c r="BS31" s="66"/>
      <c r="BT31" s="66"/>
      <c r="BU31" s="66"/>
      <c r="BV31" s="66"/>
      <c r="BW31" s="66"/>
      <c r="BX31" s="66"/>
      <c r="BY31" s="66"/>
      <c r="BZ31" s="66"/>
      <c r="CA31" s="66"/>
      <c r="CB31" s="66"/>
      <c r="CC31" s="66"/>
      <c r="CD31" s="66"/>
      <c r="CE31" s="66"/>
      <c r="CF31" s="66"/>
      <c r="CG31" s="66"/>
      <c r="CH31" s="66"/>
      <c r="CI31" s="66"/>
      <c r="CJ31" s="66"/>
      <c r="CK31" s="66"/>
      <c r="CL31" s="66"/>
      <c r="CM31" s="66"/>
      <c r="CN31" s="66"/>
      <c r="CO31" s="66"/>
      <c r="CP31" s="66"/>
      <c r="CQ31" s="66"/>
      <c r="CR31" s="66"/>
      <c r="CS31" s="66"/>
      <c r="CT31" s="66"/>
      <c r="CU31" s="66"/>
      <c r="CV31" s="66"/>
      <c r="CW31" s="66"/>
      <c r="CX31" s="66"/>
      <c r="CY31" s="66"/>
      <c r="CZ31" s="66"/>
      <c r="DA31" s="66"/>
      <c r="DB31" s="66"/>
      <c r="DC31" s="66"/>
      <c r="DD31" s="66"/>
      <c r="DE31" s="66"/>
      <c r="DF31" s="66"/>
      <c r="DG31" s="66"/>
      <c r="DH31" s="66"/>
      <c r="DI31" s="66"/>
      <c r="DJ31" s="66"/>
      <c r="DK31" s="66"/>
      <c r="DL31" s="66"/>
      <c r="DM31" s="66"/>
      <c r="DN31" s="66"/>
      <c r="DO31" s="66"/>
      <c r="DP31" s="66"/>
      <c r="DQ31" s="66"/>
      <c r="DR31" s="66">
        <v>41</v>
      </c>
      <c r="DS31" s="66"/>
      <c r="DT31" s="66"/>
      <c r="DU31" s="66"/>
      <c r="DV31" s="66"/>
      <c r="DW31" s="66"/>
      <c r="DX31" s="66"/>
      <c r="DY31" s="66"/>
      <c r="DZ31" s="66"/>
      <c r="EA31" s="66"/>
      <c r="EB31" s="66"/>
      <c r="EC31" s="66"/>
      <c r="ED31" s="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46"/>
      <c r="EZ31" s="16"/>
      <c r="FA31" s="46"/>
      <c r="FB31" s="46"/>
    </row>
    <row r="32" spans="2:158" s="26" customFormat="1">
      <c r="B32" s="3" t="s">
        <v>803</v>
      </c>
      <c r="C32" s="23"/>
      <c r="D32" s="23"/>
      <c r="E32" s="23"/>
      <c r="F32" s="23"/>
      <c r="G32" s="23"/>
      <c r="H32" s="23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93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  <c r="BO32" s="66"/>
      <c r="BP32" s="66"/>
      <c r="BQ32" s="66"/>
      <c r="BR32" s="66"/>
      <c r="BS32" s="66"/>
      <c r="BT32" s="66"/>
      <c r="BU32" s="66"/>
      <c r="BV32" s="66"/>
      <c r="BW32" s="66"/>
      <c r="BX32" s="66"/>
      <c r="BY32" s="66"/>
      <c r="BZ32" s="66"/>
      <c r="CA32" s="66"/>
      <c r="CB32" s="66"/>
      <c r="CC32" s="66"/>
      <c r="CD32" s="66"/>
      <c r="CE32" s="66"/>
      <c r="CF32" s="66"/>
      <c r="CG32" s="66"/>
      <c r="CH32" s="66"/>
      <c r="CI32" s="66"/>
      <c r="CJ32" s="66"/>
      <c r="CK32" s="66"/>
      <c r="CL32" s="66"/>
      <c r="CM32" s="66"/>
      <c r="CN32" s="66"/>
      <c r="CO32" s="66"/>
      <c r="CP32" s="66"/>
      <c r="CQ32" s="66"/>
      <c r="CR32" s="66"/>
      <c r="CS32" s="66"/>
      <c r="CT32" s="66"/>
      <c r="CU32" s="66"/>
      <c r="CV32" s="66"/>
      <c r="CW32" s="66"/>
      <c r="CX32" s="66"/>
      <c r="CY32" s="66"/>
      <c r="CZ32" s="66"/>
      <c r="DA32" s="66"/>
      <c r="DB32" s="66"/>
      <c r="DC32" s="66"/>
      <c r="DD32" s="66"/>
      <c r="DE32" s="66"/>
      <c r="DF32" s="66"/>
      <c r="DG32" s="66"/>
      <c r="DH32" s="66"/>
      <c r="DI32" s="66"/>
      <c r="DJ32" s="66"/>
      <c r="DK32" s="66"/>
      <c r="DL32" s="66"/>
      <c r="DM32" s="66"/>
      <c r="DN32" s="66"/>
      <c r="DO32" s="66"/>
      <c r="DP32" s="66"/>
      <c r="DQ32" s="66"/>
      <c r="DR32" s="66">
        <v>21</v>
      </c>
      <c r="DS32" s="66"/>
      <c r="DT32" s="66"/>
      <c r="DU32" s="66"/>
      <c r="DV32" s="66"/>
      <c r="DW32" s="66"/>
      <c r="DX32" s="66"/>
      <c r="DY32" s="66"/>
      <c r="DZ32" s="66"/>
      <c r="EA32" s="66"/>
      <c r="EB32" s="66"/>
      <c r="EC32" s="66"/>
      <c r="ED32" s="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46"/>
      <c r="EZ32" s="16"/>
      <c r="FA32" s="46"/>
      <c r="FB32" s="46"/>
    </row>
    <row r="33" spans="2:158" s="26" customFormat="1">
      <c r="B33" s="3" t="s">
        <v>804</v>
      </c>
      <c r="C33" s="23"/>
      <c r="D33" s="23"/>
      <c r="E33" s="23"/>
      <c r="F33" s="23"/>
      <c r="G33" s="23"/>
      <c r="H33" s="23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93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  <c r="BO33" s="66"/>
      <c r="BP33" s="66"/>
      <c r="BQ33" s="66"/>
      <c r="BR33" s="66"/>
      <c r="BS33" s="66"/>
      <c r="BT33" s="66"/>
      <c r="BU33" s="66"/>
      <c r="BV33" s="66"/>
      <c r="BW33" s="66"/>
      <c r="BX33" s="66"/>
      <c r="BY33" s="66"/>
      <c r="BZ33" s="66"/>
      <c r="CA33" s="66"/>
      <c r="CB33" s="66"/>
      <c r="CC33" s="66"/>
      <c r="CD33" s="66"/>
      <c r="CE33" s="66"/>
      <c r="CF33" s="66"/>
      <c r="CG33" s="66"/>
      <c r="CH33" s="66"/>
      <c r="CI33" s="66"/>
      <c r="CJ33" s="66"/>
      <c r="CK33" s="66"/>
      <c r="CL33" s="66"/>
      <c r="CM33" s="66"/>
      <c r="CN33" s="66"/>
      <c r="CO33" s="66"/>
      <c r="CP33" s="66"/>
      <c r="CQ33" s="66"/>
      <c r="CR33" s="66"/>
      <c r="CS33" s="66"/>
      <c r="CT33" s="66"/>
      <c r="CU33" s="66"/>
      <c r="CV33" s="66"/>
      <c r="CW33" s="66"/>
      <c r="CX33" s="66"/>
      <c r="CY33" s="66"/>
      <c r="CZ33" s="66"/>
      <c r="DA33" s="66"/>
      <c r="DB33" s="66"/>
      <c r="DC33" s="66"/>
      <c r="DD33" s="66"/>
      <c r="DE33" s="66"/>
      <c r="DF33" s="66"/>
      <c r="DG33" s="66"/>
      <c r="DH33" s="66"/>
      <c r="DI33" s="66"/>
      <c r="DJ33" s="66"/>
      <c r="DK33" s="66"/>
      <c r="DL33" s="66"/>
      <c r="DM33" s="66"/>
      <c r="DN33" s="66"/>
      <c r="DO33" s="66"/>
      <c r="DP33" s="66"/>
      <c r="DQ33" s="66"/>
      <c r="DR33" s="66">
        <v>16</v>
      </c>
      <c r="DS33" s="66"/>
      <c r="DT33" s="66"/>
      <c r="DU33" s="66"/>
      <c r="DV33" s="66"/>
      <c r="DW33" s="66"/>
      <c r="DX33" s="66"/>
      <c r="DY33" s="66"/>
      <c r="DZ33" s="66"/>
      <c r="EA33" s="66"/>
      <c r="EB33" s="66"/>
      <c r="EC33" s="66"/>
      <c r="ED33" s="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46"/>
      <c r="EZ33" s="16"/>
      <c r="FA33" s="46"/>
      <c r="FB33" s="46"/>
    </row>
    <row r="34" spans="2:158" s="26" customFormat="1">
      <c r="B34" s="3" t="s">
        <v>805</v>
      </c>
      <c r="C34" s="23"/>
      <c r="D34" s="23"/>
      <c r="E34" s="23"/>
      <c r="F34" s="23"/>
      <c r="G34" s="23"/>
      <c r="H34" s="23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93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  <c r="BO34" s="66"/>
      <c r="BP34" s="66"/>
      <c r="BQ34" s="66"/>
      <c r="BR34" s="66"/>
      <c r="BS34" s="66"/>
      <c r="BT34" s="66"/>
      <c r="BU34" s="66"/>
      <c r="BV34" s="66"/>
      <c r="BW34" s="66"/>
      <c r="BX34" s="66"/>
      <c r="BY34" s="66"/>
      <c r="BZ34" s="66"/>
      <c r="CA34" s="66"/>
      <c r="CB34" s="66"/>
      <c r="CC34" s="66"/>
      <c r="CD34" s="66"/>
      <c r="CE34" s="66"/>
      <c r="CF34" s="66"/>
      <c r="CG34" s="66"/>
      <c r="CH34" s="66"/>
      <c r="CI34" s="66"/>
      <c r="CJ34" s="66"/>
      <c r="CK34" s="66"/>
      <c r="CL34" s="66"/>
      <c r="CM34" s="66"/>
      <c r="CN34" s="66"/>
      <c r="CO34" s="66"/>
      <c r="CP34" s="66"/>
      <c r="CQ34" s="66"/>
      <c r="CR34" s="66"/>
      <c r="CS34" s="66"/>
      <c r="CT34" s="66"/>
      <c r="CU34" s="66"/>
      <c r="CV34" s="66"/>
      <c r="CW34" s="66"/>
      <c r="CX34" s="66"/>
      <c r="CY34" s="66"/>
      <c r="CZ34" s="66"/>
      <c r="DA34" s="66"/>
      <c r="DB34" s="66"/>
      <c r="DC34" s="66"/>
      <c r="DD34" s="66"/>
      <c r="DE34" s="66"/>
      <c r="DF34" s="66"/>
      <c r="DG34" s="66"/>
      <c r="DH34" s="66"/>
      <c r="DI34" s="66"/>
      <c r="DJ34" s="66"/>
      <c r="DK34" s="66"/>
      <c r="DL34" s="66"/>
      <c r="DM34" s="66"/>
      <c r="DN34" s="66"/>
      <c r="DO34" s="66"/>
      <c r="DP34" s="66"/>
      <c r="DQ34" s="66"/>
      <c r="DR34" s="66">
        <v>12</v>
      </c>
      <c r="DS34" s="66"/>
      <c r="DT34" s="66"/>
      <c r="DU34" s="66"/>
      <c r="DV34" s="66"/>
      <c r="DW34" s="66"/>
      <c r="DX34" s="66"/>
      <c r="DY34" s="66"/>
      <c r="DZ34" s="66"/>
      <c r="EA34" s="66"/>
      <c r="EB34" s="66"/>
      <c r="EC34" s="66"/>
      <c r="ED34" s="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46"/>
      <c r="EZ34" s="16"/>
      <c r="FA34" s="46"/>
      <c r="FB34" s="46"/>
    </row>
    <row r="35" spans="2:158" s="26" customFormat="1">
      <c r="B35" s="3" t="s">
        <v>806</v>
      </c>
      <c r="C35" s="23"/>
      <c r="D35" s="23"/>
      <c r="E35" s="23"/>
      <c r="F35" s="23"/>
      <c r="G35" s="23"/>
      <c r="H35" s="23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93"/>
      <c r="AX35" s="66"/>
      <c r="AY35" s="66"/>
      <c r="AZ35" s="66"/>
      <c r="BA35" s="66"/>
      <c r="BB35" s="66"/>
      <c r="BC35" s="66"/>
      <c r="BD35" s="66"/>
      <c r="BE35" s="66"/>
      <c r="BF35" s="66"/>
      <c r="BG35" s="66"/>
      <c r="BH35" s="66"/>
      <c r="BI35" s="66"/>
      <c r="BJ35" s="66"/>
      <c r="BK35" s="66"/>
      <c r="BL35" s="66"/>
      <c r="BM35" s="66"/>
      <c r="BN35" s="66"/>
      <c r="BO35" s="66"/>
      <c r="BP35" s="66"/>
      <c r="BQ35" s="66"/>
      <c r="BR35" s="66"/>
      <c r="BS35" s="66"/>
      <c r="BT35" s="66"/>
      <c r="BU35" s="66"/>
      <c r="BV35" s="66"/>
      <c r="BW35" s="66"/>
      <c r="BX35" s="66"/>
      <c r="BY35" s="66"/>
      <c r="BZ35" s="66"/>
      <c r="CA35" s="66"/>
      <c r="CB35" s="66"/>
      <c r="CC35" s="66"/>
      <c r="CD35" s="66"/>
      <c r="CE35" s="66"/>
      <c r="CF35" s="66"/>
      <c r="CG35" s="66"/>
      <c r="CH35" s="66"/>
      <c r="CI35" s="66"/>
      <c r="CJ35" s="66"/>
      <c r="CK35" s="66"/>
      <c r="CL35" s="66"/>
      <c r="CM35" s="66"/>
      <c r="CN35" s="66"/>
      <c r="CO35" s="66"/>
      <c r="CP35" s="66"/>
      <c r="CQ35" s="66"/>
      <c r="CR35" s="66"/>
      <c r="CS35" s="66"/>
      <c r="CT35" s="66"/>
      <c r="CU35" s="66"/>
      <c r="CV35" s="66"/>
      <c r="CW35" s="66"/>
      <c r="CX35" s="66"/>
      <c r="CY35" s="66"/>
      <c r="CZ35" s="66"/>
      <c r="DA35" s="66"/>
      <c r="DB35" s="66"/>
      <c r="DC35" s="66"/>
      <c r="DD35" s="66"/>
      <c r="DE35" s="66"/>
      <c r="DF35" s="66"/>
      <c r="DG35" s="66"/>
      <c r="DH35" s="66"/>
      <c r="DI35" s="66"/>
      <c r="DJ35" s="66"/>
      <c r="DK35" s="66"/>
      <c r="DL35" s="66"/>
      <c r="DM35" s="66"/>
      <c r="DN35" s="66"/>
      <c r="DO35" s="66"/>
      <c r="DP35" s="66"/>
      <c r="DQ35" s="66"/>
      <c r="DR35" s="66">
        <v>5</v>
      </c>
      <c r="DS35" s="66"/>
      <c r="DT35" s="66"/>
      <c r="DU35" s="66"/>
      <c r="DV35" s="66"/>
      <c r="DW35" s="66"/>
      <c r="DX35" s="66"/>
      <c r="DY35" s="66"/>
      <c r="DZ35" s="66"/>
      <c r="EA35" s="66"/>
      <c r="EB35" s="66"/>
      <c r="EC35" s="66"/>
      <c r="ED35" s="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46"/>
      <c r="EZ35" s="16"/>
      <c r="FA35" s="46"/>
      <c r="FB35" s="46"/>
    </row>
    <row r="36" spans="2:158" s="26" customFormat="1">
      <c r="B36" s="3" t="s">
        <v>807</v>
      </c>
      <c r="C36" s="23"/>
      <c r="D36" s="23"/>
      <c r="E36" s="23"/>
      <c r="F36" s="23"/>
      <c r="G36" s="23"/>
      <c r="H36" s="23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93"/>
      <c r="AX36" s="66"/>
      <c r="AY36" s="66"/>
      <c r="AZ36" s="66"/>
      <c r="BA36" s="66"/>
      <c r="BB36" s="66"/>
      <c r="BC36" s="66"/>
      <c r="BD36" s="66"/>
      <c r="BE36" s="66"/>
      <c r="BF36" s="66"/>
      <c r="BG36" s="66"/>
      <c r="BH36" s="66"/>
      <c r="BI36" s="66"/>
      <c r="BJ36" s="66"/>
      <c r="BK36" s="66"/>
      <c r="BL36" s="66"/>
      <c r="BM36" s="66"/>
      <c r="BN36" s="66"/>
      <c r="BO36" s="66"/>
      <c r="BP36" s="66"/>
      <c r="BQ36" s="66"/>
      <c r="BR36" s="66"/>
      <c r="BS36" s="66"/>
      <c r="BT36" s="66"/>
      <c r="BU36" s="66"/>
      <c r="BV36" s="66"/>
      <c r="BW36" s="66"/>
      <c r="BX36" s="66"/>
      <c r="BY36" s="66"/>
      <c r="BZ36" s="66"/>
      <c r="CA36" s="66"/>
      <c r="CB36" s="66"/>
      <c r="CC36" s="66"/>
      <c r="CD36" s="66"/>
      <c r="CE36" s="66"/>
      <c r="CF36" s="66"/>
      <c r="CG36" s="66"/>
      <c r="CH36" s="66"/>
      <c r="CI36" s="66"/>
      <c r="CJ36" s="66"/>
      <c r="CK36" s="66"/>
      <c r="CL36" s="66"/>
      <c r="CM36" s="66"/>
      <c r="CN36" s="66"/>
      <c r="CO36" s="66"/>
      <c r="CP36" s="66"/>
      <c r="CQ36" s="66"/>
      <c r="CR36" s="66"/>
      <c r="CS36" s="66"/>
      <c r="CT36" s="66"/>
      <c r="CU36" s="66"/>
      <c r="CV36" s="66"/>
      <c r="CW36" s="66"/>
      <c r="CX36" s="66"/>
      <c r="CY36" s="66"/>
      <c r="CZ36" s="66"/>
      <c r="DA36" s="66"/>
      <c r="DB36" s="66"/>
      <c r="DC36" s="66"/>
      <c r="DD36" s="66"/>
      <c r="DE36" s="66"/>
      <c r="DF36" s="66"/>
      <c r="DG36" s="66"/>
      <c r="DH36" s="66"/>
      <c r="DI36" s="66"/>
      <c r="DJ36" s="66"/>
      <c r="DK36" s="66"/>
      <c r="DL36" s="66"/>
      <c r="DM36" s="66"/>
      <c r="DN36" s="66"/>
      <c r="DO36" s="66"/>
      <c r="DP36" s="66"/>
      <c r="DQ36" s="66"/>
      <c r="DR36" s="66">
        <v>2</v>
      </c>
      <c r="DS36" s="66"/>
      <c r="DT36" s="66"/>
      <c r="DU36" s="66"/>
      <c r="DV36" s="66"/>
      <c r="DW36" s="66"/>
      <c r="DX36" s="66"/>
      <c r="DY36" s="66"/>
      <c r="DZ36" s="66"/>
      <c r="EA36" s="66"/>
      <c r="EB36" s="66"/>
      <c r="EC36" s="66"/>
      <c r="ED36" s="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46"/>
      <c r="EZ36" s="16"/>
      <c r="FA36" s="46"/>
      <c r="FB36" s="46"/>
    </row>
    <row r="37" spans="2:158" s="26" customFormat="1">
      <c r="B37" s="3" t="s">
        <v>808</v>
      </c>
      <c r="C37" s="23"/>
      <c r="D37" s="23"/>
      <c r="E37" s="23"/>
      <c r="F37" s="23"/>
      <c r="G37" s="23"/>
      <c r="H37" s="23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93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  <c r="BL37" s="66"/>
      <c r="BM37" s="66"/>
      <c r="BN37" s="66"/>
      <c r="BO37" s="66"/>
      <c r="BP37" s="66"/>
      <c r="BQ37" s="66"/>
      <c r="BR37" s="66"/>
      <c r="BS37" s="66"/>
      <c r="BT37" s="66"/>
      <c r="BU37" s="66"/>
      <c r="BV37" s="66"/>
      <c r="BW37" s="66"/>
      <c r="BX37" s="66"/>
      <c r="BY37" s="66"/>
      <c r="BZ37" s="66"/>
      <c r="CA37" s="66"/>
      <c r="CB37" s="66"/>
      <c r="CC37" s="66"/>
      <c r="CD37" s="66"/>
      <c r="CE37" s="66"/>
      <c r="CF37" s="66"/>
      <c r="CG37" s="66"/>
      <c r="CH37" s="66"/>
      <c r="CI37" s="66"/>
      <c r="CJ37" s="66"/>
      <c r="CK37" s="66"/>
      <c r="CL37" s="66"/>
      <c r="CM37" s="66"/>
      <c r="CN37" s="66"/>
      <c r="CO37" s="66"/>
      <c r="CP37" s="66"/>
      <c r="CQ37" s="66"/>
      <c r="CR37" s="66"/>
      <c r="CS37" s="66"/>
      <c r="CT37" s="66"/>
      <c r="CU37" s="66"/>
      <c r="CV37" s="66"/>
      <c r="CW37" s="66"/>
      <c r="CX37" s="66"/>
      <c r="CY37" s="66"/>
      <c r="CZ37" s="66"/>
      <c r="DA37" s="66"/>
      <c r="DB37" s="66"/>
      <c r="DC37" s="66"/>
      <c r="DD37" s="66"/>
      <c r="DE37" s="66"/>
      <c r="DF37" s="66"/>
      <c r="DG37" s="66"/>
      <c r="DH37" s="66"/>
      <c r="DI37" s="66"/>
      <c r="DJ37" s="66"/>
      <c r="DK37" s="66"/>
      <c r="DL37" s="66"/>
      <c r="DM37" s="66"/>
      <c r="DN37" s="66"/>
      <c r="DO37" s="66"/>
      <c r="DP37" s="66"/>
      <c r="DQ37" s="66"/>
      <c r="DR37" s="66">
        <v>1</v>
      </c>
      <c r="DS37" s="66"/>
      <c r="DT37" s="66"/>
      <c r="DU37" s="66"/>
      <c r="DV37" s="66"/>
      <c r="DW37" s="66"/>
      <c r="DX37" s="66"/>
      <c r="DY37" s="66"/>
      <c r="DZ37" s="66"/>
      <c r="EA37" s="66"/>
      <c r="EB37" s="66"/>
      <c r="EC37" s="66"/>
      <c r="ED37" s="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46"/>
      <c r="EZ37" s="16"/>
      <c r="FA37" s="46"/>
      <c r="FB37" s="46"/>
    </row>
    <row r="38" spans="2:158" s="26" customFormat="1">
      <c r="B38" s="3" t="s">
        <v>139</v>
      </c>
      <c r="C38" s="23"/>
      <c r="D38" s="23"/>
      <c r="E38" s="23"/>
      <c r="F38" s="23"/>
      <c r="G38" s="23"/>
      <c r="H38" s="23"/>
      <c r="I38" s="25">
        <v>1086</v>
      </c>
      <c r="J38" s="25">
        <f>2252-I38</f>
        <v>1166</v>
      </c>
      <c r="K38" s="25">
        <v>1100</v>
      </c>
      <c r="L38" s="25">
        <f>2227-K38</f>
        <v>1127</v>
      </c>
      <c r="M38" s="25">
        <v>1066</v>
      </c>
      <c r="N38" s="25">
        <f>2094-M38</f>
        <v>1028</v>
      </c>
      <c r="O38" s="25">
        <v>892</v>
      </c>
      <c r="P38" s="25">
        <f t="shared" si="33"/>
        <v>882</v>
      </c>
      <c r="Q38" s="25">
        <f t="shared" si="34"/>
        <v>789</v>
      </c>
      <c r="R38" s="25">
        <f t="shared" si="35"/>
        <v>771</v>
      </c>
      <c r="S38" s="25">
        <v>677</v>
      </c>
      <c r="T38" s="25">
        <f t="shared" si="36"/>
        <v>608</v>
      </c>
      <c r="U38" s="25">
        <f t="shared" si="37"/>
        <v>493</v>
      </c>
      <c r="V38" s="25">
        <f t="shared" si="38"/>
        <v>403</v>
      </c>
      <c r="W38" s="25"/>
      <c r="X38" s="25"/>
      <c r="Y38" s="25"/>
      <c r="Z38" s="25"/>
      <c r="AA38" s="25">
        <v>231</v>
      </c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93"/>
      <c r="AX38" s="66">
        <v>489</v>
      </c>
      <c r="AY38" s="66">
        <v>531</v>
      </c>
      <c r="AZ38" s="66">
        <v>528</v>
      </c>
      <c r="BA38" s="66">
        <v>534</v>
      </c>
      <c r="BB38" s="66">
        <v>516</v>
      </c>
      <c r="BC38" s="66">
        <v>570</v>
      </c>
      <c r="BD38" s="66">
        <v>564</v>
      </c>
      <c r="BE38" s="66">
        <v>602</v>
      </c>
      <c r="BF38" s="66">
        <v>535</v>
      </c>
      <c r="BG38" s="66">
        <v>565</v>
      </c>
      <c r="BH38" s="66">
        <v>535</v>
      </c>
      <c r="BI38" s="66">
        <v>592</v>
      </c>
      <c r="BJ38" s="66">
        <v>522</v>
      </c>
      <c r="BK38" s="66">
        <v>544</v>
      </c>
      <c r="BL38" s="66">
        <v>518</v>
      </c>
      <c r="BM38" s="66">
        <v>510</v>
      </c>
      <c r="BN38" s="66">
        <v>442</v>
      </c>
      <c r="BO38" s="66">
        <v>450</v>
      </c>
      <c r="BP38" s="66">
        <v>427</v>
      </c>
      <c r="BQ38" s="66">
        <v>455</v>
      </c>
      <c r="BR38" s="66">
        <v>378</v>
      </c>
      <c r="BS38" s="66">
        <v>411</v>
      </c>
      <c r="BT38" s="66">
        <f>1180-BS38-BR38</f>
        <v>391</v>
      </c>
      <c r="BU38" s="66">
        <v>380</v>
      </c>
      <c r="BV38" s="66">
        <v>339</v>
      </c>
      <c r="BW38" s="66">
        <f t="shared" si="39"/>
        <v>338</v>
      </c>
      <c r="BX38" s="66">
        <f>989-BW38-BV38</f>
        <v>312</v>
      </c>
      <c r="BY38" s="66">
        <v>296</v>
      </c>
      <c r="BZ38" s="66">
        <v>246</v>
      </c>
      <c r="CA38" s="66">
        <f>493-BZ38</f>
        <v>247</v>
      </c>
      <c r="CB38" s="66">
        <v>197</v>
      </c>
      <c r="CC38" s="66">
        <v>206</v>
      </c>
      <c r="CD38" s="66">
        <v>171</v>
      </c>
      <c r="CE38" s="66">
        <v>180</v>
      </c>
      <c r="CF38" s="66">
        <v>170</v>
      </c>
      <c r="CG38" s="66">
        <v>153</v>
      </c>
      <c r="CH38" s="66">
        <v>131</v>
      </c>
      <c r="CI38" s="66">
        <v>138</v>
      </c>
      <c r="CJ38" s="66">
        <v>131</v>
      </c>
      <c r="CK38" s="66">
        <v>120</v>
      </c>
      <c r="CL38" s="66">
        <v>112</v>
      </c>
      <c r="CM38" s="66">
        <v>119</v>
      </c>
      <c r="CN38" s="66"/>
      <c r="CO38" s="66"/>
      <c r="CP38" s="66"/>
      <c r="CQ38" s="66"/>
      <c r="CR38" s="66"/>
      <c r="CS38" s="66"/>
      <c r="CT38" s="66"/>
      <c r="CU38" s="66"/>
      <c r="CV38" s="66"/>
      <c r="CW38" s="66"/>
      <c r="CX38" s="66"/>
      <c r="CY38" s="66"/>
      <c r="CZ38" s="66"/>
      <c r="DA38" s="66"/>
      <c r="DB38" s="66"/>
      <c r="DC38" s="66"/>
      <c r="DD38" s="66"/>
      <c r="DE38" s="66"/>
      <c r="DF38" s="66"/>
      <c r="DG38" s="66"/>
      <c r="DH38" s="66"/>
      <c r="DI38" s="66"/>
      <c r="DJ38" s="66"/>
      <c r="DK38" s="66"/>
      <c r="DL38" s="66"/>
      <c r="DM38" s="66"/>
      <c r="DN38" s="66"/>
      <c r="DO38" s="66"/>
      <c r="DP38" s="66"/>
      <c r="DQ38" s="66"/>
      <c r="DR38" s="66"/>
      <c r="DS38" s="66"/>
      <c r="DT38" s="66"/>
      <c r="DU38" s="66"/>
      <c r="DV38" s="66"/>
      <c r="DW38" s="66"/>
      <c r="DX38" s="66"/>
      <c r="DY38" s="66"/>
      <c r="DZ38" s="66"/>
      <c r="EA38" s="66"/>
      <c r="EB38" s="66"/>
      <c r="EC38" s="66"/>
      <c r="ED38" s="5"/>
      <c r="EE38" s="25">
        <v>746</v>
      </c>
      <c r="EF38" s="25">
        <v>1192</v>
      </c>
      <c r="EG38" s="25">
        <v>2051</v>
      </c>
      <c r="EH38" s="25">
        <f t="shared" si="41"/>
        <v>2082</v>
      </c>
      <c r="EI38" s="25">
        <f t="shared" si="42"/>
        <v>2252</v>
      </c>
      <c r="EJ38" s="25">
        <f t="shared" si="24"/>
        <v>2227</v>
      </c>
      <c r="EK38" s="25">
        <f t="shared" si="23"/>
        <v>2094</v>
      </c>
      <c r="EL38" s="25">
        <f t="shared" si="31"/>
        <v>1774</v>
      </c>
      <c r="EM38" s="25">
        <f t="shared" si="43"/>
        <v>1560</v>
      </c>
      <c r="EN38" s="25">
        <f t="shared" si="21"/>
        <v>1285</v>
      </c>
      <c r="EO38" s="25">
        <f t="shared" si="44"/>
        <v>896</v>
      </c>
      <c r="EP38" s="25">
        <f t="shared" si="45"/>
        <v>674</v>
      </c>
      <c r="EQ38" s="25">
        <f t="shared" si="46"/>
        <v>520</v>
      </c>
      <c r="ER38" s="25">
        <f t="shared" ref="ER38:EW38" si="57">EQ38*0.99</f>
        <v>514.79999999999995</v>
      </c>
      <c r="ES38" s="25">
        <f t="shared" si="57"/>
        <v>509.65199999999993</v>
      </c>
      <c r="ET38" s="25">
        <f t="shared" si="57"/>
        <v>504.55547999999993</v>
      </c>
      <c r="EU38" s="25">
        <f t="shared" si="57"/>
        <v>499.50992519999994</v>
      </c>
      <c r="EV38" s="25">
        <f t="shared" si="57"/>
        <v>494.51482594799995</v>
      </c>
      <c r="EW38" s="25">
        <f t="shared" si="57"/>
        <v>489.56967768851996</v>
      </c>
      <c r="EX38" s="25"/>
      <c r="EY38" s="46"/>
      <c r="EZ38" s="16"/>
      <c r="FA38" s="46"/>
      <c r="FB38" s="46"/>
    </row>
    <row r="39" spans="2:158" s="26" customFormat="1">
      <c r="B39" s="15" t="s">
        <v>34</v>
      </c>
      <c r="C39" s="23"/>
      <c r="D39" s="23"/>
      <c r="E39" s="23"/>
      <c r="F39" s="23"/>
      <c r="G39" s="23"/>
      <c r="H39" s="23"/>
      <c r="I39" s="25">
        <v>680</v>
      </c>
      <c r="J39" s="25">
        <f>1403-I39</f>
        <v>723</v>
      </c>
      <c r="K39" s="25">
        <v>724</v>
      </c>
      <c r="L39" s="25">
        <f>1467-K39</f>
        <v>743</v>
      </c>
      <c r="M39" s="25">
        <v>807</v>
      </c>
      <c r="N39" s="25">
        <f>1637-M39</f>
        <v>830</v>
      </c>
      <c r="O39" s="25">
        <v>785</v>
      </c>
      <c r="P39" s="25">
        <f>SUM(BP39:BQ39)</f>
        <v>850</v>
      </c>
      <c r="Q39" s="25">
        <f t="shared" si="34"/>
        <v>842</v>
      </c>
      <c r="R39" s="25">
        <f t="shared" si="35"/>
        <v>813</v>
      </c>
      <c r="S39" s="25">
        <v>869</v>
      </c>
      <c r="T39" s="25">
        <f t="shared" si="36"/>
        <v>776</v>
      </c>
      <c r="U39" s="25">
        <f t="shared" si="37"/>
        <v>695</v>
      </c>
      <c r="V39" s="25">
        <f t="shared" si="38"/>
        <v>743</v>
      </c>
      <c r="W39" s="25"/>
      <c r="X39" s="25"/>
      <c r="Y39" s="25"/>
      <c r="Z39" s="25"/>
      <c r="AA39" s="25">
        <v>582</v>
      </c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93"/>
      <c r="AX39" s="66">
        <v>289</v>
      </c>
      <c r="AY39" s="66">
        <v>295</v>
      </c>
      <c r="AZ39" s="66">
        <v>296</v>
      </c>
      <c r="BA39" s="66">
        <v>299</v>
      </c>
      <c r="BB39" s="66">
        <v>325</v>
      </c>
      <c r="BC39" s="66">
        <v>355</v>
      </c>
      <c r="BD39" s="66">
        <v>350</v>
      </c>
      <c r="BE39" s="66">
        <v>373</v>
      </c>
      <c r="BF39" s="66">
        <v>350</v>
      </c>
      <c r="BG39" s="66">
        <v>374</v>
      </c>
      <c r="BH39" s="66">
        <v>350</v>
      </c>
      <c r="BI39" s="66">
        <v>393</v>
      </c>
      <c r="BJ39" s="66">
        <v>400</v>
      </c>
      <c r="BK39" s="66">
        <v>407</v>
      </c>
      <c r="BL39" s="66">
        <v>383</v>
      </c>
      <c r="BM39" s="66">
        <v>447</v>
      </c>
      <c r="BN39" s="66">
        <v>369</v>
      </c>
      <c r="BO39" s="66">
        <v>416</v>
      </c>
      <c r="BP39" s="66">
        <v>405</v>
      </c>
      <c r="BQ39" s="66">
        <v>445</v>
      </c>
      <c r="BR39" s="66">
        <v>393</v>
      </c>
      <c r="BS39" s="66">
        <v>449</v>
      </c>
      <c r="BT39" s="66">
        <f>1280-BS39-BR39</f>
        <v>438</v>
      </c>
      <c r="BU39" s="66">
        <v>375</v>
      </c>
      <c r="BV39" s="66">
        <v>441</v>
      </c>
      <c r="BW39" s="66">
        <f t="shared" si="39"/>
        <v>428</v>
      </c>
      <c r="BX39" s="66">
        <f>1253-BW39-BV39</f>
        <v>384</v>
      </c>
      <c r="BY39" s="66">
        <v>392</v>
      </c>
      <c r="BZ39" s="66">
        <v>346</v>
      </c>
      <c r="CA39" s="66">
        <f>695-BZ39</f>
        <v>349</v>
      </c>
      <c r="CB39" s="66">
        <v>356</v>
      </c>
      <c r="CC39" s="66">
        <v>387</v>
      </c>
      <c r="CD39" s="66">
        <v>444</v>
      </c>
      <c r="CE39" s="66">
        <v>459</v>
      </c>
      <c r="CF39" s="66">
        <v>374</v>
      </c>
      <c r="CG39" s="66">
        <v>372</v>
      </c>
      <c r="CH39" s="66">
        <v>375</v>
      </c>
      <c r="CI39" s="66">
        <v>349</v>
      </c>
      <c r="CJ39" s="66">
        <v>303</v>
      </c>
      <c r="CK39" s="66">
        <v>285</v>
      </c>
      <c r="CL39" s="66">
        <v>287</v>
      </c>
      <c r="CM39" s="66">
        <v>295</v>
      </c>
      <c r="CN39" s="66"/>
      <c r="CO39" s="66"/>
      <c r="CP39" s="66"/>
      <c r="CQ39" s="66"/>
      <c r="CR39" s="66"/>
      <c r="CS39" s="66"/>
      <c r="CT39" s="66"/>
      <c r="CU39" s="66"/>
      <c r="CV39" s="66"/>
      <c r="CW39" s="66"/>
      <c r="CX39" s="66"/>
      <c r="CY39" s="66"/>
      <c r="CZ39" s="66"/>
      <c r="DA39" s="66"/>
      <c r="DB39" s="66"/>
      <c r="DC39" s="66"/>
      <c r="DD39" s="66"/>
      <c r="DE39" s="66"/>
      <c r="DF39" s="66"/>
      <c r="DG39" s="66"/>
      <c r="DH39" s="66"/>
      <c r="DI39" s="66"/>
      <c r="DJ39" s="66"/>
      <c r="DK39" s="66"/>
      <c r="DL39" s="66"/>
      <c r="DM39" s="66"/>
      <c r="DN39" s="66"/>
      <c r="DO39" s="66"/>
      <c r="DP39" s="66"/>
      <c r="DQ39" s="66"/>
      <c r="DR39" s="66"/>
      <c r="DS39" s="66"/>
      <c r="DT39" s="66"/>
      <c r="DU39" s="66"/>
      <c r="DV39" s="66"/>
      <c r="DW39" s="66"/>
      <c r="DX39" s="66"/>
      <c r="DY39" s="66"/>
      <c r="DZ39" s="66"/>
      <c r="EA39" s="66"/>
      <c r="EB39" s="66"/>
      <c r="EC39" s="66"/>
      <c r="ED39" s="5"/>
      <c r="EE39" s="25">
        <v>0</v>
      </c>
      <c r="EF39" s="25">
        <v>94</v>
      </c>
      <c r="EG39" s="25">
        <v>719</v>
      </c>
      <c r="EH39" s="25">
        <f t="shared" si="41"/>
        <v>1179</v>
      </c>
      <c r="EI39" s="25">
        <f t="shared" si="42"/>
        <v>1403</v>
      </c>
      <c r="EJ39" s="25">
        <f t="shared" si="24"/>
        <v>1467</v>
      </c>
      <c r="EK39" s="25">
        <f>SUM(M39:N39)</f>
        <v>1637</v>
      </c>
      <c r="EL39" s="25">
        <f t="shared" si="31"/>
        <v>1635</v>
      </c>
      <c r="EM39" s="25">
        <f t="shared" si="43"/>
        <v>1655</v>
      </c>
      <c r="EN39" s="25">
        <f t="shared" si="21"/>
        <v>1645</v>
      </c>
      <c r="EO39" s="25">
        <f t="shared" si="44"/>
        <v>1438</v>
      </c>
      <c r="EP39" s="25">
        <f t="shared" si="45"/>
        <v>1649</v>
      </c>
      <c r="EQ39" s="25">
        <f t="shared" si="46"/>
        <v>1312</v>
      </c>
      <c r="ER39" s="25">
        <f>EQ39*0.8</f>
        <v>1049.6000000000001</v>
      </c>
      <c r="ES39" s="25">
        <f>ER39*0.8</f>
        <v>839.68000000000018</v>
      </c>
      <c r="ET39" s="25">
        <f t="shared" ref="ET39:EW39" si="58">ES39*0.8</f>
        <v>671.74400000000014</v>
      </c>
      <c r="EU39" s="25">
        <f t="shared" si="58"/>
        <v>537.39520000000016</v>
      </c>
      <c r="EV39" s="25">
        <f t="shared" si="58"/>
        <v>429.91616000000016</v>
      </c>
      <c r="EW39" s="25">
        <f t="shared" si="58"/>
        <v>343.93292800000017</v>
      </c>
      <c r="EX39" s="25"/>
      <c r="EY39" s="46"/>
      <c r="EZ39" s="16"/>
      <c r="FA39" s="46"/>
      <c r="FB39" s="46"/>
    </row>
    <row r="40" spans="2:158" s="26" customFormat="1">
      <c r="B40" s="15" t="s">
        <v>31</v>
      </c>
      <c r="C40" s="23"/>
      <c r="D40" s="23"/>
      <c r="E40" s="23"/>
      <c r="F40" s="23"/>
      <c r="G40" s="23"/>
      <c r="H40" s="23"/>
      <c r="I40" s="25">
        <v>355</v>
      </c>
      <c r="J40" s="25">
        <f>796-I40</f>
        <v>441</v>
      </c>
      <c r="K40" s="25">
        <v>472</v>
      </c>
      <c r="L40" s="25">
        <f>971-K40</f>
        <v>499</v>
      </c>
      <c r="M40" s="25">
        <v>549</v>
      </c>
      <c r="N40" s="25">
        <f>1151-M40</f>
        <v>602</v>
      </c>
      <c r="O40" s="25">
        <v>573</v>
      </c>
      <c r="P40" s="25">
        <f t="shared" si="33"/>
        <v>638</v>
      </c>
      <c r="Q40" s="25">
        <f t="shared" si="34"/>
        <v>626</v>
      </c>
      <c r="R40" s="25">
        <f t="shared" si="35"/>
        <v>634</v>
      </c>
      <c r="S40" s="25">
        <v>732</v>
      </c>
      <c r="T40" s="25">
        <f t="shared" si="36"/>
        <v>694</v>
      </c>
      <c r="U40" s="25">
        <f t="shared" si="37"/>
        <v>668</v>
      </c>
      <c r="V40" s="25">
        <f t="shared" si="38"/>
        <v>686</v>
      </c>
      <c r="W40" s="25"/>
      <c r="X40" s="25"/>
      <c r="Y40" s="25"/>
      <c r="Z40" s="25"/>
      <c r="AA40" s="25">
        <v>474</v>
      </c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93"/>
      <c r="AX40" s="66">
        <v>115</v>
      </c>
      <c r="AY40" s="66">
        <v>128</v>
      </c>
      <c r="AZ40" s="66">
        <v>145</v>
      </c>
      <c r="BA40" s="66">
        <v>146</v>
      </c>
      <c r="BB40" s="66">
        <v>165</v>
      </c>
      <c r="BC40" s="66">
        <v>190</v>
      </c>
      <c r="BD40" s="66">
        <v>213</v>
      </c>
      <c r="BE40" s="66">
        <v>228</v>
      </c>
      <c r="BF40" s="66">
        <v>238</v>
      </c>
      <c r="BG40" s="66">
        <v>234</v>
      </c>
      <c r="BH40" s="66">
        <v>239</v>
      </c>
      <c r="BI40" s="66">
        <v>260</v>
      </c>
      <c r="BJ40" s="66">
        <v>267</v>
      </c>
      <c r="BK40" s="66">
        <v>282</v>
      </c>
      <c r="BL40" s="66">
        <v>290</v>
      </c>
      <c r="BM40" s="66">
        <v>312</v>
      </c>
      <c r="BN40" s="66">
        <v>281</v>
      </c>
      <c r="BO40" s="66">
        <v>292</v>
      </c>
      <c r="BP40" s="66">
        <v>307</v>
      </c>
      <c r="BQ40" s="66">
        <v>331</v>
      </c>
      <c r="BR40" s="66">
        <v>296</v>
      </c>
      <c r="BS40" s="66">
        <v>330</v>
      </c>
      <c r="BT40" s="66">
        <f>952-BS40-BR40</f>
        <v>326</v>
      </c>
      <c r="BU40" s="66">
        <v>308</v>
      </c>
      <c r="BV40" s="66">
        <v>352</v>
      </c>
      <c r="BW40" s="66">
        <f t="shared" si="39"/>
        <v>380</v>
      </c>
      <c r="BX40" s="66">
        <f>1093-BW40-BV40</f>
        <v>361</v>
      </c>
      <c r="BY40" s="66">
        <v>333</v>
      </c>
      <c r="BZ40" s="66">
        <v>342</v>
      </c>
      <c r="CA40" s="66">
        <f>668-BZ40</f>
        <v>326</v>
      </c>
      <c r="CB40" s="66">
        <v>333</v>
      </c>
      <c r="CC40" s="66">
        <v>353</v>
      </c>
      <c r="CD40" s="66">
        <v>382</v>
      </c>
      <c r="CE40" s="66">
        <v>381</v>
      </c>
      <c r="CF40" s="66">
        <v>386</v>
      </c>
      <c r="CG40" s="66">
        <v>374</v>
      </c>
      <c r="CH40" s="66">
        <v>383</v>
      </c>
      <c r="CI40" s="66">
        <v>388</v>
      </c>
      <c r="CJ40" s="66">
        <v>393</v>
      </c>
      <c r="CK40" s="66">
        <v>345</v>
      </c>
      <c r="CL40" s="66">
        <v>293</v>
      </c>
      <c r="CM40" s="66">
        <v>181</v>
      </c>
      <c r="CN40" s="66"/>
      <c r="CO40" s="66"/>
      <c r="CP40" s="66"/>
      <c r="CQ40" s="66"/>
      <c r="CR40" s="66"/>
      <c r="CS40" s="66"/>
      <c r="CT40" s="66"/>
      <c r="CU40" s="66"/>
      <c r="CV40" s="66"/>
      <c r="CW40" s="66"/>
      <c r="CX40" s="66"/>
      <c r="CY40" s="66"/>
      <c r="CZ40" s="66"/>
      <c r="DA40" s="66"/>
      <c r="DB40" s="66"/>
      <c r="DC40" s="66"/>
      <c r="DD40" s="66"/>
      <c r="DE40" s="66"/>
      <c r="DF40" s="66"/>
      <c r="DG40" s="66"/>
      <c r="DH40" s="66"/>
      <c r="DI40" s="66"/>
      <c r="DJ40" s="66"/>
      <c r="DK40" s="66"/>
      <c r="DL40" s="66"/>
      <c r="DM40" s="66"/>
      <c r="DN40" s="66"/>
      <c r="DO40" s="66"/>
      <c r="DP40" s="66"/>
      <c r="DQ40" s="66"/>
      <c r="DR40" s="66"/>
      <c r="DS40" s="66"/>
      <c r="DT40" s="66"/>
      <c r="DU40" s="66"/>
      <c r="DV40" s="66"/>
      <c r="DW40" s="66"/>
      <c r="DX40" s="66"/>
      <c r="DY40" s="66"/>
      <c r="DZ40" s="66"/>
      <c r="EA40" s="66"/>
      <c r="EB40" s="66"/>
      <c r="EC40" s="66"/>
      <c r="ED40" s="5"/>
      <c r="EE40" s="25">
        <v>260</v>
      </c>
      <c r="EF40" s="25">
        <v>444</v>
      </c>
      <c r="EG40" s="25">
        <v>515</v>
      </c>
      <c r="EH40" s="25">
        <f t="shared" si="41"/>
        <v>534</v>
      </c>
      <c r="EI40" s="25">
        <f t="shared" si="42"/>
        <v>796</v>
      </c>
      <c r="EJ40" s="25">
        <f t="shared" si="24"/>
        <v>971</v>
      </c>
      <c r="EK40" s="25">
        <f t="shared" si="23"/>
        <v>1151</v>
      </c>
      <c r="EL40" s="25">
        <f t="shared" si="31"/>
        <v>1211</v>
      </c>
      <c r="EM40" s="25">
        <f t="shared" si="43"/>
        <v>1260</v>
      </c>
      <c r="EN40" s="25">
        <f t="shared" si="21"/>
        <v>1426</v>
      </c>
      <c r="EO40" s="25">
        <f t="shared" si="44"/>
        <v>1354</v>
      </c>
      <c r="EP40" s="25">
        <f t="shared" si="45"/>
        <v>1523</v>
      </c>
      <c r="EQ40" s="25">
        <f t="shared" si="46"/>
        <v>1509</v>
      </c>
      <c r="ER40" s="25">
        <f>EQ40*0.5</f>
        <v>754.5</v>
      </c>
      <c r="ES40" s="25">
        <f t="shared" ref="ES40:EW40" si="59">ER40*0.5</f>
        <v>377.25</v>
      </c>
      <c r="ET40" s="25">
        <f t="shared" si="59"/>
        <v>188.625</v>
      </c>
      <c r="EU40" s="25">
        <f t="shared" si="59"/>
        <v>94.3125</v>
      </c>
      <c r="EV40" s="25">
        <f t="shared" si="59"/>
        <v>47.15625</v>
      </c>
      <c r="EW40" s="25">
        <f t="shared" si="59"/>
        <v>23.578125</v>
      </c>
      <c r="EX40" s="25">
        <v>301</v>
      </c>
      <c r="EY40" s="25">
        <v>194</v>
      </c>
      <c r="EZ40" s="16"/>
      <c r="FA40" s="46"/>
      <c r="FB40" s="46"/>
    </row>
    <row r="41" spans="2:158" s="26" customFormat="1">
      <c r="B41" s="15" t="s">
        <v>25</v>
      </c>
      <c r="C41" s="23"/>
      <c r="D41" s="23"/>
      <c r="E41" s="23"/>
      <c r="F41" s="23"/>
      <c r="G41" s="23"/>
      <c r="H41" s="23"/>
      <c r="I41" s="25">
        <v>145</v>
      </c>
      <c r="J41" s="25">
        <f>387-I41</f>
        <v>242</v>
      </c>
      <c r="K41" s="25">
        <v>367</v>
      </c>
      <c r="L41" s="25">
        <f>813-K41</f>
        <v>446</v>
      </c>
      <c r="M41" s="25">
        <v>503</v>
      </c>
      <c r="N41" s="25">
        <f>1062-M41</f>
        <v>559</v>
      </c>
      <c r="O41" s="25">
        <v>587</v>
      </c>
      <c r="P41" s="25">
        <f t="shared" si="33"/>
        <v>628</v>
      </c>
      <c r="Q41" s="25">
        <f t="shared" si="34"/>
        <v>643</v>
      </c>
      <c r="R41" s="25">
        <f t="shared" si="35"/>
        <v>661</v>
      </c>
      <c r="S41" s="25">
        <v>674</v>
      </c>
      <c r="T41" s="25">
        <f t="shared" si="36"/>
        <v>651</v>
      </c>
      <c r="U41" s="25">
        <f t="shared" si="37"/>
        <v>614</v>
      </c>
      <c r="V41" s="25">
        <f t="shared" si="38"/>
        <v>637</v>
      </c>
      <c r="W41" s="25"/>
      <c r="X41" s="25"/>
      <c r="Y41" s="25"/>
      <c r="Z41" s="25"/>
      <c r="AA41" s="25">
        <v>651</v>
      </c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93"/>
      <c r="AX41" s="93">
        <v>0</v>
      </c>
      <c r="AY41" s="66">
        <v>0</v>
      </c>
      <c r="AZ41" s="66">
        <v>0</v>
      </c>
      <c r="BA41" s="66">
        <v>17</v>
      </c>
      <c r="BB41" s="66">
        <v>57</v>
      </c>
      <c r="BC41" s="66">
        <v>88</v>
      </c>
      <c r="BD41" s="66">
        <v>101</v>
      </c>
      <c r="BE41" s="66">
        <v>141</v>
      </c>
      <c r="BF41" s="66">
        <v>172</v>
      </c>
      <c r="BG41" s="66">
        <v>195</v>
      </c>
      <c r="BH41" s="66">
        <v>211</v>
      </c>
      <c r="BI41" s="66">
        <v>235</v>
      </c>
      <c r="BJ41" s="66">
        <v>243</v>
      </c>
      <c r="BK41" s="66">
        <v>260</v>
      </c>
      <c r="BL41" s="66">
        <v>271</v>
      </c>
      <c r="BM41" s="66">
        <v>288</v>
      </c>
      <c r="BN41" s="66">
        <v>286</v>
      </c>
      <c r="BO41" s="66">
        <v>301</v>
      </c>
      <c r="BP41" s="66">
        <v>298</v>
      </c>
      <c r="BQ41" s="66">
        <v>330</v>
      </c>
      <c r="BR41" s="66">
        <v>320</v>
      </c>
      <c r="BS41" s="66">
        <v>323</v>
      </c>
      <c r="BT41" s="66">
        <f>962-BS41-BR41</f>
        <v>319</v>
      </c>
      <c r="BU41" s="66">
        <v>342</v>
      </c>
      <c r="BV41" s="66">
        <v>326</v>
      </c>
      <c r="BW41" s="66">
        <f t="shared" si="39"/>
        <v>348</v>
      </c>
      <c r="BX41" s="66">
        <f>1005-BW41-BV41</f>
        <v>331</v>
      </c>
      <c r="BY41" s="66">
        <v>320</v>
      </c>
      <c r="BZ41" s="66">
        <v>317</v>
      </c>
      <c r="CA41" s="66">
        <f>614-BZ41</f>
        <v>297</v>
      </c>
      <c r="CB41" s="66">
        <v>307</v>
      </c>
      <c r="CC41" s="66">
        <v>330</v>
      </c>
      <c r="CD41" s="66">
        <v>337</v>
      </c>
      <c r="CE41" s="66">
        <v>329</v>
      </c>
      <c r="CF41" s="66">
        <v>323</v>
      </c>
      <c r="CG41" s="66">
        <v>325</v>
      </c>
      <c r="CH41" s="66">
        <v>336</v>
      </c>
      <c r="CI41" s="66">
        <v>355</v>
      </c>
      <c r="CJ41" s="66">
        <v>327</v>
      </c>
      <c r="CK41" s="66">
        <v>321</v>
      </c>
      <c r="CL41" s="66">
        <v>304</v>
      </c>
      <c r="CM41" s="66">
        <v>347</v>
      </c>
      <c r="CN41" s="66"/>
      <c r="CO41" s="66"/>
      <c r="CP41" s="66"/>
      <c r="CQ41" s="66"/>
      <c r="CR41" s="66"/>
      <c r="CS41" s="66"/>
      <c r="CT41" s="66"/>
      <c r="CU41" s="66"/>
      <c r="CV41" s="66"/>
      <c r="CW41" s="66"/>
      <c r="CX41" s="66"/>
      <c r="CY41" s="66"/>
      <c r="CZ41" s="66"/>
      <c r="DA41" s="66"/>
      <c r="DB41" s="66"/>
      <c r="DC41" s="66"/>
      <c r="DD41" s="66"/>
      <c r="DE41" s="66"/>
      <c r="DF41" s="66"/>
      <c r="DG41" s="66"/>
      <c r="DH41" s="66"/>
      <c r="DI41" s="66"/>
      <c r="DJ41" s="66"/>
      <c r="DK41" s="66"/>
      <c r="DL41" s="66"/>
      <c r="DM41" s="66"/>
      <c r="DN41" s="66"/>
      <c r="DO41" s="66"/>
      <c r="DP41" s="66"/>
      <c r="DQ41" s="66"/>
      <c r="DR41" s="66"/>
      <c r="DS41" s="66"/>
      <c r="DT41" s="66"/>
      <c r="DU41" s="66"/>
      <c r="DV41" s="66"/>
      <c r="DW41" s="66"/>
      <c r="DX41" s="66"/>
      <c r="DY41" s="66"/>
      <c r="DZ41" s="66"/>
      <c r="EA41" s="66"/>
      <c r="EB41" s="66"/>
      <c r="EC41" s="66"/>
      <c r="ED41" s="5"/>
      <c r="EE41" s="25">
        <v>0</v>
      </c>
      <c r="EF41" s="25">
        <v>0</v>
      </c>
      <c r="EG41" s="25">
        <v>0</v>
      </c>
      <c r="EH41" s="25">
        <f t="shared" si="41"/>
        <v>17</v>
      </c>
      <c r="EI41" s="25">
        <f t="shared" si="42"/>
        <v>387</v>
      </c>
      <c r="EJ41" s="25">
        <f t="shared" si="24"/>
        <v>813</v>
      </c>
      <c r="EK41" s="25">
        <f t="shared" si="23"/>
        <v>1062</v>
      </c>
      <c r="EL41" s="25">
        <f t="shared" si="31"/>
        <v>1215</v>
      </c>
      <c r="EM41" s="25">
        <f t="shared" si="43"/>
        <v>1304</v>
      </c>
      <c r="EN41" s="25">
        <f t="shared" si="21"/>
        <v>1325</v>
      </c>
      <c r="EO41" s="25">
        <f t="shared" si="44"/>
        <v>1251</v>
      </c>
      <c r="EP41" s="25">
        <f t="shared" si="45"/>
        <v>1314</v>
      </c>
      <c r="EQ41" s="25">
        <f t="shared" si="46"/>
        <v>1339</v>
      </c>
      <c r="ER41" s="25">
        <f t="shared" ref="ER41:EV41" si="60">EQ41*1.01</f>
        <v>1352.39</v>
      </c>
      <c r="ES41" s="25">
        <f t="shared" si="60"/>
        <v>1365.9139</v>
      </c>
      <c r="ET41" s="25">
        <f t="shared" si="60"/>
        <v>1379.5730390000001</v>
      </c>
      <c r="EU41" s="25">
        <f t="shared" si="60"/>
        <v>1393.3687693900001</v>
      </c>
      <c r="EV41" s="25">
        <f t="shared" si="60"/>
        <v>1407.3024570839002</v>
      </c>
      <c r="EW41" s="25"/>
      <c r="EX41" s="25"/>
      <c r="EY41" s="46"/>
      <c r="EZ41" s="16"/>
      <c r="FA41" s="46"/>
      <c r="FB41" s="46"/>
    </row>
    <row r="42" spans="2:158" s="26" customFormat="1">
      <c r="B42" s="15" t="s">
        <v>140</v>
      </c>
      <c r="C42" s="23"/>
      <c r="D42" s="23"/>
      <c r="E42" s="23"/>
      <c r="F42" s="23"/>
      <c r="G42" s="23"/>
      <c r="H42" s="23"/>
      <c r="I42" s="25">
        <v>21</v>
      </c>
      <c r="J42" s="25">
        <f>BD42+BE42</f>
        <v>65</v>
      </c>
      <c r="K42" s="25">
        <v>167</v>
      </c>
      <c r="L42" s="25">
        <f>488-K42</f>
        <v>321</v>
      </c>
      <c r="M42" s="25">
        <v>374</v>
      </c>
      <c r="N42" s="25">
        <f>887-M42</f>
        <v>513</v>
      </c>
      <c r="O42" s="25">
        <v>507</v>
      </c>
      <c r="P42" s="25">
        <f>SUM(BP42:BQ42)</f>
        <v>601</v>
      </c>
      <c r="Q42" s="25">
        <f t="shared" si="34"/>
        <v>525</v>
      </c>
      <c r="R42" s="25">
        <f t="shared" si="35"/>
        <v>533</v>
      </c>
      <c r="S42" s="25">
        <v>544</v>
      </c>
      <c r="T42" s="25">
        <f t="shared" si="36"/>
        <v>469</v>
      </c>
      <c r="U42" s="25">
        <f t="shared" si="37"/>
        <v>394</v>
      </c>
      <c r="V42" s="25">
        <f t="shared" si="38"/>
        <v>302</v>
      </c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93"/>
      <c r="AX42" s="66">
        <v>0</v>
      </c>
      <c r="AY42" s="66">
        <v>0</v>
      </c>
      <c r="AZ42" s="66">
        <v>0</v>
      </c>
      <c r="BA42" s="66">
        <v>0</v>
      </c>
      <c r="BB42" s="66">
        <v>0</v>
      </c>
      <c r="BC42" s="66">
        <v>21</v>
      </c>
      <c r="BD42" s="66">
        <v>14</v>
      </c>
      <c r="BE42" s="66">
        <v>51</v>
      </c>
      <c r="BF42" s="66">
        <v>75</v>
      </c>
      <c r="BG42" s="66">
        <v>92</v>
      </c>
      <c r="BH42" s="66">
        <v>142</v>
      </c>
      <c r="BI42" s="66">
        <v>179</v>
      </c>
      <c r="BJ42" s="66">
        <v>170</v>
      </c>
      <c r="BK42" s="66">
        <v>204</v>
      </c>
      <c r="BL42" s="66">
        <v>230</v>
      </c>
      <c r="BM42" s="66">
        <v>283</v>
      </c>
      <c r="BN42" s="66">
        <v>241</v>
      </c>
      <c r="BO42" s="66">
        <v>266</v>
      </c>
      <c r="BP42" s="66">
        <v>268</v>
      </c>
      <c r="BQ42" s="66">
        <v>333</v>
      </c>
      <c r="BR42" s="66">
        <v>249</v>
      </c>
      <c r="BS42" s="66">
        <v>276</v>
      </c>
      <c r="BT42" s="66">
        <v>255</v>
      </c>
      <c r="BU42" s="66">
        <v>278</v>
      </c>
      <c r="BV42" s="66">
        <v>277</v>
      </c>
      <c r="BW42" s="66">
        <f t="shared" si="39"/>
        <v>267</v>
      </c>
      <c r="BX42" s="66">
        <f>790-BW42-BV42</f>
        <v>246</v>
      </c>
      <c r="BY42" s="66">
        <v>223</v>
      </c>
      <c r="BZ42" s="66">
        <v>212</v>
      </c>
      <c r="CA42" s="66">
        <f>394-BZ42</f>
        <v>182</v>
      </c>
      <c r="CB42" s="66">
        <v>157</v>
      </c>
      <c r="CC42" s="66">
        <v>145</v>
      </c>
      <c r="CD42" s="66"/>
      <c r="CE42" s="66"/>
      <c r="CF42" s="66"/>
      <c r="CG42" s="66"/>
      <c r="CH42" s="66"/>
      <c r="CI42" s="66"/>
      <c r="CJ42" s="66"/>
      <c r="CK42" s="66"/>
      <c r="CL42" s="66"/>
      <c r="CM42" s="66"/>
      <c r="CN42" s="66"/>
      <c r="CO42" s="66"/>
      <c r="CP42" s="66"/>
      <c r="CQ42" s="66"/>
      <c r="CR42" s="66"/>
      <c r="CS42" s="66"/>
      <c r="CT42" s="66"/>
      <c r="CU42" s="66"/>
      <c r="CV42" s="66"/>
      <c r="CW42" s="66"/>
      <c r="CX42" s="66"/>
      <c r="CY42" s="66"/>
      <c r="CZ42" s="66"/>
      <c r="DA42" s="66"/>
      <c r="DB42" s="66"/>
      <c r="DC42" s="66"/>
      <c r="DD42" s="66"/>
      <c r="DE42" s="66"/>
      <c r="DF42" s="66"/>
      <c r="DG42" s="66"/>
      <c r="DH42" s="66"/>
      <c r="DI42" s="66"/>
      <c r="DJ42" s="66"/>
      <c r="DK42" s="66"/>
      <c r="DL42" s="66"/>
      <c r="DM42" s="66"/>
      <c r="DN42" s="66"/>
      <c r="DO42" s="66"/>
      <c r="DP42" s="66"/>
      <c r="DQ42" s="66"/>
      <c r="DR42" s="66"/>
      <c r="DS42" s="66"/>
      <c r="DT42" s="66"/>
      <c r="DU42" s="66"/>
      <c r="DV42" s="66"/>
      <c r="DW42" s="66"/>
      <c r="DX42" s="66"/>
      <c r="DY42" s="66"/>
      <c r="DZ42" s="66"/>
      <c r="EA42" s="66"/>
      <c r="EB42" s="66"/>
      <c r="EC42" s="66"/>
      <c r="ED42" s="5"/>
      <c r="EE42" s="25">
        <v>0</v>
      </c>
      <c r="EF42" s="25">
        <v>0</v>
      </c>
      <c r="EG42" s="25">
        <v>0</v>
      </c>
      <c r="EH42" s="25">
        <f t="shared" si="41"/>
        <v>0</v>
      </c>
      <c r="EI42" s="25">
        <f t="shared" si="42"/>
        <v>86</v>
      </c>
      <c r="EJ42" s="25">
        <f t="shared" ref="EJ42:EJ46" si="61">SUM(K42:L42)</f>
        <v>488</v>
      </c>
      <c r="EK42" s="25">
        <f>SUM(M42:N42)</f>
        <v>887</v>
      </c>
      <c r="EL42" s="25">
        <f t="shared" ref="EL42:EL47" si="62">SUM(BN42:BQ42)</f>
        <v>1108</v>
      </c>
      <c r="EM42" s="25">
        <f t="shared" si="43"/>
        <v>1058</v>
      </c>
      <c r="EN42" s="25">
        <f t="shared" si="21"/>
        <v>1013</v>
      </c>
      <c r="EO42" s="25">
        <f t="shared" si="44"/>
        <v>696</v>
      </c>
      <c r="EP42" s="25"/>
      <c r="EQ42" s="25"/>
      <c r="ER42" s="25"/>
      <c r="ES42" s="25"/>
      <c r="ET42" s="25"/>
      <c r="EU42" s="25"/>
      <c r="EV42" s="25"/>
      <c r="EW42" s="25"/>
      <c r="EX42" s="25"/>
      <c r="EY42" s="46"/>
      <c r="EZ42" s="16"/>
      <c r="FA42" s="46"/>
      <c r="FB42" s="46"/>
    </row>
    <row r="43" spans="2:158" s="26" customFormat="1">
      <c r="B43" s="15" t="s">
        <v>33</v>
      </c>
      <c r="C43" s="23"/>
      <c r="D43" s="23"/>
      <c r="E43" s="23"/>
      <c r="F43" s="23"/>
      <c r="G43" s="23"/>
      <c r="H43" s="23"/>
      <c r="I43" s="25">
        <v>580</v>
      </c>
      <c r="J43" s="25">
        <f>1558-I43</f>
        <v>978</v>
      </c>
      <c r="K43" s="25">
        <v>961</v>
      </c>
      <c r="L43" s="25">
        <f>2627-K43</f>
        <v>1666</v>
      </c>
      <c r="M43" s="25">
        <v>1316</v>
      </c>
      <c r="N43" s="25">
        <f>2085-M43</f>
        <v>769</v>
      </c>
      <c r="O43" s="25">
        <v>327</v>
      </c>
      <c r="P43" s="25">
        <f>SUM(BP43:BQ43)</f>
        <v>282</v>
      </c>
      <c r="Q43" s="25">
        <f t="shared" si="34"/>
        <v>1010</v>
      </c>
      <c r="R43" s="25">
        <f t="shared" si="35"/>
        <v>2190</v>
      </c>
      <c r="S43" s="25">
        <v>710</v>
      </c>
      <c r="T43" s="25">
        <f t="shared" si="36"/>
        <v>163</v>
      </c>
      <c r="U43" s="25">
        <f t="shared" si="37"/>
        <v>262</v>
      </c>
      <c r="V43" s="25">
        <f t="shared" si="38"/>
        <v>97</v>
      </c>
      <c r="W43" s="25"/>
      <c r="X43" s="25"/>
      <c r="Y43" s="25"/>
      <c r="Z43" s="25"/>
      <c r="AA43" s="25">
        <v>372</v>
      </c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93"/>
      <c r="AX43" s="66">
        <v>108</v>
      </c>
      <c r="AY43" s="66">
        <v>19</v>
      </c>
      <c r="AZ43" s="66">
        <v>110</v>
      </c>
      <c r="BA43" s="66">
        <v>93</v>
      </c>
      <c r="BB43" s="66">
        <v>424</v>
      </c>
      <c r="BC43" s="66">
        <v>156</v>
      </c>
      <c r="BD43" s="66">
        <v>279</v>
      </c>
      <c r="BE43" s="66">
        <v>699</v>
      </c>
      <c r="BF43" s="66">
        <v>601</v>
      </c>
      <c r="BG43" s="66">
        <v>360</v>
      </c>
      <c r="BH43" s="66">
        <v>669</v>
      </c>
      <c r="BI43" s="66">
        <v>997</v>
      </c>
      <c r="BJ43" s="66">
        <v>865</v>
      </c>
      <c r="BK43" s="66">
        <v>451</v>
      </c>
      <c r="BL43" s="66">
        <v>257</v>
      </c>
      <c r="BM43" s="66">
        <v>512</v>
      </c>
      <c r="BN43" s="66">
        <v>278</v>
      </c>
      <c r="BO43" s="66">
        <v>49</v>
      </c>
      <c r="BP43" s="66">
        <v>101</v>
      </c>
      <c r="BQ43" s="66">
        <v>181</v>
      </c>
      <c r="BR43" s="66">
        <v>401</v>
      </c>
      <c r="BS43" s="66">
        <v>609</v>
      </c>
      <c r="BT43" s="66">
        <f>2004-BS43-BR43</f>
        <v>994</v>
      </c>
      <c r="BU43" s="66">
        <v>1196</v>
      </c>
      <c r="BV43" s="66">
        <v>517</v>
      </c>
      <c r="BW43" s="66">
        <f t="shared" si="39"/>
        <v>193</v>
      </c>
      <c r="BX43" s="66">
        <f>808-BW43-BV43</f>
        <v>98</v>
      </c>
      <c r="BY43" s="66">
        <v>65</v>
      </c>
      <c r="BZ43" s="66">
        <v>252</v>
      </c>
      <c r="CA43" s="66">
        <f>262-BZ43</f>
        <v>10</v>
      </c>
      <c r="CB43" s="66">
        <v>39</v>
      </c>
      <c r="CC43" s="66">
        <v>58</v>
      </c>
      <c r="CD43" s="66">
        <v>187</v>
      </c>
      <c r="CE43" s="66">
        <v>34</v>
      </c>
      <c r="CF43" s="66">
        <v>20</v>
      </c>
      <c r="CG43" s="66">
        <v>319</v>
      </c>
      <c r="CH43" s="66">
        <v>335</v>
      </c>
      <c r="CI43" s="66">
        <v>45</v>
      </c>
      <c r="CJ43" s="66">
        <v>34</v>
      </c>
      <c r="CK43" s="66">
        <v>221</v>
      </c>
      <c r="CL43" s="66">
        <v>344</v>
      </c>
      <c r="CM43" s="66">
        <v>28</v>
      </c>
      <c r="CN43" s="66"/>
      <c r="CO43" s="66"/>
      <c r="CP43" s="66"/>
      <c r="CQ43" s="66"/>
      <c r="CR43" s="66"/>
      <c r="CS43" s="66"/>
      <c r="CT43" s="66"/>
      <c r="CU43" s="66"/>
      <c r="CV43" s="66"/>
      <c r="CW43" s="66"/>
      <c r="CX43" s="66"/>
      <c r="CY43" s="66"/>
      <c r="CZ43" s="66"/>
      <c r="DA43" s="66"/>
      <c r="DB43" s="66"/>
      <c r="DC43" s="66"/>
      <c r="DD43" s="66"/>
      <c r="DE43" s="66"/>
      <c r="DF43" s="66"/>
      <c r="DG43" s="66"/>
      <c r="DH43" s="66"/>
      <c r="DI43" s="66"/>
      <c r="DJ43" s="66"/>
      <c r="DK43" s="66"/>
      <c r="DL43" s="66"/>
      <c r="DM43" s="66"/>
      <c r="DN43" s="66"/>
      <c r="DO43" s="66"/>
      <c r="DP43" s="66"/>
      <c r="DQ43" s="66"/>
      <c r="DR43" s="66"/>
      <c r="DS43" s="66"/>
      <c r="DT43" s="66"/>
      <c r="DU43" s="66"/>
      <c r="DV43" s="66"/>
      <c r="DW43" s="66"/>
      <c r="DX43" s="66"/>
      <c r="DY43" s="66"/>
      <c r="DZ43" s="66"/>
      <c r="EA43" s="66"/>
      <c r="EB43" s="66"/>
      <c r="EC43" s="66"/>
      <c r="ED43" s="5"/>
      <c r="EE43" s="25">
        <v>110</v>
      </c>
      <c r="EF43" s="25">
        <v>175</v>
      </c>
      <c r="EG43" s="25">
        <v>431</v>
      </c>
      <c r="EH43" s="25">
        <f t="shared" si="41"/>
        <v>330</v>
      </c>
      <c r="EI43" s="25">
        <f t="shared" si="42"/>
        <v>1558</v>
      </c>
      <c r="EJ43" s="25">
        <f t="shared" si="61"/>
        <v>2627</v>
      </c>
      <c r="EK43" s="25">
        <f>SUM(M43:N43)</f>
        <v>2085</v>
      </c>
      <c r="EL43" s="25">
        <f t="shared" si="62"/>
        <v>609</v>
      </c>
      <c r="EM43" s="25">
        <f t="shared" si="43"/>
        <v>3200</v>
      </c>
      <c r="EN43" s="25">
        <f t="shared" si="21"/>
        <v>873</v>
      </c>
      <c r="EO43" s="25">
        <f t="shared" si="44"/>
        <v>359</v>
      </c>
      <c r="EP43" s="25">
        <f t="shared" si="45"/>
        <v>560</v>
      </c>
      <c r="EQ43" s="25">
        <f t="shared" si="46"/>
        <v>635</v>
      </c>
      <c r="ER43" s="25">
        <f>EQ43*1.03</f>
        <v>654.05000000000007</v>
      </c>
      <c r="ES43" s="25">
        <f>ER43*1.03</f>
        <v>673.67150000000004</v>
      </c>
      <c r="ET43" s="25">
        <f>ES43*1.03</f>
        <v>693.88164500000005</v>
      </c>
      <c r="EU43" s="25">
        <f>ET43*0.5</f>
        <v>346.94082250000002</v>
      </c>
      <c r="EV43" s="25">
        <f>EU43*0.5</f>
        <v>173.47041125000001</v>
      </c>
      <c r="EW43" s="25">
        <f>EV43*0.5</f>
        <v>86.735205625000006</v>
      </c>
      <c r="EX43" s="25">
        <v>272</v>
      </c>
      <c r="EY43" s="25">
        <v>58</v>
      </c>
      <c r="EZ43" s="16"/>
      <c r="FA43" s="46"/>
      <c r="FB43" s="46"/>
    </row>
    <row r="44" spans="2:158" s="26" customFormat="1">
      <c r="B44" s="15" t="s">
        <v>158</v>
      </c>
      <c r="C44" s="23"/>
      <c r="D44" s="23"/>
      <c r="E44" s="23"/>
      <c r="F44" s="23"/>
      <c r="G44" s="23"/>
      <c r="H44" s="23"/>
      <c r="I44" s="25">
        <v>185</v>
      </c>
      <c r="J44" s="25">
        <f>394-I44</f>
        <v>209</v>
      </c>
      <c r="K44" s="25">
        <v>223</v>
      </c>
      <c r="L44" s="25">
        <f>488-K44</f>
        <v>265</v>
      </c>
      <c r="M44" s="25">
        <v>261</v>
      </c>
      <c r="N44" s="25">
        <f>542-M44</f>
        <v>281</v>
      </c>
      <c r="O44" s="25">
        <v>261</v>
      </c>
      <c r="P44" s="25">
        <f t="shared" si="33"/>
        <v>292</v>
      </c>
      <c r="Q44" s="25">
        <f t="shared" si="34"/>
        <v>274</v>
      </c>
      <c r="R44" s="25">
        <f t="shared" si="35"/>
        <v>290</v>
      </c>
      <c r="S44" s="25">
        <v>296</v>
      </c>
      <c r="T44" s="25">
        <f t="shared" si="36"/>
        <v>309</v>
      </c>
      <c r="U44" s="25">
        <f t="shared" si="37"/>
        <v>282</v>
      </c>
      <c r="V44" s="25">
        <f t="shared" si="38"/>
        <v>287</v>
      </c>
      <c r="W44" s="25"/>
      <c r="X44" s="25"/>
      <c r="Y44" s="25"/>
      <c r="Z44" s="25"/>
      <c r="AA44" s="25">
        <v>353</v>
      </c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93"/>
      <c r="AX44" s="66">
        <v>86</v>
      </c>
      <c r="AY44" s="66">
        <v>79</v>
      </c>
      <c r="AZ44" s="66">
        <v>81</v>
      </c>
      <c r="BA44" s="66">
        <v>83</v>
      </c>
      <c r="BB44" s="66">
        <v>86</v>
      </c>
      <c r="BC44" s="66">
        <v>99</v>
      </c>
      <c r="BD44" s="66">
        <v>100</v>
      </c>
      <c r="BE44" s="66">
        <v>109</v>
      </c>
      <c r="BF44" s="66">
        <v>110</v>
      </c>
      <c r="BG44" s="66">
        <v>113</v>
      </c>
      <c r="BH44" s="66">
        <v>126</v>
      </c>
      <c r="BI44" s="66">
        <v>139</v>
      </c>
      <c r="BJ44" s="66">
        <v>124</v>
      </c>
      <c r="BK44" s="66">
        <v>137</v>
      </c>
      <c r="BL44" s="66">
        <v>137</v>
      </c>
      <c r="BM44" s="66">
        <v>144</v>
      </c>
      <c r="BN44" s="66">
        <v>128</v>
      </c>
      <c r="BO44" s="66">
        <v>136</v>
      </c>
      <c r="BP44" s="66">
        <v>143</v>
      </c>
      <c r="BQ44" s="66">
        <v>149</v>
      </c>
      <c r="BR44" s="66">
        <v>131</v>
      </c>
      <c r="BS44" s="66">
        <v>143</v>
      </c>
      <c r="BT44" s="66">
        <v>148</v>
      </c>
      <c r="BU44" s="66">
        <v>142</v>
      </c>
      <c r="BV44" s="66">
        <v>149</v>
      </c>
      <c r="BW44" s="66">
        <f t="shared" si="39"/>
        <v>147</v>
      </c>
      <c r="BX44" s="66">
        <f>453-BW44-BV44</f>
        <v>157</v>
      </c>
      <c r="BY44" s="66">
        <v>152</v>
      </c>
      <c r="BZ44" s="66">
        <v>145</v>
      </c>
      <c r="CA44" s="66">
        <f>282-BZ44</f>
        <v>137</v>
      </c>
      <c r="CB44" s="66">
        <v>143</v>
      </c>
      <c r="CC44" s="66">
        <v>144</v>
      </c>
      <c r="CD44" s="66">
        <v>153</v>
      </c>
      <c r="CE44" s="66">
        <v>154</v>
      </c>
      <c r="CF44" s="66">
        <v>171</v>
      </c>
      <c r="CG44" s="66">
        <v>160</v>
      </c>
      <c r="CH44" s="66">
        <v>166</v>
      </c>
      <c r="CI44" s="66">
        <v>167</v>
      </c>
      <c r="CJ44" s="66">
        <v>166</v>
      </c>
      <c r="CK44" s="66">
        <v>194</v>
      </c>
      <c r="CL44" s="66">
        <v>177</v>
      </c>
      <c r="CM44" s="66">
        <v>176</v>
      </c>
      <c r="CN44" s="66"/>
      <c r="CO44" s="66"/>
      <c r="CP44" s="66"/>
      <c r="CQ44" s="66"/>
      <c r="CR44" s="66"/>
      <c r="CS44" s="66"/>
      <c r="CT44" s="66"/>
      <c r="CU44" s="66"/>
      <c r="CV44" s="66"/>
      <c r="CW44" s="66"/>
      <c r="CX44" s="66"/>
      <c r="CY44" s="66"/>
      <c r="CZ44" s="66"/>
      <c r="DA44" s="66"/>
      <c r="DB44" s="66"/>
      <c r="DC44" s="66"/>
      <c r="DD44" s="66"/>
      <c r="DE44" s="66"/>
      <c r="DF44" s="66"/>
      <c r="DG44" s="66"/>
      <c r="DH44" s="66"/>
      <c r="DI44" s="66"/>
      <c r="DJ44" s="66"/>
      <c r="DK44" s="66"/>
      <c r="DL44" s="66"/>
      <c r="DM44" s="66"/>
      <c r="DN44" s="66"/>
      <c r="DO44" s="66"/>
      <c r="DP44" s="66"/>
      <c r="DQ44" s="66"/>
      <c r="DR44" s="66"/>
      <c r="DS44" s="66"/>
      <c r="DT44" s="66"/>
      <c r="DU44" s="66"/>
      <c r="DV44" s="66"/>
      <c r="DW44" s="66"/>
      <c r="DX44" s="66"/>
      <c r="DY44" s="66"/>
      <c r="DZ44" s="66"/>
      <c r="EA44" s="66"/>
      <c r="EB44" s="66"/>
      <c r="EC44" s="66"/>
      <c r="ED44" s="5"/>
      <c r="EE44" s="25">
        <v>292</v>
      </c>
      <c r="EF44" s="25">
        <v>296</v>
      </c>
      <c r="EG44" s="25">
        <v>281</v>
      </c>
      <c r="EH44" s="25">
        <f t="shared" si="41"/>
        <v>329</v>
      </c>
      <c r="EI44" s="25">
        <f t="shared" si="42"/>
        <v>394</v>
      </c>
      <c r="EJ44" s="25">
        <f t="shared" si="61"/>
        <v>488</v>
      </c>
      <c r="EK44" s="25">
        <f t="shared" si="23"/>
        <v>542</v>
      </c>
      <c r="EL44" s="25">
        <f t="shared" si="62"/>
        <v>556</v>
      </c>
      <c r="EM44" s="25">
        <f t="shared" si="43"/>
        <v>564</v>
      </c>
      <c r="EN44" s="25">
        <f t="shared" si="21"/>
        <v>605</v>
      </c>
      <c r="EO44" s="25">
        <f t="shared" si="44"/>
        <v>569</v>
      </c>
      <c r="EP44" s="25">
        <f t="shared" si="45"/>
        <v>638</v>
      </c>
      <c r="EQ44" s="25">
        <f t="shared" si="46"/>
        <v>693</v>
      </c>
      <c r="ER44" s="25">
        <f>+EQ44*0.5</f>
        <v>346.5</v>
      </c>
      <c r="ES44" s="25">
        <f t="shared" ref="ES44:EW44" si="63">+ER44*0.5</f>
        <v>173.25</v>
      </c>
      <c r="ET44" s="25">
        <f t="shared" si="63"/>
        <v>86.625</v>
      </c>
      <c r="EU44" s="25">
        <f t="shared" si="63"/>
        <v>43.3125</v>
      </c>
      <c r="EV44" s="25">
        <f t="shared" si="63"/>
        <v>21.65625</v>
      </c>
      <c r="EW44" s="25">
        <f t="shared" si="63"/>
        <v>10.828125</v>
      </c>
      <c r="EX44" s="25"/>
      <c r="EY44" s="46"/>
      <c r="EZ44" s="16"/>
      <c r="FA44" s="46"/>
      <c r="FB44" s="46"/>
    </row>
    <row r="45" spans="2:158" s="26" customFormat="1">
      <c r="B45" s="15" t="s">
        <v>142</v>
      </c>
      <c r="C45" s="23"/>
      <c r="D45" s="23"/>
      <c r="E45" s="23"/>
      <c r="F45" s="23"/>
      <c r="G45" s="23"/>
      <c r="H45" s="23"/>
      <c r="I45" s="25">
        <v>232</v>
      </c>
      <c r="J45" s="25">
        <f>476-I45</f>
        <v>244</v>
      </c>
      <c r="K45" s="25">
        <v>244</v>
      </c>
      <c r="L45" s="25">
        <f>494-K45</f>
        <v>250</v>
      </c>
      <c r="M45" s="25">
        <v>239</v>
      </c>
      <c r="N45" s="25">
        <f>470-M45</f>
        <v>231</v>
      </c>
      <c r="O45" s="25">
        <v>195</v>
      </c>
      <c r="P45" s="25">
        <f t="shared" si="33"/>
        <v>218</v>
      </c>
      <c r="Q45" s="25">
        <f t="shared" si="34"/>
        <v>211</v>
      </c>
      <c r="R45" s="25">
        <f t="shared" si="35"/>
        <v>189</v>
      </c>
      <c r="S45" s="25">
        <v>193</v>
      </c>
      <c r="T45" s="25">
        <f t="shared" si="36"/>
        <v>212</v>
      </c>
      <c r="U45" s="25">
        <f t="shared" si="37"/>
        <v>169</v>
      </c>
      <c r="V45" s="25">
        <f t="shared" si="38"/>
        <v>148</v>
      </c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93"/>
      <c r="AX45" s="66">
        <v>109</v>
      </c>
      <c r="AY45" s="66">
        <v>116</v>
      </c>
      <c r="AZ45" s="66">
        <v>110</v>
      </c>
      <c r="BA45" s="66">
        <v>114</v>
      </c>
      <c r="BB45" s="66">
        <v>110</v>
      </c>
      <c r="BC45" s="66">
        <v>122</v>
      </c>
      <c r="BD45" s="66">
        <v>116</v>
      </c>
      <c r="BE45" s="66">
        <v>128</v>
      </c>
      <c r="BF45" s="66">
        <v>118</v>
      </c>
      <c r="BG45" s="66">
        <v>126</v>
      </c>
      <c r="BH45" s="66">
        <v>118</v>
      </c>
      <c r="BI45" s="66">
        <v>132</v>
      </c>
      <c r="BJ45" s="66">
        <v>117</v>
      </c>
      <c r="BK45" s="66">
        <v>122</v>
      </c>
      <c r="BL45" s="66">
        <v>118</v>
      </c>
      <c r="BM45" s="66">
        <v>113</v>
      </c>
      <c r="BN45" s="66">
        <v>97</v>
      </c>
      <c r="BO45" s="66">
        <v>98</v>
      </c>
      <c r="BP45" s="66">
        <v>106</v>
      </c>
      <c r="BQ45" s="66">
        <v>112</v>
      </c>
      <c r="BR45" s="66">
        <v>104</v>
      </c>
      <c r="BS45" s="66">
        <v>107</v>
      </c>
      <c r="BT45" s="66">
        <v>100</v>
      </c>
      <c r="BU45" s="66">
        <v>89</v>
      </c>
      <c r="BV45" s="66">
        <v>91</v>
      </c>
      <c r="BW45" s="66">
        <f t="shared" si="39"/>
        <v>102</v>
      </c>
      <c r="BX45" s="66">
        <f>310-BW45-BV45</f>
        <v>117</v>
      </c>
      <c r="BY45" s="66">
        <v>95</v>
      </c>
      <c r="BZ45" s="66">
        <v>87</v>
      </c>
      <c r="CA45" s="66">
        <f>169-BZ45</f>
        <v>82</v>
      </c>
      <c r="CB45" s="66">
        <v>73</v>
      </c>
      <c r="CC45" s="66">
        <v>75</v>
      </c>
      <c r="CD45" s="66">
        <v>77</v>
      </c>
      <c r="CE45" s="66">
        <v>77</v>
      </c>
      <c r="CF45" s="66">
        <v>77</v>
      </c>
      <c r="CG45" s="66">
        <v>73</v>
      </c>
      <c r="CH45" s="66">
        <v>73</v>
      </c>
      <c r="CI45" s="66">
        <v>71</v>
      </c>
      <c r="CJ45" s="66">
        <v>69</v>
      </c>
      <c r="CK45" s="66">
        <v>61</v>
      </c>
      <c r="CL45" s="66"/>
      <c r="CM45" s="66"/>
      <c r="CN45" s="66"/>
      <c r="CO45" s="66"/>
      <c r="CP45" s="66"/>
      <c r="CQ45" s="66"/>
      <c r="CR45" s="66"/>
      <c r="CS45" s="66"/>
      <c r="CT45" s="66"/>
      <c r="CU45" s="66"/>
      <c r="CV45" s="66"/>
      <c r="CW45" s="66"/>
      <c r="CX45" s="66"/>
      <c r="CY45" s="66"/>
      <c r="CZ45" s="66"/>
      <c r="DA45" s="66"/>
      <c r="DB45" s="66"/>
      <c r="DC45" s="66"/>
      <c r="DD45" s="66"/>
      <c r="DE45" s="66"/>
      <c r="DF45" s="66"/>
      <c r="DG45" s="66"/>
      <c r="DH45" s="66"/>
      <c r="DI45" s="66"/>
      <c r="DJ45" s="66"/>
      <c r="DK45" s="66"/>
      <c r="DL45" s="66"/>
      <c r="DM45" s="66"/>
      <c r="DN45" s="66"/>
      <c r="DO45" s="66"/>
      <c r="DP45" s="66"/>
      <c r="DQ45" s="66"/>
      <c r="DR45" s="66"/>
      <c r="DS45" s="66"/>
      <c r="DT45" s="66"/>
      <c r="DU45" s="66"/>
      <c r="DV45" s="66"/>
      <c r="DW45" s="66"/>
      <c r="DX45" s="66"/>
      <c r="DY45" s="66"/>
      <c r="DZ45" s="66"/>
      <c r="EA45" s="66"/>
      <c r="EB45" s="66"/>
      <c r="EC45" s="66"/>
      <c r="ED45" s="5"/>
      <c r="EE45" s="25">
        <v>435</v>
      </c>
      <c r="EF45" s="25">
        <v>477</v>
      </c>
      <c r="EG45" s="25">
        <v>442</v>
      </c>
      <c r="EH45" s="25">
        <f t="shared" si="41"/>
        <v>449</v>
      </c>
      <c r="EI45" s="25">
        <f t="shared" si="42"/>
        <v>476</v>
      </c>
      <c r="EJ45" s="25">
        <f t="shared" si="61"/>
        <v>494</v>
      </c>
      <c r="EK45" s="25">
        <f t="shared" si="23"/>
        <v>470</v>
      </c>
      <c r="EL45" s="25">
        <f t="shared" si="62"/>
        <v>413</v>
      </c>
      <c r="EM45" s="25">
        <f t="shared" si="43"/>
        <v>400</v>
      </c>
      <c r="EN45" s="25">
        <f t="shared" si="21"/>
        <v>405</v>
      </c>
      <c r="EO45" s="25">
        <f t="shared" si="44"/>
        <v>317</v>
      </c>
      <c r="EP45" s="25">
        <f t="shared" si="45"/>
        <v>304</v>
      </c>
      <c r="EQ45" s="25">
        <f t="shared" si="46"/>
        <v>274</v>
      </c>
      <c r="ER45" s="25">
        <f t="shared" ref="ER45:ER47" si="64">EQ45*1.05</f>
        <v>287.7</v>
      </c>
      <c r="ES45" s="25">
        <f t="shared" ref="ES45:EV45" si="65">ER45*1.05</f>
        <v>302.08499999999998</v>
      </c>
      <c r="ET45" s="25">
        <f t="shared" si="65"/>
        <v>317.18925000000002</v>
      </c>
      <c r="EU45" s="25">
        <f t="shared" si="65"/>
        <v>333.04871250000002</v>
      </c>
      <c r="EV45" s="25">
        <f t="shared" si="65"/>
        <v>349.70114812500003</v>
      </c>
      <c r="EW45" s="25">
        <f>+EV45*0.9</f>
        <v>314.73103331250002</v>
      </c>
      <c r="EX45" s="25"/>
      <c r="EY45" s="46"/>
      <c r="EZ45" s="16"/>
      <c r="FA45" s="46"/>
      <c r="FB45" s="46"/>
    </row>
    <row r="46" spans="2:158" s="26" customFormat="1">
      <c r="B46" s="15" t="s">
        <v>30</v>
      </c>
      <c r="C46" s="23"/>
      <c r="D46" s="23"/>
      <c r="E46" s="23"/>
      <c r="F46" s="23"/>
      <c r="G46" s="23"/>
      <c r="H46" s="23"/>
      <c r="I46" s="25">
        <v>169</v>
      </c>
      <c r="J46" s="25">
        <f>364-I46</f>
        <v>195</v>
      </c>
      <c r="K46" s="25">
        <v>188</v>
      </c>
      <c r="L46" s="25">
        <f>379-K46</f>
        <v>191</v>
      </c>
      <c r="M46" s="25">
        <v>195</v>
      </c>
      <c r="N46" s="25">
        <f>405-M46</f>
        <v>210</v>
      </c>
      <c r="O46" s="25">
        <v>192</v>
      </c>
      <c r="P46" s="25">
        <f>SUM(BP46:BQ46)</f>
        <v>212</v>
      </c>
      <c r="Q46" s="25">
        <f t="shared" si="34"/>
        <v>188</v>
      </c>
      <c r="R46" s="25">
        <f t="shared" si="35"/>
        <v>197</v>
      </c>
      <c r="S46" s="25">
        <v>167</v>
      </c>
      <c r="T46" s="25">
        <f t="shared" si="36"/>
        <v>164</v>
      </c>
      <c r="U46" s="25">
        <f t="shared" si="37"/>
        <v>135</v>
      </c>
      <c r="V46" s="25">
        <f t="shared" si="38"/>
        <v>143</v>
      </c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93"/>
      <c r="AX46" s="66">
        <v>76</v>
      </c>
      <c r="AY46" s="66">
        <v>80</v>
      </c>
      <c r="AZ46" s="66">
        <v>81</v>
      </c>
      <c r="BA46" s="66">
        <v>88</v>
      </c>
      <c r="BB46" s="66">
        <v>80</v>
      </c>
      <c r="BC46" s="66">
        <v>89</v>
      </c>
      <c r="BD46" s="66">
        <v>97</v>
      </c>
      <c r="BE46" s="66">
        <v>98</v>
      </c>
      <c r="BF46" s="66">
        <v>93</v>
      </c>
      <c r="BG46" s="66">
        <v>95</v>
      </c>
      <c r="BH46" s="66">
        <v>91</v>
      </c>
      <c r="BI46" s="66">
        <v>100</v>
      </c>
      <c r="BJ46" s="66">
        <v>96</v>
      </c>
      <c r="BK46" s="66">
        <v>99</v>
      </c>
      <c r="BL46" s="66">
        <v>100</v>
      </c>
      <c r="BM46" s="66">
        <v>110</v>
      </c>
      <c r="BN46" s="66">
        <v>95</v>
      </c>
      <c r="BO46" s="66">
        <v>97</v>
      </c>
      <c r="BP46" s="66">
        <v>98</v>
      </c>
      <c r="BQ46" s="66">
        <v>114</v>
      </c>
      <c r="BR46" s="66">
        <v>90</v>
      </c>
      <c r="BS46" s="66">
        <v>98</v>
      </c>
      <c r="BT46" s="66">
        <v>101</v>
      </c>
      <c r="BU46" s="66">
        <v>96</v>
      </c>
      <c r="BV46" s="66">
        <v>81</v>
      </c>
      <c r="BW46" s="66">
        <f t="shared" si="39"/>
        <v>86</v>
      </c>
      <c r="BX46" s="66">
        <f>249-BW46-BV46</f>
        <v>82</v>
      </c>
      <c r="BY46" s="66">
        <v>82</v>
      </c>
      <c r="BZ46" s="66">
        <v>61</v>
      </c>
      <c r="CA46" s="66">
        <v>74</v>
      </c>
      <c r="CB46" s="66">
        <v>65</v>
      </c>
      <c r="CC46" s="66">
        <v>78</v>
      </c>
      <c r="CD46" s="66"/>
      <c r="CE46" s="66"/>
      <c r="CF46" s="66"/>
      <c r="CG46" s="66"/>
      <c r="CH46" s="66"/>
      <c r="CI46" s="66"/>
      <c r="CJ46" s="66"/>
      <c r="CK46" s="66"/>
      <c r="CL46" s="66"/>
      <c r="CM46" s="66"/>
      <c r="CN46" s="66"/>
      <c r="CO46" s="66"/>
      <c r="CP46" s="66"/>
      <c r="CQ46" s="66"/>
      <c r="CR46" s="66"/>
      <c r="CS46" s="66"/>
      <c r="CT46" s="66"/>
      <c r="CU46" s="66"/>
      <c r="CV46" s="66"/>
      <c r="CW46" s="66"/>
      <c r="CX46" s="66"/>
      <c r="CY46" s="66"/>
      <c r="CZ46" s="66"/>
      <c r="DA46" s="66"/>
      <c r="DB46" s="66"/>
      <c r="DC46" s="66"/>
      <c r="DD46" s="66"/>
      <c r="DE46" s="66"/>
      <c r="DF46" s="66"/>
      <c r="DG46" s="66"/>
      <c r="DH46" s="66"/>
      <c r="DI46" s="66"/>
      <c r="DJ46" s="66"/>
      <c r="DK46" s="66"/>
      <c r="DL46" s="66"/>
      <c r="DM46" s="66"/>
      <c r="DN46" s="66"/>
      <c r="DO46" s="66"/>
      <c r="DP46" s="66"/>
      <c r="DQ46" s="66"/>
      <c r="DR46" s="66"/>
      <c r="DS46" s="66"/>
      <c r="DT46" s="66"/>
      <c r="DU46" s="66"/>
      <c r="DV46" s="66"/>
      <c r="DW46" s="66"/>
      <c r="DX46" s="66"/>
      <c r="DY46" s="66"/>
      <c r="DZ46" s="66"/>
      <c r="EA46" s="66"/>
      <c r="EB46" s="66"/>
      <c r="EC46" s="66"/>
      <c r="ED46" s="5"/>
      <c r="EE46" s="25">
        <v>0</v>
      </c>
      <c r="EF46" s="25">
        <v>0</v>
      </c>
      <c r="EG46" s="25">
        <v>315</v>
      </c>
      <c r="EH46" s="25">
        <f t="shared" si="41"/>
        <v>325</v>
      </c>
      <c r="EI46" s="25">
        <f t="shared" si="42"/>
        <v>364</v>
      </c>
      <c r="EJ46" s="25">
        <f t="shared" si="61"/>
        <v>379</v>
      </c>
      <c r="EK46" s="25">
        <f>SUM(M46:N46)</f>
        <v>405</v>
      </c>
      <c r="EL46" s="25">
        <f t="shared" si="62"/>
        <v>404</v>
      </c>
      <c r="EM46" s="25">
        <f t="shared" si="43"/>
        <v>385</v>
      </c>
      <c r="EN46" s="25">
        <f t="shared" si="21"/>
        <v>331</v>
      </c>
      <c r="EO46" s="25">
        <f t="shared" si="44"/>
        <v>278</v>
      </c>
      <c r="EP46" s="25"/>
      <c r="EQ46" s="25"/>
      <c r="ER46" s="25"/>
      <c r="ES46" s="25"/>
      <c r="ET46" s="25"/>
      <c r="EU46" s="25"/>
      <c r="EV46" s="25"/>
      <c r="EW46" s="25"/>
      <c r="EX46" s="25"/>
      <c r="EY46" s="46"/>
      <c r="EZ46" s="16"/>
      <c r="FA46" s="46"/>
      <c r="FB46" s="46"/>
    </row>
    <row r="47" spans="2:158" s="26" customFormat="1">
      <c r="B47" s="15" t="s">
        <v>38</v>
      </c>
      <c r="C47" s="23"/>
      <c r="D47" s="23"/>
      <c r="E47" s="23"/>
      <c r="F47" s="23"/>
      <c r="G47" s="23"/>
      <c r="H47" s="23"/>
      <c r="I47" s="25"/>
      <c r="J47" s="25"/>
      <c r="K47" s="25"/>
      <c r="L47" s="25"/>
      <c r="M47" s="25"/>
      <c r="N47" s="25"/>
      <c r="O47" s="25">
        <v>154</v>
      </c>
      <c r="P47" s="25">
        <f>SUM(BP47:BQ47)</f>
        <v>157</v>
      </c>
      <c r="Q47" s="25">
        <f t="shared" si="34"/>
        <v>140</v>
      </c>
      <c r="R47" s="25">
        <f t="shared" si="35"/>
        <v>146</v>
      </c>
      <c r="S47" s="25">
        <v>0</v>
      </c>
      <c r="T47" s="25">
        <f t="shared" si="36"/>
        <v>77</v>
      </c>
      <c r="U47" s="25">
        <f t="shared" si="37"/>
        <v>150</v>
      </c>
      <c r="V47" s="25">
        <f t="shared" si="38"/>
        <v>144</v>
      </c>
      <c r="W47" s="25"/>
      <c r="X47" s="25"/>
      <c r="Y47" s="25"/>
      <c r="Z47" s="25"/>
      <c r="AA47" s="25">
        <v>135</v>
      </c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93"/>
      <c r="AX47" s="93"/>
      <c r="AY47" s="66"/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>
        <v>75</v>
      </c>
      <c r="BK47" s="66">
        <v>77</v>
      </c>
      <c r="BL47" s="66">
        <v>76</v>
      </c>
      <c r="BM47" s="66">
        <v>83</v>
      </c>
      <c r="BN47" s="66">
        <v>74</v>
      </c>
      <c r="BO47" s="66">
        <v>80</v>
      </c>
      <c r="BP47" s="66">
        <v>77</v>
      </c>
      <c r="BQ47" s="66">
        <v>80</v>
      </c>
      <c r="BR47" s="66">
        <v>68</v>
      </c>
      <c r="BS47" s="66">
        <v>72</v>
      </c>
      <c r="BT47" s="66">
        <v>71</v>
      </c>
      <c r="BU47" s="66">
        <v>75</v>
      </c>
      <c r="BV47" s="66"/>
      <c r="BW47" s="66"/>
      <c r="BX47" s="66"/>
      <c r="BY47" s="66">
        <v>77</v>
      </c>
      <c r="BZ47" s="66">
        <v>75</v>
      </c>
      <c r="CA47" s="66">
        <v>75</v>
      </c>
      <c r="CB47" s="66">
        <v>72</v>
      </c>
      <c r="CC47" s="66">
        <v>72</v>
      </c>
      <c r="CD47" s="66">
        <v>75</v>
      </c>
      <c r="CE47" s="66">
        <v>82</v>
      </c>
      <c r="CF47" s="66">
        <v>78</v>
      </c>
      <c r="CG47" s="66">
        <v>75</v>
      </c>
      <c r="CH47" s="66">
        <v>80</v>
      </c>
      <c r="CI47" s="66">
        <v>78</v>
      </c>
      <c r="CJ47" s="66">
        <v>77</v>
      </c>
      <c r="CK47" s="66">
        <v>78</v>
      </c>
      <c r="CL47" s="66">
        <v>59</v>
      </c>
      <c r="CM47" s="66">
        <v>76</v>
      </c>
      <c r="CN47" s="66"/>
      <c r="CO47" s="66"/>
      <c r="CP47" s="66"/>
      <c r="CQ47" s="66"/>
      <c r="CR47" s="66"/>
      <c r="CS47" s="66"/>
      <c r="CT47" s="66"/>
      <c r="CU47" s="66"/>
      <c r="CV47" s="66"/>
      <c r="CW47" s="66"/>
      <c r="CX47" s="66"/>
      <c r="CY47" s="66"/>
      <c r="CZ47" s="66"/>
      <c r="DA47" s="66"/>
      <c r="DB47" s="66"/>
      <c r="DC47" s="66"/>
      <c r="DD47" s="66"/>
      <c r="DE47" s="66"/>
      <c r="DF47" s="66"/>
      <c r="DG47" s="66"/>
      <c r="DH47" s="66"/>
      <c r="DI47" s="66"/>
      <c r="DJ47" s="66"/>
      <c r="DK47" s="66"/>
      <c r="DL47" s="66"/>
      <c r="DM47" s="66"/>
      <c r="DN47" s="66"/>
      <c r="DO47" s="66"/>
      <c r="DP47" s="66"/>
      <c r="DQ47" s="66"/>
      <c r="DR47" s="66"/>
      <c r="DS47" s="66"/>
      <c r="DT47" s="66"/>
      <c r="DU47" s="66"/>
      <c r="DV47" s="66"/>
      <c r="DW47" s="66"/>
      <c r="DX47" s="66"/>
      <c r="DY47" s="66"/>
      <c r="DZ47" s="66"/>
      <c r="EA47" s="66"/>
      <c r="EB47" s="66"/>
      <c r="EC47" s="66"/>
      <c r="ED47" s="5"/>
      <c r="EE47" s="25"/>
      <c r="EF47" s="25"/>
      <c r="EG47" s="25"/>
      <c r="EH47" s="25"/>
      <c r="EI47" s="25"/>
      <c r="EJ47" s="25"/>
      <c r="EK47" s="25">
        <f>SUM(BJ47:BM47)</f>
        <v>311</v>
      </c>
      <c r="EL47" s="25">
        <f t="shared" si="62"/>
        <v>311</v>
      </c>
      <c r="EM47" s="25">
        <f t="shared" si="43"/>
        <v>286</v>
      </c>
      <c r="EN47" s="25"/>
      <c r="EO47" s="25">
        <f t="shared" si="44"/>
        <v>294</v>
      </c>
      <c r="EP47" s="25">
        <f t="shared" si="45"/>
        <v>310</v>
      </c>
      <c r="EQ47" s="25">
        <f t="shared" si="46"/>
        <v>313</v>
      </c>
      <c r="ER47" s="25">
        <f t="shared" si="64"/>
        <v>328.65000000000003</v>
      </c>
      <c r="ES47" s="25">
        <f t="shared" ref="ES47:EV47" si="66">ER47*1.05</f>
        <v>345.08250000000004</v>
      </c>
      <c r="ET47" s="25">
        <f t="shared" si="66"/>
        <v>362.33662500000008</v>
      </c>
      <c r="EU47" s="25">
        <f t="shared" si="66"/>
        <v>380.4534562500001</v>
      </c>
      <c r="EV47" s="25">
        <f t="shared" si="66"/>
        <v>399.47612906250015</v>
      </c>
      <c r="EW47" s="25">
        <f>+EV47*0.9</f>
        <v>359.52851615625013</v>
      </c>
      <c r="EX47" s="25">
        <v>361</v>
      </c>
      <c r="EY47" s="25">
        <v>394</v>
      </c>
      <c r="EZ47" s="16"/>
      <c r="FA47" s="46"/>
      <c r="FB47" s="46"/>
    </row>
    <row r="48" spans="2:158" s="26" customFormat="1">
      <c r="B48" s="3" t="s">
        <v>50</v>
      </c>
      <c r="C48" s="23"/>
      <c r="D48" s="23"/>
      <c r="E48" s="23"/>
      <c r="F48" s="23"/>
      <c r="G48" s="23"/>
      <c r="H48" s="23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>
        <f t="shared" si="37"/>
        <v>138</v>
      </c>
      <c r="V48" s="25">
        <f>344-U48</f>
        <v>206</v>
      </c>
      <c r="W48" s="25"/>
      <c r="X48" s="25"/>
      <c r="Y48" s="25"/>
      <c r="Z48" s="25"/>
      <c r="AA48" s="25">
        <v>203</v>
      </c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93"/>
      <c r="AX48" s="93"/>
      <c r="AY48" s="66"/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>
        <v>70</v>
      </c>
      <c r="BZ48" s="66">
        <v>70</v>
      </c>
      <c r="CA48" s="66">
        <f>138-BZ48</f>
        <v>68</v>
      </c>
      <c r="CB48" s="66">
        <v>99</v>
      </c>
      <c r="CC48" s="66">
        <v>107</v>
      </c>
      <c r="CD48" s="66">
        <v>90</v>
      </c>
      <c r="CE48" s="66">
        <v>87</v>
      </c>
      <c r="CF48" s="66">
        <v>96</v>
      </c>
      <c r="CG48" s="66">
        <v>111</v>
      </c>
      <c r="CH48" s="66">
        <v>94</v>
      </c>
      <c r="CI48" s="66">
        <v>106</v>
      </c>
      <c r="CJ48" s="66">
        <v>107</v>
      </c>
      <c r="CK48" s="66">
        <v>118</v>
      </c>
      <c r="CL48" s="66">
        <v>103</v>
      </c>
      <c r="CM48" s="66">
        <v>100</v>
      </c>
      <c r="CN48" s="66"/>
      <c r="CO48" s="66"/>
      <c r="CP48" s="66"/>
      <c r="CQ48" s="66"/>
      <c r="CR48" s="66"/>
      <c r="CS48" s="66"/>
      <c r="CT48" s="66"/>
      <c r="CU48" s="66"/>
      <c r="CV48" s="66"/>
      <c r="CW48" s="66"/>
      <c r="CX48" s="66"/>
      <c r="CY48" s="66"/>
      <c r="CZ48" s="66"/>
      <c r="DA48" s="66"/>
      <c r="DB48" s="66"/>
      <c r="DC48" s="66"/>
      <c r="DD48" s="66"/>
      <c r="DE48" s="66"/>
      <c r="DF48" s="66"/>
      <c r="DG48" s="66"/>
      <c r="DH48" s="66"/>
      <c r="DI48" s="66"/>
      <c r="DJ48" s="66"/>
      <c r="DK48" s="66"/>
      <c r="DL48" s="66"/>
      <c r="DM48" s="66"/>
      <c r="DN48" s="66"/>
      <c r="DO48" s="66"/>
      <c r="DP48" s="66"/>
      <c r="DQ48" s="66"/>
      <c r="DR48" s="66"/>
      <c r="DS48" s="66"/>
      <c r="DT48" s="66"/>
      <c r="DU48" s="66"/>
      <c r="DV48" s="66"/>
      <c r="DW48" s="66"/>
      <c r="DX48" s="66"/>
      <c r="DY48" s="66"/>
      <c r="DZ48" s="66"/>
      <c r="EA48" s="66"/>
      <c r="EB48" s="66"/>
      <c r="EC48" s="66"/>
      <c r="ED48" s="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>
        <f t="shared" si="44"/>
        <v>344</v>
      </c>
      <c r="EP48" s="25">
        <f t="shared" si="45"/>
        <v>384</v>
      </c>
      <c r="EQ48" s="25">
        <f t="shared" si="46"/>
        <v>425</v>
      </c>
      <c r="ER48" s="25">
        <f>+EQ48*1.01</f>
        <v>429.25</v>
      </c>
      <c r="ES48" s="25">
        <f t="shared" ref="ES48:EV48" si="67">+ER48*1.01</f>
        <v>433.54250000000002</v>
      </c>
      <c r="ET48" s="25">
        <f t="shared" si="67"/>
        <v>437.877925</v>
      </c>
      <c r="EU48" s="25">
        <f t="shared" si="67"/>
        <v>442.25670424999998</v>
      </c>
      <c r="EV48" s="25">
        <f t="shared" si="67"/>
        <v>446.6792712925</v>
      </c>
      <c r="EW48" s="25"/>
      <c r="EX48" s="25">
        <v>470</v>
      </c>
      <c r="EY48" s="25">
        <v>435</v>
      </c>
      <c r="EZ48" s="16"/>
      <c r="FA48" s="46"/>
      <c r="FB48" s="46"/>
    </row>
    <row r="49" spans="2:167" s="26" customFormat="1" hidden="1">
      <c r="B49" s="15" t="s">
        <v>39</v>
      </c>
      <c r="C49" s="23"/>
      <c r="D49" s="23"/>
      <c r="E49" s="23"/>
      <c r="F49" s="23"/>
      <c r="G49" s="23"/>
      <c r="H49" s="23"/>
      <c r="I49" s="25">
        <v>312</v>
      </c>
      <c r="J49" s="25">
        <f>635-I49</f>
        <v>323</v>
      </c>
      <c r="K49" s="25">
        <v>363</v>
      </c>
      <c r="L49" s="25">
        <f>693-K49</f>
        <v>330</v>
      </c>
      <c r="M49" s="25">
        <v>339</v>
      </c>
      <c r="N49" s="25">
        <f>632-M49</f>
        <v>293</v>
      </c>
      <c r="O49" s="25">
        <v>264</v>
      </c>
      <c r="P49" s="25">
        <f>SUM(BP49:BQ49)</f>
        <v>238</v>
      </c>
      <c r="Q49" s="25">
        <f>SUM(BR49:BS49)</f>
        <v>209</v>
      </c>
      <c r="R49" s="25">
        <f>BT49+BU49</f>
        <v>188</v>
      </c>
      <c r="S49" s="25">
        <v>183</v>
      </c>
      <c r="T49" s="25">
        <f>+BY49+BX49</f>
        <v>154</v>
      </c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93"/>
      <c r="AX49" s="66">
        <v>146</v>
      </c>
      <c r="AY49" s="66">
        <v>165</v>
      </c>
      <c r="AZ49" s="66">
        <v>145</v>
      </c>
      <c r="BA49" s="66">
        <v>137</v>
      </c>
      <c r="BB49" s="66">
        <v>147</v>
      </c>
      <c r="BC49" s="66">
        <v>165</v>
      </c>
      <c r="BD49" s="66">
        <v>162</v>
      </c>
      <c r="BE49" s="66">
        <v>161</v>
      </c>
      <c r="BF49" s="66">
        <v>181</v>
      </c>
      <c r="BG49" s="66">
        <v>182</v>
      </c>
      <c r="BH49" s="66">
        <v>160</v>
      </c>
      <c r="BI49" s="66">
        <v>170</v>
      </c>
      <c r="BJ49" s="66">
        <v>163</v>
      </c>
      <c r="BK49" s="66">
        <v>176</v>
      </c>
      <c r="BL49" s="66">
        <v>151</v>
      </c>
      <c r="BM49" s="66">
        <v>142</v>
      </c>
      <c r="BN49" s="66">
        <v>136</v>
      </c>
      <c r="BO49" s="66">
        <v>128</v>
      </c>
      <c r="BP49" s="66">
        <v>126</v>
      </c>
      <c r="BQ49" s="66">
        <v>112</v>
      </c>
      <c r="BR49" s="66">
        <v>103</v>
      </c>
      <c r="BS49" s="66">
        <v>106</v>
      </c>
      <c r="BT49" s="66">
        <v>98</v>
      </c>
      <c r="BU49" s="66">
        <v>90</v>
      </c>
      <c r="BV49" s="66">
        <v>91</v>
      </c>
      <c r="BW49" s="66">
        <f>+S49-BV49</f>
        <v>92</v>
      </c>
      <c r="BX49" s="66">
        <f>259-BW49-BV49</f>
        <v>76</v>
      </c>
      <c r="BY49" s="66">
        <v>78</v>
      </c>
      <c r="BZ49" s="66"/>
      <c r="CA49" s="66"/>
      <c r="CB49" s="66"/>
      <c r="CC49" s="66"/>
      <c r="CD49" s="66"/>
      <c r="CE49" s="66"/>
      <c r="CF49" s="66"/>
      <c r="CG49" s="66"/>
      <c r="CH49" s="66"/>
      <c r="CI49" s="66"/>
      <c r="CJ49" s="66"/>
      <c r="CK49" s="66"/>
      <c r="CL49" s="66"/>
      <c r="CM49" s="66"/>
      <c r="CN49" s="66"/>
      <c r="CO49" s="66"/>
      <c r="CP49" s="66"/>
      <c r="CQ49" s="66"/>
      <c r="CR49" s="66"/>
      <c r="CS49" s="66"/>
      <c r="CT49" s="66"/>
      <c r="CU49" s="66"/>
      <c r="CV49" s="66"/>
      <c r="CW49" s="66"/>
      <c r="CX49" s="66"/>
      <c r="CY49" s="66"/>
      <c r="CZ49" s="66"/>
      <c r="DA49" s="66"/>
      <c r="DB49" s="66"/>
      <c r="DC49" s="66"/>
      <c r="DD49" s="66"/>
      <c r="DE49" s="66"/>
      <c r="DF49" s="66"/>
      <c r="DG49" s="66"/>
      <c r="DH49" s="66"/>
      <c r="DI49" s="66"/>
      <c r="DJ49" s="66"/>
      <c r="DK49" s="66"/>
      <c r="DL49" s="66"/>
      <c r="DM49" s="66"/>
      <c r="DN49" s="66"/>
      <c r="DO49" s="66"/>
      <c r="DP49" s="66"/>
      <c r="DQ49" s="66"/>
      <c r="DR49" s="66"/>
      <c r="DS49" s="66"/>
      <c r="DT49" s="66"/>
      <c r="DU49" s="66"/>
      <c r="DV49" s="66"/>
      <c r="DW49" s="66"/>
      <c r="DX49" s="66"/>
      <c r="DY49" s="66"/>
      <c r="DZ49" s="66"/>
      <c r="EA49" s="66"/>
      <c r="EB49" s="66"/>
      <c r="EC49" s="66"/>
      <c r="ED49" s="5"/>
      <c r="EE49" s="25">
        <v>963</v>
      </c>
      <c r="EF49" s="25">
        <v>763</v>
      </c>
      <c r="EG49" s="25">
        <v>618</v>
      </c>
      <c r="EH49" s="25">
        <f>SUM(AX49:BA49)</f>
        <v>593</v>
      </c>
      <c r="EI49" s="25">
        <f>SUM(BB49:BE49)</f>
        <v>635</v>
      </c>
      <c r="EJ49" s="25">
        <f>SUM(K49:L49)</f>
        <v>693</v>
      </c>
      <c r="EK49" s="25">
        <f>SUM(M49:N49)</f>
        <v>632</v>
      </c>
      <c r="EL49" s="25">
        <f>SUM(BN49:BQ49)</f>
        <v>502</v>
      </c>
      <c r="EM49" s="25">
        <f>SUM(BR49:BU49)</f>
        <v>397</v>
      </c>
      <c r="EN49" s="25">
        <f>SUM(BV49:BY49)</f>
        <v>337</v>
      </c>
      <c r="EO49" s="25">
        <f t="shared" ref="EO49:EO56" si="68">SUM(BZ49:CC49)</f>
        <v>0</v>
      </c>
      <c r="EP49" s="25">
        <f t="shared" si="45"/>
        <v>0</v>
      </c>
      <c r="EQ49" s="25">
        <f t="shared" si="46"/>
        <v>0</v>
      </c>
      <c r="ER49" s="25"/>
      <c r="ES49" s="25"/>
      <c r="ET49" s="25"/>
      <c r="EU49" s="25"/>
      <c r="EV49" s="25"/>
      <c r="EW49" s="25"/>
      <c r="EX49" s="25"/>
      <c r="EY49" s="46"/>
      <c r="EZ49" s="16"/>
      <c r="FA49" s="46"/>
      <c r="FB49" s="46"/>
    </row>
    <row r="50" spans="2:167" s="26" customFormat="1" hidden="1">
      <c r="B50" s="15" t="s">
        <v>32</v>
      </c>
      <c r="C50" s="23"/>
      <c r="D50" s="23"/>
      <c r="E50" s="23"/>
      <c r="F50" s="23"/>
      <c r="G50" s="23"/>
      <c r="H50" s="23"/>
      <c r="I50" s="25">
        <v>235</v>
      </c>
      <c r="J50" s="25">
        <f>500-I50</f>
        <v>265</v>
      </c>
      <c r="K50" s="25">
        <v>254</v>
      </c>
      <c r="L50" s="25">
        <f>498-K50</f>
        <v>244</v>
      </c>
      <c r="M50" s="25">
        <v>205</v>
      </c>
      <c r="N50" s="25">
        <f>425-M50</f>
        <v>220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93"/>
      <c r="AX50" s="66">
        <v>109</v>
      </c>
      <c r="AY50" s="66">
        <v>111</v>
      </c>
      <c r="AZ50" s="66">
        <v>114</v>
      </c>
      <c r="BA50" s="66">
        <v>123</v>
      </c>
      <c r="BB50" s="66">
        <v>105</v>
      </c>
      <c r="BC50" s="66">
        <v>130</v>
      </c>
      <c r="BD50" s="66">
        <v>130</v>
      </c>
      <c r="BE50" s="66">
        <v>135</v>
      </c>
      <c r="BF50" s="66">
        <v>130</v>
      </c>
      <c r="BG50" s="66">
        <v>124</v>
      </c>
      <c r="BH50" s="66">
        <v>127</v>
      </c>
      <c r="BI50" s="66">
        <v>117</v>
      </c>
      <c r="BJ50" s="66">
        <v>105</v>
      </c>
      <c r="BK50" s="66">
        <v>100</v>
      </c>
      <c r="BL50" s="66">
        <v>110</v>
      </c>
      <c r="BM50" s="66">
        <v>110</v>
      </c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66"/>
      <c r="CB50" s="66"/>
      <c r="CC50" s="66"/>
      <c r="CD50" s="66"/>
      <c r="CE50" s="66"/>
      <c r="CF50" s="66"/>
      <c r="CG50" s="66"/>
      <c r="CH50" s="66"/>
      <c r="CI50" s="66"/>
      <c r="CJ50" s="66"/>
      <c r="CK50" s="66"/>
      <c r="CL50" s="66"/>
      <c r="CM50" s="66"/>
      <c r="CN50" s="66"/>
      <c r="CO50" s="66"/>
      <c r="CP50" s="66"/>
      <c r="CQ50" s="66"/>
      <c r="CR50" s="66"/>
      <c r="CS50" s="66"/>
      <c r="CT50" s="66"/>
      <c r="CU50" s="66"/>
      <c r="CV50" s="66"/>
      <c r="CW50" s="66"/>
      <c r="CX50" s="66"/>
      <c r="CY50" s="66"/>
      <c r="CZ50" s="66"/>
      <c r="DA50" s="66"/>
      <c r="DB50" s="66"/>
      <c r="DC50" s="66"/>
      <c r="DD50" s="66"/>
      <c r="DE50" s="66"/>
      <c r="DF50" s="66"/>
      <c r="DG50" s="66"/>
      <c r="DH50" s="66"/>
      <c r="DI50" s="66"/>
      <c r="DJ50" s="66"/>
      <c r="DK50" s="66"/>
      <c r="DL50" s="66"/>
      <c r="DM50" s="66"/>
      <c r="DN50" s="66"/>
      <c r="DO50" s="66"/>
      <c r="DP50" s="66"/>
      <c r="DQ50" s="66"/>
      <c r="DR50" s="66"/>
      <c r="DS50" s="66"/>
      <c r="DT50" s="66"/>
      <c r="DU50" s="66"/>
      <c r="DV50" s="66"/>
      <c r="DW50" s="66"/>
      <c r="DX50" s="66"/>
      <c r="DY50" s="66"/>
      <c r="DZ50" s="66"/>
      <c r="EA50" s="66"/>
      <c r="EB50" s="66"/>
      <c r="EC50" s="66"/>
      <c r="ED50" s="5"/>
      <c r="EE50" s="25">
        <v>437</v>
      </c>
      <c r="EF50" s="25">
        <v>451</v>
      </c>
      <c r="EG50" s="25">
        <v>437</v>
      </c>
      <c r="EH50" s="25">
        <f t="shared" ref="EH50:EH56" si="69">SUM(AX50:BA50)</f>
        <v>457</v>
      </c>
      <c r="EI50" s="25">
        <f t="shared" ref="EI50:EI56" si="70">SUM(BB50:BE50)</f>
        <v>500</v>
      </c>
      <c r="EJ50" s="25">
        <f>SUM(K50:L50)</f>
        <v>498</v>
      </c>
      <c r="EK50" s="25">
        <f>SUM(M50:N50)</f>
        <v>425</v>
      </c>
      <c r="EL50" s="25"/>
      <c r="EM50" s="25"/>
      <c r="EO50" s="25">
        <f t="shared" si="68"/>
        <v>0</v>
      </c>
      <c r="EP50" s="25">
        <f t="shared" si="45"/>
        <v>0</v>
      </c>
      <c r="EQ50" s="25">
        <f t="shared" si="46"/>
        <v>0</v>
      </c>
      <c r="EY50" s="46"/>
      <c r="EZ50" s="111"/>
      <c r="FA50" s="25"/>
      <c r="FB50" s="25"/>
      <c r="FC50" s="25"/>
      <c r="FD50" s="25"/>
      <c r="FE50" s="25"/>
      <c r="FF50" s="25"/>
      <c r="FG50" s="25"/>
      <c r="FH50" s="25"/>
      <c r="FI50" s="25"/>
      <c r="FJ50" s="25"/>
      <c r="FK50" s="25"/>
    </row>
    <row r="51" spans="2:167" s="26" customFormat="1" hidden="1">
      <c r="B51" s="3" t="s">
        <v>36</v>
      </c>
      <c r="C51" s="23"/>
      <c r="D51" s="23"/>
      <c r="E51" s="23"/>
      <c r="F51" s="23"/>
      <c r="G51" s="23"/>
      <c r="H51" s="23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93"/>
      <c r="AX51" s="66">
        <v>31</v>
      </c>
      <c r="AY51" s="66">
        <v>47</v>
      </c>
      <c r="AZ51" s="66">
        <v>43</v>
      </c>
      <c r="BA51" s="66">
        <v>47</v>
      </c>
      <c r="BB51" s="66">
        <v>50</v>
      </c>
      <c r="BC51" s="66">
        <v>66</v>
      </c>
      <c r="BD51" s="66">
        <v>62</v>
      </c>
      <c r="BE51" s="66">
        <v>81</v>
      </c>
      <c r="BF51" s="66">
        <v>72</v>
      </c>
      <c r="BG51" s="66">
        <v>71</v>
      </c>
      <c r="BH51" s="66">
        <v>78</v>
      </c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66"/>
      <c r="CB51" s="66"/>
      <c r="CC51" s="66"/>
      <c r="CD51" s="66"/>
      <c r="CE51" s="66"/>
      <c r="CF51" s="66"/>
      <c r="CG51" s="66"/>
      <c r="CH51" s="66"/>
      <c r="CI51" s="66"/>
      <c r="CJ51" s="66"/>
      <c r="CK51" s="66"/>
      <c r="CL51" s="66"/>
      <c r="CM51" s="66"/>
      <c r="CN51" s="66"/>
      <c r="CO51" s="66"/>
      <c r="CP51" s="66"/>
      <c r="CQ51" s="66"/>
      <c r="CR51" s="66"/>
      <c r="CS51" s="66"/>
      <c r="CT51" s="66"/>
      <c r="CU51" s="66"/>
      <c r="CV51" s="66"/>
      <c r="CW51" s="66"/>
      <c r="CX51" s="66"/>
      <c r="CY51" s="66"/>
      <c r="CZ51" s="66"/>
      <c r="DA51" s="66"/>
      <c r="DB51" s="66"/>
      <c r="DC51" s="66"/>
      <c r="DD51" s="66"/>
      <c r="DE51" s="66"/>
      <c r="DF51" s="66"/>
      <c r="DG51" s="66"/>
      <c r="DH51" s="66"/>
      <c r="DI51" s="66"/>
      <c r="DJ51" s="66"/>
      <c r="DK51" s="66"/>
      <c r="DL51" s="66"/>
      <c r="DM51" s="66"/>
      <c r="DN51" s="66"/>
      <c r="DO51" s="66"/>
      <c r="DP51" s="66"/>
      <c r="DQ51" s="66"/>
      <c r="DR51" s="66"/>
      <c r="DS51" s="66"/>
      <c r="DT51" s="66"/>
      <c r="DU51" s="66"/>
      <c r="DV51" s="66"/>
      <c r="DW51" s="66"/>
      <c r="DX51" s="66"/>
      <c r="DY51" s="66"/>
      <c r="DZ51" s="66"/>
      <c r="EA51" s="66"/>
      <c r="EB51" s="66"/>
      <c r="EC51" s="66"/>
      <c r="ED51" s="5"/>
      <c r="EE51" s="25">
        <v>0</v>
      </c>
      <c r="EF51" s="25">
        <v>0</v>
      </c>
      <c r="EG51" s="25">
        <v>49</v>
      </c>
      <c r="EH51" s="25">
        <f t="shared" si="69"/>
        <v>168</v>
      </c>
      <c r="EI51" s="25">
        <f t="shared" si="70"/>
        <v>259</v>
      </c>
      <c r="EJ51" s="25"/>
      <c r="EK51" s="25"/>
      <c r="EL51" s="25"/>
      <c r="EM51" s="25"/>
      <c r="EN51" s="25"/>
      <c r="EO51" s="25">
        <f t="shared" si="68"/>
        <v>0</v>
      </c>
      <c r="EP51" s="25">
        <f t="shared" si="45"/>
        <v>0</v>
      </c>
      <c r="EQ51" s="25">
        <f t="shared" si="46"/>
        <v>0</v>
      </c>
      <c r="ER51" s="25"/>
      <c r="ES51" s="25"/>
      <c r="ET51" s="25"/>
      <c r="EU51" s="25"/>
      <c r="EV51" s="25"/>
      <c r="EW51" s="25"/>
      <c r="EX51" s="25"/>
      <c r="EY51" s="46"/>
      <c r="EZ51" s="112"/>
      <c r="FA51" s="99"/>
      <c r="FB51" s="99"/>
      <c r="FC51" s="99"/>
      <c r="FD51" s="99"/>
      <c r="FE51" s="99"/>
      <c r="FF51" s="99"/>
      <c r="FG51" s="99"/>
      <c r="FH51" s="99"/>
      <c r="FI51" s="99"/>
      <c r="FJ51" s="99"/>
      <c r="FK51" s="99"/>
    </row>
    <row r="52" spans="2:167" s="26" customFormat="1" hidden="1">
      <c r="B52" s="3" t="s">
        <v>477</v>
      </c>
      <c r="C52" s="23"/>
      <c r="D52" s="23"/>
      <c r="E52" s="23"/>
      <c r="F52" s="23"/>
      <c r="G52" s="23"/>
      <c r="H52" s="23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93"/>
      <c r="AX52" s="66">
        <v>7.904642409033876</v>
      </c>
      <c r="AY52" s="66">
        <v>16.813048933500628</v>
      </c>
      <c r="AZ52" s="66">
        <v>23.282308657465496</v>
      </c>
      <c r="BA52" s="66">
        <v>22</v>
      </c>
      <c r="BB52" s="66">
        <v>28</v>
      </c>
      <c r="BC52" s="66">
        <v>31</v>
      </c>
      <c r="BD52" s="66">
        <v>28</v>
      </c>
      <c r="BE52" s="66">
        <v>30</v>
      </c>
      <c r="BF52" s="66">
        <v>31</v>
      </c>
      <c r="BG52" s="66">
        <v>31</v>
      </c>
      <c r="BH52" s="66">
        <v>32</v>
      </c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66"/>
      <c r="CB52" s="66"/>
      <c r="CC52" s="66"/>
      <c r="CD52" s="66"/>
      <c r="CE52" s="66"/>
      <c r="CF52" s="66"/>
      <c r="CG52" s="66"/>
      <c r="CH52" s="66"/>
      <c r="CI52" s="66"/>
      <c r="CJ52" s="66"/>
      <c r="CK52" s="66"/>
      <c r="CL52" s="66"/>
      <c r="CM52" s="66"/>
      <c r="CN52" s="66"/>
      <c r="CO52" s="66"/>
      <c r="CP52" s="66"/>
      <c r="CQ52" s="66"/>
      <c r="CR52" s="66"/>
      <c r="CS52" s="66"/>
      <c r="CT52" s="66"/>
      <c r="CU52" s="66"/>
      <c r="CV52" s="66"/>
      <c r="CW52" s="66"/>
      <c r="CX52" s="66"/>
      <c r="CY52" s="66"/>
      <c r="CZ52" s="66"/>
      <c r="DA52" s="66"/>
      <c r="DB52" s="66"/>
      <c r="DC52" s="66"/>
      <c r="DD52" s="66"/>
      <c r="DE52" s="66"/>
      <c r="DF52" s="66"/>
      <c r="DG52" s="66"/>
      <c r="DH52" s="66"/>
      <c r="DI52" s="66"/>
      <c r="DJ52" s="66"/>
      <c r="DK52" s="66"/>
      <c r="DL52" s="66"/>
      <c r="DM52" s="66"/>
      <c r="DN52" s="66"/>
      <c r="DO52" s="66"/>
      <c r="DP52" s="66"/>
      <c r="DQ52" s="66"/>
      <c r="DR52" s="66"/>
      <c r="DS52" s="66"/>
      <c r="DT52" s="66"/>
      <c r="DU52" s="66"/>
      <c r="DV52" s="66"/>
      <c r="DW52" s="66"/>
      <c r="DX52" s="66"/>
      <c r="DY52" s="66"/>
      <c r="DZ52" s="66"/>
      <c r="EA52" s="66"/>
      <c r="EB52" s="66"/>
      <c r="EC52" s="66"/>
      <c r="ED52" s="5"/>
      <c r="EE52" s="25">
        <v>0</v>
      </c>
      <c r="EF52" s="25">
        <v>0</v>
      </c>
      <c r="EG52" s="25">
        <v>3</v>
      </c>
      <c r="EH52" s="25">
        <f t="shared" si="69"/>
        <v>70</v>
      </c>
      <c r="EI52" s="25">
        <f t="shared" si="70"/>
        <v>117</v>
      </c>
      <c r="EJ52" s="25"/>
      <c r="EK52" s="25"/>
      <c r="EL52" s="25"/>
      <c r="EM52" s="25"/>
      <c r="EN52" s="25"/>
      <c r="EO52" s="25">
        <f t="shared" si="68"/>
        <v>0</v>
      </c>
      <c r="EP52" s="25">
        <f t="shared" si="45"/>
        <v>0</v>
      </c>
      <c r="EQ52" s="25">
        <f t="shared" si="46"/>
        <v>0</v>
      </c>
      <c r="ER52" s="25"/>
      <c r="ES52" s="25"/>
      <c r="ET52" s="25"/>
      <c r="EU52" s="25"/>
      <c r="EV52" s="25"/>
      <c r="EW52" s="25"/>
      <c r="EX52" s="25"/>
      <c r="EY52" s="46"/>
      <c r="EZ52" s="16"/>
      <c r="FA52" s="46"/>
      <c r="FB52" s="46"/>
    </row>
    <row r="53" spans="2:167" s="26" customFormat="1" hidden="1">
      <c r="B53" s="3" t="s">
        <v>476</v>
      </c>
      <c r="C53" s="23"/>
      <c r="D53" s="23"/>
      <c r="E53" s="23"/>
      <c r="F53" s="23"/>
      <c r="G53" s="23"/>
      <c r="H53" s="23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93"/>
      <c r="AX53" s="66">
        <v>104</v>
      </c>
      <c r="AY53" s="66">
        <v>96</v>
      </c>
      <c r="AZ53" s="66">
        <v>86</v>
      </c>
      <c r="BA53" s="66">
        <v>75</v>
      </c>
      <c r="BB53" s="66">
        <v>83</v>
      </c>
      <c r="BC53" s="66">
        <v>84</v>
      </c>
      <c r="BD53" s="66">
        <v>79</v>
      </c>
      <c r="BE53" s="66">
        <v>80</v>
      </c>
      <c r="BF53" s="66">
        <v>81</v>
      </c>
      <c r="BG53" s="66">
        <v>78</v>
      </c>
      <c r="BH53" s="66">
        <v>75</v>
      </c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66"/>
      <c r="CB53" s="66"/>
      <c r="CC53" s="66"/>
      <c r="CD53" s="66"/>
      <c r="CE53" s="66"/>
      <c r="CF53" s="66"/>
      <c r="CG53" s="66"/>
      <c r="CH53" s="66"/>
      <c r="CI53" s="66"/>
      <c r="CJ53" s="66"/>
      <c r="CK53" s="66"/>
      <c r="CL53" s="66"/>
      <c r="CM53" s="66"/>
      <c r="CN53" s="66"/>
      <c r="CO53" s="66"/>
      <c r="CP53" s="66"/>
      <c r="CQ53" s="66"/>
      <c r="CR53" s="66"/>
      <c r="CS53" s="66"/>
      <c r="CT53" s="66"/>
      <c r="CU53" s="66"/>
      <c r="CV53" s="66"/>
      <c r="CW53" s="66"/>
      <c r="CX53" s="66"/>
      <c r="CY53" s="66"/>
      <c r="CZ53" s="66"/>
      <c r="DA53" s="66"/>
      <c r="DB53" s="66"/>
      <c r="DC53" s="66"/>
      <c r="DD53" s="66"/>
      <c r="DE53" s="66"/>
      <c r="DF53" s="66"/>
      <c r="DG53" s="66"/>
      <c r="DH53" s="66"/>
      <c r="DI53" s="66"/>
      <c r="DJ53" s="66"/>
      <c r="DK53" s="66"/>
      <c r="DL53" s="66"/>
      <c r="DM53" s="66"/>
      <c r="DN53" s="66"/>
      <c r="DO53" s="66"/>
      <c r="DP53" s="66"/>
      <c r="DQ53" s="66"/>
      <c r="DR53" s="66"/>
      <c r="DS53" s="66"/>
      <c r="DT53" s="66"/>
      <c r="DU53" s="66"/>
      <c r="DV53" s="66"/>
      <c r="DW53" s="66"/>
      <c r="DX53" s="66"/>
      <c r="DY53" s="66"/>
      <c r="DZ53" s="66"/>
      <c r="EA53" s="66"/>
      <c r="EB53" s="66"/>
      <c r="EC53" s="66"/>
      <c r="ED53" s="5"/>
      <c r="EE53" s="25">
        <v>289</v>
      </c>
      <c r="EF53" s="25">
        <v>329</v>
      </c>
      <c r="EG53" s="25">
        <v>392</v>
      </c>
      <c r="EH53" s="25">
        <f t="shared" si="69"/>
        <v>361</v>
      </c>
      <c r="EI53" s="25">
        <f t="shared" si="70"/>
        <v>326</v>
      </c>
      <c r="EJ53" s="25"/>
      <c r="EK53" s="25"/>
      <c r="EL53" s="25"/>
      <c r="EM53" s="25"/>
      <c r="EN53" s="25"/>
      <c r="EO53" s="25">
        <f t="shared" si="68"/>
        <v>0</v>
      </c>
      <c r="EP53" s="25">
        <f t="shared" si="45"/>
        <v>0</v>
      </c>
      <c r="EQ53" s="25">
        <f t="shared" si="46"/>
        <v>0</v>
      </c>
      <c r="ER53" s="25"/>
      <c r="ES53" s="25"/>
      <c r="ET53" s="25"/>
      <c r="EU53" s="25"/>
      <c r="EV53" s="25"/>
      <c r="EW53" s="25"/>
      <c r="EX53" s="25"/>
      <c r="EY53" s="46"/>
      <c r="EZ53" s="16"/>
      <c r="FA53" s="46"/>
      <c r="FB53" s="46"/>
    </row>
    <row r="54" spans="2:167" s="26" customFormat="1" hidden="1">
      <c r="B54" s="3" t="s">
        <v>478</v>
      </c>
      <c r="C54" s="23"/>
      <c r="D54" s="23"/>
      <c r="E54" s="23"/>
      <c r="F54" s="23"/>
      <c r="G54" s="23"/>
      <c r="H54" s="23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93"/>
      <c r="AX54" s="66">
        <v>0</v>
      </c>
      <c r="AY54" s="66">
        <v>17</v>
      </c>
      <c r="AZ54" s="66">
        <v>6</v>
      </c>
      <c r="BA54" s="66">
        <v>15</v>
      </c>
      <c r="BB54" s="66">
        <v>16</v>
      </c>
      <c r="BC54" s="66">
        <v>25</v>
      </c>
      <c r="BD54" s="66">
        <v>28</v>
      </c>
      <c r="BE54" s="66">
        <v>35</v>
      </c>
      <c r="BF54" s="66">
        <v>27</v>
      </c>
      <c r="BG54" s="66">
        <v>37</v>
      </c>
      <c r="BH54" s="66">
        <v>37</v>
      </c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66"/>
      <c r="CB54" s="66"/>
      <c r="CC54" s="66"/>
      <c r="CD54" s="66"/>
      <c r="CE54" s="66"/>
      <c r="CF54" s="66"/>
      <c r="CG54" s="66"/>
      <c r="CH54" s="66"/>
      <c r="CI54" s="66"/>
      <c r="CJ54" s="66"/>
      <c r="CK54" s="66"/>
      <c r="CL54" s="66"/>
      <c r="CM54" s="66"/>
      <c r="CN54" s="66"/>
      <c r="CO54" s="66"/>
      <c r="CP54" s="66"/>
      <c r="CQ54" s="66"/>
      <c r="CR54" s="66"/>
      <c r="CS54" s="66"/>
      <c r="CT54" s="66"/>
      <c r="CU54" s="66"/>
      <c r="CV54" s="66"/>
      <c r="CW54" s="66"/>
      <c r="CX54" s="66"/>
      <c r="CY54" s="66"/>
      <c r="CZ54" s="66"/>
      <c r="DA54" s="66"/>
      <c r="DB54" s="66"/>
      <c r="DC54" s="66"/>
      <c r="DD54" s="66"/>
      <c r="DE54" s="66"/>
      <c r="DF54" s="66"/>
      <c r="DG54" s="66"/>
      <c r="DH54" s="66"/>
      <c r="DI54" s="66"/>
      <c r="DJ54" s="66"/>
      <c r="DK54" s="66"/>
      <c r="DL54" s="66"/>
      <c r="DM54" s="66"/>
      <c r="DN54" s="66"/>
      <c r="DO54" s="66"/>
      <c r="DP54" s="66"/>
      <c r="DQ54" s="66"/>
      <c r="DR54" s="66"/>
      <c r="DS54" s="66"/>
      <c r="DT54" s="66"/>
      <c r="DU54" s="66"/>
      <c r="DV54" s="66"/>
      <c r="DW54" s="66"/>
      <c r="DX54" s="66"/>
      <c r="DY54" s="66"/>
      <c r="DZ54" s="66"/>
      <c r="EA54" s="66"/>
      <c r="EB54" s="66"/>
      <c r="EC54" s="66"/>
      <c r="ED54" s="5"/>
      <c r="EE54" s="25">
        <v>0</v>
      </c>
      <c r="EF54" s="25">
        <v>0</v>
      </c>
      <c r="EG54" s="25">
        <v>0</v>
      </c>
      <c r="EH54" s="25">
        <f t="shared" si="69"/>
        <v>38</v>
      </c>
      <c r="EI54" s="25">
        <f t="shared" si="70"/>
        <v>104</v>
      </c>
      <c r="EJ54" s="25"/>
      <c r="EK54" s="25"/>
      <c r="EL54" s="25"/>
      <c r="EM54" s="25"/>
      <c r="EN54" s="25"/>
      <c r="EO54" s="25">
        <f t="shared" si="68"/>
        <v>0</v>
      </c>
      <c r="EP54" s="25">
        <f t="shared" si="45"/>
        <v>0</v>
      </c>
      <c r="EQ54" s="25">
        <f t="shared" si="46"/>
        <v>0</v>
      </c>
      <c r="ER54" s="25"/>
      <c r="ES54" s="25"/>
      <c r="ET54" s="25"/>
      <c r="EU54" s="25"/>
      <c r="EV54" s="25"/>
      <c r="EW54" s="25"/>
      <c r="EX54" s="25"/>
      <c r="EY54" s="46"/>
      <c r="EZ54" s="16"/>
      <c r="FA54" s="46"/>
      <c r="FB54" s="46"/>
    </row>
    <row r="55" spans="2:167" s="26" customFormat="1" hidden="1">
      <c r="B55" s="3" t="s">
        <v>479</v>
      </c>
      <c r="C55" s="23"/>
      <c r="D55" s="23"/>
      <c r="E55" s="23"/>
      <c r="F55" s="23"/>
      <c r="G55" s="23"/>
      <c r="H55" s="23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93"/>
      <c r="AX55" s="66">
        <v>11</v>
      </c>
      <c r="AY55" s="66">
        <v>11</v>
      </c>
      <c r="AZ55" s="66">
        <v>11</v>
      </c>
      <c r="BA55" s="66">
        <v>12</v>
      </c>
      <c r="BB55" s="66">
        <v>11</v>
      </c>
      <c r="BC55" s="66">
        <v>15</v>
      </c>
      <c r="BD55" s="66">
        <v>15</v>
      </c>
      <c r="BE55" s="66">
        <v>16</v>
      </c>
      <c r="BF55" s="66">
        <v>13</v>
      </c>
      <c r="BG55" s="66">
        <v>16</v>
      </c>
      <c r="BH55" s="66">
        <v>17</v>
      </c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66"/>
      <c r="CB55" s="66"/>
      <c r="CC55" s="66"/>
      <c r="CD55" s="66"/>
      <c r="CE55" s="66"/>
      <c r="CF55" s="66"/>
      <c r="CG55" s="66"/>
      <c r="CH55" s="66"/>
      <c r="CI55" s="66"/>
      <c r="CJ55" s="66"/>
      <c r="CK55" s="66"/>
      <c r="CL55" s="66"/>
      <c r="CM55" s="66"/>
      <c r="CN55" s="66"/>
      <c r="CO55" s="66"/>
      <c r="CP55" s="66"/>
      <c r="CQ55" s="66"/>
      <c r="CR55" s="66"/>
      <c r="CS55" s="66"/>
      <c r="CT55" s="66"/>
      <c r="CU55" s="66"/>
      <c r="CV55" s="66"/>
      <c r="CW55" s="66"/>
      <c r="CX55" s="66"/>
      <c r="CY55" s="66"/>
      <c r="CZ55" s="66"/>
      <c r="DA55" s="66"/>
      <c r="DB55" s="66"/>
      <c r="DC55" s="66"/>
      <c r="DD55" s="66"/>
      <c r="DE55" s="66"/>
      <c r="DF55" s="66"/>
      <c r="DG55" s="66"/>
      <c r="DH55" s="66"/>
      <c r="DI55" s="66"/>
      <c r="DJ55" s="66"/>
      <c r="DK55" s="66"/>
      <c r="DL55" s="66"/>
      <c r="DM55" s="66"/>
      <c r="DN55" s="66"/>
      <c r="DO55" s="66"/>
      <c r="DP55" s="66"/>
      <c r="DQ55" s="66"/>
      <c r="DR55" s="66"/>
      <c r="DS55" s="66"/>
      <c r="DT55" s="66"/>
      <c r="DU55" s="66"/>
      <c r="DV55" s="66"/>
      <c r="DW55" s="66"/>
      <c r="DX55" s="66"/>
      <c r="DY55" s="66"/>
      <c r="DZ55" s="66"/>
      <c r="EA55" s="66"/>
      <c r="EB55" s="66"/>
      <c r="EC55" s="66"/>
      <c r="ED55" s="5"/>
      <c r="EE55" s="25">
        <v>0</v>
      </c>
      <c r="EF55" s="25">
        <v>0</v>
      </c>
      <c r="EG55" s="25">
        <v>0</v>
      </c>
      <c r="EH55" s="25">
        <f t="shared" si="69"/>
        <v>45</v>
      </c>
      <c r="EI55" s="25">
        <f t="shared" si="70"/>
        <v>57</v>
      </c>
      <c r="EJ55" s="25"/>
      <c r="EK55" s="25"/>
      <c r="EL55" s="25"/>
      <c r="EM55" s="25"/>
      <c r="EN55" s="25"/>
      <c r="EO55" s="25">
        <f t="shared" si="68"/>
        <v>0</v>
      </c>
      <c r="EP55" s="25">
        <f t="shared" si="45"/>
        <v>0</v>
      </c>
      <c r="EQ55" s="25">
        <f t="shared" si="46"/>
        <v>0</v>
      </c>
      <c r="ER55" s="25"/>
      <c r="ES55" s="25"/>
      <c r="ET55" s="25"/>
      <c r="EU55" s="25"/>
      <c r="EV55" s="25"/>
      <c r="EW55" s="25"/>
      <c r="EX55" s="25"/>
      <c r="EY55" s="46"/>
      <c r="EZ55" s="16"/>
      <c r="FA55" s="46"/>
      <c r="FB55" s="46"/>
    </row>
    <row r="56" spans="2:167" s="26" customFormat="1" hidden="1">
      <c r="B56" s="3" t="s">
        <v>35</v>
      </c>
      <c r="C56" s="23"/>
      <c r="D56" s="23"/>
      <c r="E56" s="23"/>
      <c r="F56" s="23"/>
      <c r="G56" s="23"/>
      <c r="H56" s="23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93"/>
      <c r="AX56" s="66">
        <v>102</v>
      </c>
      <c r="AY56" s="66">
        <v>95</v>
      </c>
      <c r="AZ56" s="66">
        <v>99</v>
      </c>
      <c r="BA56" s="66">
        <v>87</v>
      </c>
      <c r="BB56" s="66">
        <v>104</v>
      </c>
      <c r="BC56" s="66">
        <v>109</v>
      </c>
      <c r="BD56" s="66">
        <v>107</v>
      </c>
      <c r="BE56" s="66">
        <v>87</v>
      </c>
      <c r="BF56" s="66">
        <v>60</v>
      </c>
      <c r="BG56" s="66">
        <v>57</v>
      </c>
      <c r="BH56" s="66">
        <v>53</v>
      </c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66"/>
      <c r="CB56" s="66"/>
      <c r="CC56" s="66"/>
      <c r="CD56" s="66"/>
      <c r="CE56" s="66"/>
      <c r="CF56" s="66"/>
      <c r="CG56" s="66"/>
      <c r="CH56" s="66"/>
      <c r="CI56" s="66"/>
      <c r="CJ56" s="66"/>
      <c r="CK56" s="66"/>
      <c r="CL56" s="66"/>
      <c r="CM56" s="66"/>
      <c r="CN56" s="66"/>
      <c r="CO56" s="66"/>
      <c r="CP56" s="66"/>
      <c r="CQ56" s="66"/>
      <c r="CR56" s="66"/>
      <c r="CS56" s="66"/>
      <c r="CT56" s="66"/>
      <c r="CU56" s="66"/>
      <c r="CV56" s="66"/>
      <c r="CW56" s="66"/>
      <c r="CX56" s="66"/>
      <c r="CY56" s="66"/>
      <c r="CZ56" s="66"/>
      <c r="DA56" s="66"/>
      <c r="DB56" s="66"/>
      <c r="DC56" s="66"/>
      <c r="DD56" s="66"/>
      <c r="DE56" s="66"/>
      <c r="DF56" s="66"/>
      <c r="DG56" s="66"/>
      <c r="DH56" s="66"/>
      <c r="DI56" s="66"/>
      <c r="DJ56" s="66"/>
      <c r="DK56" s="66"/>
      <c r="DL56" s="66"/>
      <c r="DM56" s="66"/>
      <c r="DN56" s="66"/>
      <c r="DO56" s="66"/>
      <c r="DP56" s="66"/>
      <c r="DQ56" s="66"/>
      <c r="DR56" s="66"/>
      <c r="DS56" s="66"/>
      <c r="DT56" s="66"/>
      <c r="DU56" s="66"/>
      <c r="DV56" s="66"/>
      <c r="DW56" s="66"/>
      <c r="DX56" s="66"/>
      <c r="DY56" s="66"/>
      <c r="DZ56" s="66"/>
      <c r="EA56" s="66"/>
      <c r="EB56" s="66"/>
      <c r="EC56" s="66"/>
      <c r="ED56" s="5"/>
      <c r="EE56" s="25">
        <v>0</v>
      </c>
      <c r="EF56" s="25">
        <v>0</v>
      </c>
      <c r="EG56" s="25">
        <v>223</v>
      </c>
      <c r="EH56" s="25">
        <f t="shared" si="69"/>
        <v>383</v>
      </c>
      <c r="EI56" s="25">
        <f t="shared" si="70"/>
        <v>407</v>
      </c>
      <c r="EJ56" s="25"/>
      <c r="EK56" s="25"/>
      <c r="EL56" s="25"/>
      <c r="EM56" s="25"/>
      <c r="EN56" s="25"/>
      <c r="EO56" s="25">
        <f t="shared" si="68"/>
        <v>0</v>
      </c>
      <c r="EP56" s="25">
        <f t="shared" si="45"/>
        <v>0</v>
      </c>
      <c r="EQ56" s="25">
        <f t="shared" si="46"/>
        <v>0</v>
      </c>
      <c r="ER56" s="25"/>
      <c r="ES56" s="25"/>
      <c r="ET56" s="25"/>
      <c r="EU56" s="25"/>
      <c r="EV56" s="25"/>
      <c r="EW56" s="25"/>
      <c r="EX56" s="25"/>
      <c r="EY56" s="46"/>
      <c r="EZ56" s="16"/>
      <c r="FA56" s="46"/>
      <c r="FB56" s="46"/>
    </row>
    <row r="57" spans="2:167" s="26" customFormat="1">
      <c r="B57" s="3" t="s">
        <v>720</v>
      </c>
      <c r="C57" s="23"/>
      <c r="D57" s="23"/>
      <c r="E57" s="23"/>
      <c r="F57" s="23"/>
      <c r="G57" s="23"/>
      <c r="H57" s="23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>
        <v>31</v>
      </c>
      <c r="W57" s="25"/>
      <c r="X57" s="25"/>
      <c r="Y57" s="25"/>
      <c r="Z57" s="25"/>
      <c r="AA57" s="25">
        <v>155</v>
      </c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93"/>
      <c r="AX57" s="66"/>
      <c r="AY57" s="66"/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66"/>
      <c r="CB57" s="66"/>
      <c r="CC57" s="66"/>
      <c r="CD57" s="66">
        <v>32</v>
      </c>
      <c r="CE57" s="66">
        <v>60</v>
      </c>
      <c r="CF57" s="66">
        <v>65</v>
      </c>
      <c r="CG57" s="66">
        <v>77</v>
      </c>
      <c r="CH57" s="66">
        <v>84</v>
      </c>
      <c r="CI57" s="66">
        <v>87</v>
      </c>
      <c r="CJ57" s="66">
        <v>89</v>
      </c>
      <c r="CK57" s="66">
        <v>94</v>
      </c>
      <c r="CL57" s="66">
        <v>79</v>
      </c>
      <c r="CM57" s="66">
        <v>76</v>
      </c>
      <c r="CN57" s="66"/>
      <c r="CO57" s="66"/>
      <c r="CP57" s="66"/>
      <c r="CQ57" s="66"/>
      <c r="CR57" s="66"/>
      <c r="CS57" s="66"/>
      <c r="CT57" s="66"/>
      <c r="CU57" s="66"/>
      <c r="CV57" s="66"/>
      <c r="CW57" s="66"/>
      <c r="CX57" s="66"/>
      <c r="CY57" s="66"/>
      <c r="CZ57" s="66"/>
      <c r="DA57" s="66"/>
      <c r="DB57" s="66"/>
      <c r="DC57" s="66"/>
      <c r="DD57" s="66"/>
      <c r="DE57" s="66"/>
      <c r="DF57" s="66"/>
      <c r="DG57" s="66"/>
      <c r="DH57" s="66"/>
      <c r="DI57" s="66"/>
      <c r="DJ57" s="66"/>
      <c r="DK57" s="66"/>
      <c r="DL57" s="66"/>
      <c r="DM57" s="66"/>
      <c r="DN57" s="66"/>
      <c r="DO57" s="66"/>
      <c r="DP57" s="66"/>
      <c r="DQ57" s="66"/>
      <c r="DR57" s="66"/>
      <c r="DS57" s="66"/>
      <c r="DT57" s="66"/>
      <c r="DU57" s="66"/>
      <c r="DV57" s="66"/>
      <c r="DW57" s="66"/>
      <c r="DX57" s="66"/>
      <c r="DY57" s="66"/>
      <c r="DZ57" s="66"/>
      <c r="EA57" s="66"/>
      <c r="EB57" s="66"/>
      <c r="EC57" s="66"/>
      <c r="ED57" s="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>
        <f t="shared" si="45"/>
        <v>234</v>
      </c>
      <c r="EQ57" s="25">
        <f t="shared" si="46"/>
        <v>354</v>
      </c>
      <c r="ER57" s="25">
        <f>+EQ57*1.1</f>
        <v>389.40000000000003</v>
      </c>
      <c r="ES57" s="25">
        <f t="shared" ref="ES57:EV57" si="71">+ER57*1.1</f>
        <v>428.34000000000009</v>
      </c>
      <c r="ET57" s="25">
        <f t="shared" si="71"/>
        <v>471.17400000000015</v>
      </c>
      <c r="EU57" s="25">
        <f t="shared" si="71"/>
        <v>518.29140000000018</v>
      </c>
      <c r="EV57" s="25">
        <f t="shared" si="71"/>
        <v>570.12054000000023</v>
      </c>
      <c r="EW57" s="25"/>
      <c r="EX57" s="25"/>
      <c r="EY57" s="46"/>
      <c r="EZ57" s="16"/>
      <c r="FA57" s="46"/>
      <c r="FB57" s="46"/>
    </row>
    <row r="58" spans="2:167" s="26" customFormat="1">
      <c r="B58" s="15" t="s">
        <v>37</v>
      </c>
      <c r="C58" s="23"/>
      <c r="D58" s="23"/>
      <c r="E58" s="23"/>
      <c r="F58" s="23"/>
      <c r="G58" s="23"/>
      <c r="H58" s="23"/>
      <c r="I58" s="25">
        <v>614</v>
      </c>
      <c r="J58" s="25">
        <f>927-I58</f>
        <v>313</v>
      </c>
      <c r="K58" s="25">
        <v>216</v>
      </c>
      <c r="L58" s="25">
        <f>416-K58</f>
        <v>200</v>
      </c>
      <c r="M58" s="25">
        <v>204</v>
      </c>
      <c r="N58" s="25">
        <f>399-M58</f>
        <v>195</v>
      </c>
      <c r="O58" s="25">
        <v>176</v>
      </c>
      <c r="P58" s="25">
        <f>SUM(BP58:BQ58)</f>
        <v>168</v>
      </c>
      <c r="Q58" s="25">
        <f>SUM(BR58:BS58)</f>
        <v>164</v>
      </c>
      <c r="R58" s="25">
        <f>BT58+BU58</f>
        <v>143</v>
      </c>
      <c r="S58" s="25">
        <v>165</v>
      </c>
      <c r="T58" s="25">
        <f>+BY58+BX58</f>
        <v>146</v>
      </c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93"/>
      <c r="AX58" s="66">
        <v>369</v>
      </c>
      <c r="AY58" s="66">
        <v>305</v>
      </c>
      <c r="AZ58" s="66">
        <v>307</v>
      </c>
      <c r="BA58" s="66">
        <v>321</v>
      </c>
      <c r="BB58" s="66">
        <v>330</v>
      </c>
      <c r="BC58" s="66">
        <v>284</v>
      </c>
      <c r="BD58" s="66">
        <v>152</v>
      </c>
      <c r="BE58" s="66">
        <v>161</v>
      </c>
      <c r="BF58" s="66">
        <v>110</v>
      </c>
      <c r="BG58" s="66">
        <v>106</v>
      </c>
      <c r="BH58" s="66">
        <v>96</v>
      </c>
      <c r="BI58" s="66">
        <v>104</v>
      </c>
      <c r="BJ58" s="66">
        <v>100</v>
      </c>
      <c r="BK58" s="66">
        <v>104</v>
      </c>
      <c r="BL58" s="66">
        <v>95</v>
      </c>
      <c r="BM58" s="66">
        <v>100</v>
      </c>
      <c r="BN58" s="66">
        <v>91</v>
      </c>
      <c r="BO58" s="66">
        <v>85</v>
      </c>
      <c r="BP58" s="66">
        <v>76</v>
      </c>
      <c r="BQ58" s="66">
        <v>92</v>
      </c>
      <c r="BR58" s="66">
        <v>77</v>
      </c>
      <c r="BS58" s="66">
        <v>87</v>
      </c>
      <c r="BT58" s="66">
        <v>73</v>
      </c>
      <c r="BU58" s="66">
        <v>70</v>
      </c>
      <c r="BV58" s="66">
        <v>82</v>
      </c>
      <c r="BW58" s="66">
        <f>+S58-BV58</f>
        <v>83</v>
      </c>
      <c r="BX58" s="66">
        <f>242-BW58-BV58</f>
        <v>77</v>
      </c>
      <c r="BY58" s="66">
        <v>69</v>
      </c>
      <c r="BZ58" s="66"/>
      <c r="CA58" s="66"/>
      <c r="CB58" s="66"/>
      <c r="CC58" s="66"/>
      <c r="CD58" s="66">
        <v>73</v>
      </c>
      <c r="CE58" s="66">
        <v>60</v>
      </c>
      <c r="CF58" s="66">
        <v>65</v>
      </c>
      <c r="CG58" s="66">
        <v>68</v>
      </c>
      <c r="CH58" s="66">
        <v>68</v>
      </c>
      <c r="CI58" s="66">
        <v>70</v>
      </c>
      <c r="CJ58" s="66"/>
      <c r="CK58" s="66"/>
      <c r="CL58" s="66"/>
      <c r="CM58" s="66"/>
      <c r="CN58" s="66"/>
      <c r="CO58" s="66"/>
      <c r="CP58" s="66"/>
      <c r="CQ58" s="66"/>
      <c r="CR58" s="66"/>
      <c r="CS58" s="66"/>
      <c r="CT58" s="66"/>
      <c r="CU58" s="66"/>
      <c r="CV58" s="66"/>
      <c r="CW58" s="66"/>
      <c r="CX58" s="66"/>
      <c r="CY58" s="66"/>
      <c r="CZ58" s="66"/>
      <c r="DA58" s="66"/>
      <c r="DB58" s="66"/>
      <c r="DC58" s="66"/>
      <c r="DD58" s="66"/>
      <c r="DE58" s="66"/>
      <c r="DF58" s="66"/>
      <c r="DG58" s="66"/>
      <c r="DH58" s="66"/>
      <c r="DI58" s="66"/>
      <c r="DJ58" s="66"/>
      <c r="DK58" s="66"/>
      <c r="DL58" s="66"/>
      <c r="DM58" s="66"/>
      <c r="DN58" s="66"/>
      <c r="DO58" s="66"/>
      <c r="DP58" s="66"/>
      <c r="DQ58" s="66"/>
      <c r="DR58" s="66"/>
      <c r="DS58" s="66"/>
      <c r="DT58" s="66"/>
      <c r="DU58" s="66"/>
      <c r="DV58" s="66"/>
      <c r="DW58" s="66"/>
      <c r="DX58" s="66"/>
      <c r="DY58" s="66"/>
      <c r="DZ58" s="66"/>
      <c r="EA58" s="66"/>
      <c r="EB58" s="66"/>
      <c r="EC58" s="66"/>
      <c r="ED58" s="5"/>
      <c r="EE58" s="25">
        <v>1755</v>
      </c>
      <c r="EF58" s="25">
        <v>1548</v>
      </c>
      <c r="EG58" s="25">
        <v>1375</v>
      </c>
      <c r="EH58" s="25">
        <f>SUM(AX58:BA58)</f>
        <v>1302</v>
      </c>
      <c r="EI58" s="25">
        <f>SUM(BB58:BE58)</f>
        <v>927</v>
      </c>
      <c r="EJ58" s="25">
        <f>SUM(K58:L58)</f>
        <v>416</v>
      </c>
      <c r="EK58" s="25">
        <f>SUM(M58:N58)</f>
        <v>399</v>
      </c>
      <c r="EL58" s="25">
        <f>SUM(BN58:BQ58)</f>
        <v>344</v>
      </c>
      <c r="EM58" s="25">
        <f>SUM(BR58:BU58)</f>
        <v>307</v>
      </c>
      <c r="EN58" s="25">
        <f>SUM(BV58:BY58)</f>
        <v>311</v>
      </c>
      <c r="EO58" s="25"/>
      <c r="EP58" s="25">
        <f t="shared" si="45"/>
        <v>266</v>
      </c>
      <c r="EQ58" s="25">
        <f t="shared" si="46"/>
        <v>138</v>
      </c>
      <c r="ER58" s="25"/>
      <c r="ES58" s="25"/>
      <c r="ET58" s="25"/>
      <c r="EU58" s="25"/>
      <c r="EV58" s="25"/>
      <c r="EW58" s="25"/>
      <c r="EX58" s="25">
        <v>252</v>
      </c>
      <c r="EY58" s="25">
        <v>244</v>
      </c>
      <c r="EZ58" s="16"/>
      <c r="FA58" s="46"/>
      <c r="FB58" s="46"/>
    </row>
    <row r="59" spans="2:167" s="26" customFormat="1">
      <c r="B59" s="3"/>
      <c r="C59" s="23"/>
      <c r="D59" s="23"/>
      <c r="E59" s="23"/>
      <c r="F59" s="23"/>
      <c r="G59" s="23"/>
      <c r="H59" s="23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93"/>
      <c r="AX59" s="93"/>
      <c r="AY59" s="66"/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66"/>
      <c r="CB59" s="66"/>
      <c r="CC59" s="66"/>
      <c r="CD59" s="66"/>
      <c r="CE59" s="66"/>
      <c r="CF59" s="66"/>
      <c r="CG59" s="66"/>
      <c r="CH59" s="66"/>
      <c r="CI59" s="66"/>
      <c r="CJ59" s="66"/>
      <c r="CK59" s="66"/>
      <c r="CL59" s="66"/>
      <c r="CM59" s="66"/>
      <c r="CN59" s="66"/>
      <c r="CO59" s="66"/>
      <c r="CP59" s="66"/>
      <c r="CQ59" s="66"/>
      <c r="CR59" s="66"/>
      <c r="CS59" s="66"/>
      <c r="CT59" s="66"/>
      <c r="CU59" s="66"/>
      <c r="CV59" s="66"/>
      <c r="CW59" s="66"/>
      <c r="CX59" s="66"/>
      <c r="CY59" s="66"/>
      <c r="CZ59" s="66"/>
      <c r="DA59" s="66"/>
      <c r="DB59" s="66"/>
      <c r="DC59" s="66"/>
      <c r="DD59" s="66"/>
      <c r="DE59" s="66"/>
      <c r="DF59" s="66"/>
      <c r="DG59" s="66"/>
      <c r="DH59" s="66"/>
      <c r="DI59" s="66"/>
      <c r="DJ59" s="66"/>
      <c r="DK59" s="66"/>
      <c r="DL59" s="66"/>
      <c r="DM59" s="66"/>
      <c r="DN59" s="66"/>
      <c r="DO59" s="66"/>
      <c r="DP59" s="66"/>
      <c r="DQ59" s="66"/>
      <c r="DR59" s="66"/>
      <c r="DS59" s="66"/>
      <c r="DT59" s="66"/>
      <c r="DU59" s="66"/>
      <c r="DV59" s="66"/>
      <c r="DW59" s="66"/>
      <c r="DX59" s="66"/>
      <c r="DY59" s="66"/>
      <c r="DZ59" s="66"/>
      <c r="EA59" s="66"/>
      <c r="EB59" s="66"/>
      <c r="EC59" s="66"/>
      <c r="ED59" s="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>
        <v>300</v>
      </c>
      <c r="ES59" s="25">
        <v>400</v>
      </c>
      <c r="ET59" s="25">
        <v>500</v>
      </c>
      <c r="EU59" s="25">
        <v>600</v>
      </c>
      <c r="EV59" s="25">
        <v>600</v>
      </c>
      <c r="EW59" s="25">
        <v>600</v>
      </c>
      <c r="EX59" s="25"/>
      <c r="EY59" s="46"/>
      <c r="EZ59" s="16"/>
      <c r="FA59" s="46"/>
      <c r="FB59" s="46"/>
    </row>
    <row r="60" spans="2:167" s="26" customFormat="1">
      <c r="B60" s="3" t="s">
        <v>339</v>
      </c>
      <c r="C60" s="23"/>
      <c r="D60" s="23"/>
      <c r="E60" s="23"/>
      <c r="F60" s="23"/>
      <c r="G60" s="23"/>
      <c r="H60" s="23"/>
      <c r="I60" s="25"/>
      <c r="J60" s="25"/>
      <c r="K60" s="25"/>
      <c r="L60" s="25"/>
      <c r="M60" s="25"/>
      <c r="N60" s="25"/>
      <c r="O60" s="25"/>
      <c r="P60" s="25"/>
      <c r="Q60" s="68">
        <f>Q8+Q4+Q5-SUM(Q14:Q47)</f>
        <v>2736</v>
      </c>
      <c r="R60" s="68">
        <f>R8+R4+R5-SUM(R14:R47)</f>
        <v>425</v>
      </c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93"/>
      <c r="AX60" s="66">
        <v>1354</v>
      </c>
      <c r="AY60" s="66">
        <v>1389</v>
      </c>
      <c r="AZ60" s="66">
        <v>1247</v>
      </c>
      <c r="BA60" s="66">
        <v>1287</v>
      </c>
      <c r="BB60" s="66">
        <v>1332</v>
      </c>
      <c r="BC60" s="66">
        <v>1387.7282626022334</v>
      </c>
      <c r="BD60" s="66">
        <v>1301.2717373977657</v>
      </c>
      <c r="BE60" s="66">
        <v>1442</v>
      </c>
      <c r="BF60" s="66">
        <v>1278</v>
      </c>
      <c r="BG60" s="66">
        <v>1338</v>
      </c>
      <c r="BH60" s="66">
        <v>1286.2578675886843</v>
      </c>
      <c r="BI60" s="66">
        <v>1242.1465217449652</v>
      </c>
      <c r="BJ60" s="66"/>
      <c r="BK60" s="66"/>
      <c r="BL60" s="66"/>
      <c r="BM60" s="66"/>
      <c r="BN60" s="66"/>
      <c r="BO60" s="66"/>
      <c r="BP60" s="66"/>
      <c r="BQ60" s="66"/>
      <c r="BR60" s="66"/>
      <c r="BS60" s="66"/>
      <c r="BT60" s="66"/>
      <c r="BU60" s="66"/>
      <c r="BV60" s="25"/>
      <c r="BW60" s="66"/>
      <c r="BX60" s="66"/>
      <c r="BY60" s="66"/>
      <c r="BZ60" s="66"/>
      <c r="CA60" s="66"/>
      <c r="CB60" s="66"/>
      <c r="CC60" s="66"/>
      <c r="CD60" s="66"/>
      <c r="CE60" s="66"/>
      <c r="CF60" s="66"/>
      <c r="CG60" s="66"/>
      <c r="CH60" s="66"/>
      <c r="CI60" s="66"/>
      <c r="CJ60" s="66"/>
      <c r="CK60" s="66"/>
      <c r="CL60" s="66"/>
      <c r="CM60" s="66"/>
      <c r="CN60" s="66"/>
      <c r="CO60" s="66"/>
      <c r="CP60" s="66"/>
      <c r="CQ60" s="66"/>
      <c r="CR60" s="66"/>
      <c r="CS60" s="66"/>
      <c r="CT60" s="66"/>
      <c r="CU60" s="66"/>
      <c r="CV60" s="66"/>
      <c r="CW60" s="66"/>
      <c r="CX60" s="66"/>
      <c r="CY60" s="66"/>
      <c r="CZ60" s="66"/>
      <c r="DA60" s="66"/>
      <c r="DB60" s="66"/>
      <c r="DC60" s="66"/>
      <c r="DD60" s="66"/>
      <c r="DE60" s="66"/>
      <c r="DF60" s="66"/>
      <c r="DG60" s="66"/>
      <c r="DH60" s="66"/>
      <c r="DI60" s="66"/>
      <c r="DJ60" s="66"/>
      <c r="DK60" s="66"/>
      <c r="DL60" s="66"/>
      <c r="DM60" s="66"/>
      <c r="DN60" s="66"/>
      <c r="DO60" s="66"/>
      <c r="DP60" s="66"/>
      <c r="DQ60" s="66"/>
      <c r="DR60" s="66">
        <v>787</v>
      </c>
      <c r="DS60" s="66"/>
      <c r="DT60" s="66"/>
      <c r="DU60" s="66"/>
      <c r="DV60" s="66"/>
      <c r="DW60" s="66"/>
      <c r="DX60" s="66"/>
      <c r="DY60" s="66"/>
      <c r="DZ60" s="66"/>
      <c r="EA60" s="66"/>
      <c r="EB60" s="66"/>
      <c r="EC60" s="66"/>
      <c r="ED60" s="5"/>
      <c r="EE60" s="25">
        <v>7640</v>
      </c>
      <c r="EF60" s="25">
        <v>6710</v>
      </c>
      <c r="EG60" s="25">
        <v>6004</v>
      </c>
      <c r="EH60" s="25">
        <f>SUM(AX60:BA60)</f>
        <v>5277</v>
      </c>
      <c r="EI60" s="25">
        <f>SUM(BB60:BE60)</f>
        <v>5462.9999999999991</v>
      </c>
      <c r="EJ60" s="25">
        <f>SUM(BF60:BI60)</f>
        <v>5144.4043893336493</v>
      </c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46"/>
      <c r="EZ60" s="16"/>
      <c r="FA60" s="46"/>
      <c r="FB60" s="46"/>
    </row>
    <row r="61" spans="2:167" s="26" customFormat="1">
      <c r="B61" s="3" t="s">
        <v>18</v>
      </c>
      <c r="C61" s="23"/>
      <c r="D61" s="23"/>
      <c r="E61" s="23"/>
      <c r="F61" s="23"/>
      <c r="G61" s="23"/>
      <c r="H61" s="23"/>
      <c r="I61" s="27">
        <f t="shared" ref="I61:P61" si="72">I8+I4+I5-SUM(I14:I47)</f>
        <v>4630</v>
      </c>
      <c r="J61" s="27">
        <f t="shared" si="72"/>
        <v>4141</v>
      </c>
      <c r="K61" s="27">
        <f t="shared" si="72"/>
        <v>4030</v>
      </c>
      <c r="L61" s="27">
        <f t="shared" si="72"/>
        <v>3927</v>
      </c>
      <c r="M61" s="27">
        <f t="shared" si="72"/>
        <v>3743</v>
      </c>
      <c r="N61" s="27">
        <f t="shared" si="72"/>
        <v>3798</v>
      </c>
      <c r="O61" s="27">
        <f t="shared" si="72"/>
        <v>2982</v>
      </c>
      <c r="P61" s="27">
        <f t="shared" si="72"/>
        <v>3067</v>
      </c>
      <c r="Q61" s="46"/>
      <c r="R61" s="27"/>
      <c r="S61" s="27">
        <f>+BV61+BW61</f>
        <v>2462</v>
      </c>
      <c r="T61" s="27">
        <f>+BY61+BX61</f>
        <v>2285</v>
      </c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93"/>
      <c r="AX61" s="93"/>
      <c r="AY61" s="93"/>
      <c r="AZ61" s="93"/>
      <c r="BA61" s="93"/>
      <c r="BB61" s="93"/>
      <c r="BC61" s="93"/>
      <c r="BD61" s="93"/>
      <c r="BE61" s="93"/>
      <c r="BF61" s="93"/>
      <c r="BG61" s="93"/>
      <c r="BH61" s="25">
        <f t="shared" ref="BH61:BT61" si="73">BH4+BH5+BH8-SUM(BH14:BH47)</f>
        <v>1759.910722056241</v>
      </c>
      <c r="BI61" s="25">
        <f t="shared" si="73"/>
        <v>1801.2622756988276</v>
      </c>
      <c r="BJ61" s="25">
        <f t="shared" si="73"/>
        <v>1781</v>
      </c>
      <c r="BK61" s="25">
        <f t="shared" si="73"/>
        <v>1810</v>
      </c>
      <c r="BL61" s="25">
        <f t="shared" si="73"/>
        <v>1740</v>
      </c>
      <c r="BM61" s="25">
        <f t="shared" si="73"/>
        <v>1899</v>
      </c>
      <c r="BN61" s="25">
        <f t="shared" si="73"/>
        <v>1487</v>
      </c>
      <c r="BO61" s="25">
        <f t="shared" si="73"/>
        <v>1492</v>
      </c>
      <c r="BP61" s="25">
        <f t="shared" si="73"/>
        <v>1483</v>
      </c>
      <c r="BQ61" s="25">
        <f t="shared" si="73"/>
        <v>1584</v>
      </c>
      <c r="BR61" s="25">
        <f t="shared" si="73"/>
        <v>1319</v>
      </c>
      <c r="BS61" s="25">
        <f t="shared" si="73"/>
        <v>1417</v>
      </c>
      <c r="BT61" s="25">
        <f t="shared" si="73"/>
        <v>1311</v>
      </c>
      <c r="BU61" s="25">
        <f t="shared" ref="BU61:CC61" si="74">BU4+BU5+BU7+BU8-SUM(BU14:BU60)</f>
        <v>1192</v>
      </c>
      <c r="BV61" s="25">
        <f t="shared" si="74"/>
        <v>1215</v>
      </c>
      <c r="BW61" s="25">
        <f t="shared" si="74"/>
        <v>1247</v>
      </c>
      <c r="BX61" s="25">
        <f t="shared" si="74"/>
        <v>1193</v>
      </c>
      <c r="BY61" s="25">
        <f t="shared" si="74"/>
        <v>1092</v>
      </c>
      <c r="BZ61" s="25">
        <f t="shared" si="74"/>
        <v>1126</v>
      </c>
      <c r="CA61" s="25">
        <f t="shared" si="74"/>
        <v>1106</v>
      </c>
      <c r="CB61" s="25">
        <f t="shared" si="74"/>
        <v>1027</v>
      </c>
      <c r="CC61" s="25">
        <f t="shared" si="74"/>
        <v>1127</v>
      </c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5"/>
      <c r="EE61" s="25"/>
      <c r="EF61" s="25"/>
      <c r="EG61" s="25"/>
      <c r="EH61" s="25"/>
      <c r="EI61" s="25"/>
      <c r="EJ61" s="25">
        <f>SUM(K61:L61)</f>
        <v>7957</v>
      </c>
      <c r="EK61" s="25">
        <f>SUM(M61:N61)</f>
        <v>7541</v>
      </c>
      <c r="EL61" s="25">
        <f>SUM(BN61:BQ61)</f>
        <v>6046</v>
      </c>
      <c r="EM61" s="25">
        <f>SUM(BR61:BU61)</f>
        <v>5239</v>
      </c>
      <c r="EN61" s="25">
        <f>SUM(BV61:BY61)</f>
        <v>4747</v>
      </c>
      <c r="EO61" s="25">
        <f>SUM(BZ61:CC61)</f>
        <v>4386</v>
      </c>
      <c r="EP61" s="25"/>
      <c r="EQ61" s="25"/>
      <c r="ER61" s="25">
        <f t="shared" ref="ER61:EW61" si="75">EQ61*0.9</f>
        <v>0</v>
      </c>
      <c r="ES61" s="25">
        <f t="shared" si="75"/>
        <v>0</v>
      </c>
      <c r="ET61" s="25">
        <f t="shared" si="75"/>
        <v>0</v>
      </c>
      <c r="EU61" s="25">
        <f t="shared" si="75"/>
        <v>0</v>
      </c>
      <c r="EV61" s="25">
        <f t="shared" si="75"/>
        <v>0</v>
      </c>
      <c r="EW61" s="25">
        <f t="shared" si="75"/>
        <v>0</v>
      </c>
      <c r="EX61" s="25">
        <f>464+93+195+337+1758</f>
        <v>2847</v>
      </c>
      <c r="EY61" s="25">
        <f>1576+2+294+224+106+382</f>
        <v>2584</v>
      </c>
      <c r="EZ61" s="20"/>
      <c r="FA61" s="46"/>
      <c r="FB61" s="46"/>
      <c r="FD61" s="97"/>
    </row>
    <row r="62" spans="2:167" s="17" customFormat="1">
      <c r="B62" s="17" t="s">
        <v>63</v>
      </c>
      <c r="C62" s="69">
        <v>12810</v>
      </c>
      <c r="D62" s="69">
        <v>14380</v>
      </c>
      <c r="E62" s="27">
        <v>14526</v>
      </c>
      <c r="F62" s="27">
        <v>14996</v>
      </c>
      <c r="G62" s="27"/>
      <c r="H62" s="27"/>
      <c r="I62" s="27">
        <f t="shared" ref="I62:Q62" si="76">+I4+I5+I6+I8</f>
        <v>16622</v>
      </c>
      <c r="J62" s="27">
        <f t="shared" si="76"/>
        <v>18889</v>
      </c>
      <c r="K62" s="27">
        <f t="shared" si="76"/>
        <v>19849</v>
      </c>
      <c r="L62" s="27">
        <f t="shared" si="76"/>
        <v>22192</v>
      </c>
      <c r="M62" s="27">
        <f t="shared" si="76"/>
        <v>22827</v>
      </c>
      <c r="N62" s="27">
        <f t="shared" si="76"/>
        <v>23306</v>
      </c>
      <c r="O62" s="27">
        <f t="shared" si="76"/>
        <v>22004</v>
      </c>
      <c r="P62" s="27">
        <f t="shared" si="76"/>
        <v>23613</v>
      </c>
      <c r="Q62" s="27">
        <f t="shared" si="76"/>
        <v>24006</v>
      </c>
      <c r="R62" s="27">
        <f>R6+R3</f>
        <v>25216</v>
      </c>
      <c r="S62" s="27">
        <f>SUM(S14:S61)+S6</f>
        <v>24636</v>
      </c>
      <c r="T62" s="27">
        <f>SUM(T14:T61)+T6</f>
        <v>22767</v>
      </c>
      <c r="U62" s="27">
        <f>SUM(U14:U61)+U6</f>
        <v>19439</v>
      </c>
      <c r="V62" s="27">
        <f>SUM(V14:V61)+V6</f>
        <v>18737</v>
      </c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48"/>
      <c r="AX62" s="48"/>
      <c r="AY62" s="24"/>
      <c r="AZ62" s="24"/>
      <c r="BA62" s="24"/>
      <c r="BB62" s="24"/>
      <c r="BC62" s="24"/>
      <c r="BD62" s="24"/>
      <c r="BE62" s="24"/>
      <c r="BF62" s="24"/>
      <c r="BG62" s="24"/>
      <c r="BH62" s="27">
        <f t="shared" ref="BH62:BU62" si="77">SUM(BH14:BH61)+BH6</f>
        <v>12262.168589644923</v>
      </c>
      <c r="BI62" s="27">
        <f t="shared" si="77"/>
        <v>13158.408797443793</v>
      </c>
      <c r="BJ62" s="27">
        <f t="shared" si="77"/>
        <v>11726</v>
      </c>
      <c r="BK62" s="27">
        <f t="shared" si="77"/>
        <v>11849</v>
      </c>
      <c r="BL62" s="27">
        <f t="shared" si="77"/>
        <v>11476</v>
      </c>
      <c r="BM62" s="27">
        <f t="shared" si="77"/>
        <v>12538</v>
      </c>
      <c r="BN62" s="27">
        <f t="shared" si="77"/>
        <v>11082</v>
      </c>
      <c r="BO62" s="27">
        <f t="shared" si="77"/>
        <v>11362</v>
      </c>
      <c r="BP62" s="27">
        <f t="shared" si="77"/>
        <v>11503</v>
      </c>
      <c r="BQ62" s="27">
        <f t="shared" si="77"/>
        <v>12516</v>
      </c>
      <c r="BR62" s="27">
        <f t="shared" si="77"/>
        <v>11757</v>
      </c>
      <c r="BS62" s="27">
        <f t="shared" si="77"/>
        <v>12622</v>
      </c>
      <c r="BT62" s="27">
        <f t="shared" si="77"/>
        <v>12564</v>
      </c>
      <c r="BU62" s="27">
        <f t="shared" si="77"/>
        <v>12652</v>
      </c>
      <c r="BV62" s="27">
        <f>SUM(BV14:BV60)+BV6</f>
        <v>11030</v>
      </c>
      <c r="BW62" s="27">
        <f t="shared" ref="BW62:CC62" si="78">SUM(BW14:BW61)+BW6</f>
        <v>12391</v>
      </c>
      <c r="BX62" s="27">
        <f t="shared" si="78"/>
        <v>11491</v>
      </c>
      <c r="BY62" s="27">
        <f t="shared" si="78"/>
        <v>11346</v>
      </c>
      <c r="BZ62" s="27">
        <f t="shared" si="78"/>
        <v>11120</v>
      </c>
      <c r="CA62" s="27">
        <f t="shared" si="78"/>
        <v>10551</v>
      </c>
      <c r="CB62" s="27">
        <f t="shared" si="78"/>
        <v>9821</v>
      </c>
      <c r="CC62" s="27">
        <f t="shared" si="78"/>
        <v>11039</v>
      </c>
      <c r="CD62" s="27"/>
      <c r="CE62" s="27"/>
      <c r="CF62" s="27"/>
      <c r="CG62" s="27"/>
      <c r="CH62" s="27"/>
      <c r="CI62" s="27"/>
      <c r="CJ62" s="27"/>
      <c r="CK62" s="27"/>
      <c r="CL62" s="27"/>
      <c r="CM62" s="27"/>
      <c r="CN62" s="27"/>
      <c r="CO62" s="27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7"/>
      <c r="DA62" s="27"/>
      <c r="DB62" s="27"/>
      <c r="DC62" s="27"/>
      <c r="DD62" s="27"/>
      <c r="DE62" s="27"/>
      <c r="DF62" s="27"/>
      <c r="DG62" s="27"/>
      <c r="DH62" s="27"/>
      <c r="DI62" s="27"/>
      <c r="DJ62" s="27"/>
      <c r="DK62" s="27"/>
      <c r="DL62" s="27"/>
      <c r="DM62" s="27"/>
      <c r="DN62" s="27"/>
      <c r="DO62" s="27"/>
      <c r="DP62" s="27"/>
      <c r="DQ62" s="27"/>
      <c r="DR62" s="27"/>
      <c r="DS62" s="27"/>
      <c r="DT62" s="27"/>
      <c r="DU62" s="27"/>
      <c r="DV62" s="27"/>
      <c r="DW62" s="27"/>
      <c r="DX62" s="27"/>
      <c r="DY62" s="27"/>
      <c r="DZ62" s="27"/>
      <c r="EA62" s="27"/>
      <c r="EB62" s="27"/>
      <c r="EC62" s="27"/>
      <c r="EE62" s="27"/>
      <c r="EF62" s="27">
        <v>26066</v>
      </c>
      <c r="EG62" s="27">
        <v>27190</v>
      </c>
      <c r="EH62" s="27">
        <v>29522</v>
      </c>
      <c r="EI62" s="27">
        <f>I62+J62</f>
        <v>35511</v>
      </c>
      <c r="EJ62" s="27">
        <f>L62+K62</f>
        <v>42041</v>
      </c>
      <c r="EK62" s="27">
        <f>N62+M62</f>
        <v>46133</v>
      </c>
      <c r="EL62" s="27">
        <f>SUM(EL14:EL61,EL6)</f>
        <v>46463</v>
      </c>
      <c r="EM62" s="27">
        <f>SUM(EM14:EM61,EM6)</f>
        <v>49595</v>
      </c>
      <c r="EN62" s="27">
        <f>SUM(EN14:EN61)+EN6</f>
        <v>47326</v>
      </c>
      <c r="EO62" s="27">
        <f>EO3+EO6</f>
        <v>42531</v>
      </c>
      <c r="EP62" s="27">
        <f t="shared" ref="EP62" si="79">SUM(EP14:EP61)+EP6</f>
        <v>30432</v>
      </c>
      <c r="EQ62" s="27">
        <v>46780</v>
      </c>
      <c r="ER62" s="27">
        <v>47462</v>
      </c>
      <c r="ES62" s="27">
        <v>47581</v>
      </c>
      <c r="ET62" s="27">
        <v>48149</v>
      </c>
      <c r="EU62" s="27">
        <v>45104</v>
      </c>
      <c r="EV62" s="27">
        <v>46273</v>
      </c>
      <c r="EW62" s="27">
        <v>51837</v>
      </c>
      <c r="EX62" s="27">
        <f>SUM(EX9:EX61)+EX6</f>
        <v>58323</v>
      </c>
      <c r="EY62" s="27">
        <f>SUM(EY9:EY61)+EY6</f>
        <v>62801</v>
      </c>
      <c r="EZ62" s="27">
        <f>SUM(EZ9:EZ61)+EZ6</f>
        <v>59812.549999999988</v>
      </c>
      <c r="FA62" s="48"/>
      <c r="FB62" s="48"/>
    </row>
    <row r="63" spans="2:167">
      <c r="B63" s="15" t="s">
        <v>64</v>
      </c>
      <c r="C63" s="70"/>
      <c r="D63" s="70"/>
      <c r="E63" s="25">
        <v>790</v>
      </c>
      <c r="F63" s="25">
        <v>860</v>
      </c>
      <c r="G63" s="70">
        <v>710</v>
      </c>
      <c r="H63" s="25"/>
      <c r="I63" s="25">
        <v>710</v>
      </c>
      <c r="J63" s="25">
        <f>1447-I63</f>
        <v>737</v>
      </c>
      <c r="K63" s="25">
        <v>727</v>
      </c>
      <c r="L63" s="25">
        <f>1466-K63</f>
        <v>739</v>
      </c>
      <c r="M63" s="25">
        <f>1191-492-74-22-2</f>
        <v>601</v>
      </c>
      <c r="N63" s="25">
        <f>2243-M63-259-722-55-5</f>
        <v>601</v>
      </c>
      <c r="O63" s="25">
        <v>1136</v>
      </c>
      <c r="P63" s="25">
        <f>+O63+15</f>
        <v>1151</v>
      </c>
      <c r="Q63" s="25">
        <v>1116</v>
      </c>
      <c r="R63" s="25">
        <f>2100-Q63</f>
        <v>984</v>
      </c>
      <c r="S63" s="25">
        <v>878</v>
      </c>
      <c r="T63" s="25">
        <f>1694-S63</f>
        <v>816</v>
      </c>
      <c r="U63" s="25"/>
      <c r="V63" s="25"/>
      <c r="W63" s="25"/>
      <c r="X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EE63" s="25"/>
      <c r="EF63" s="25"/>
      <c r="EG63" s="25"/>
      <c r="EH63" s="25">
        <v>1570</v>
      </c>
      <c r="EI63" s="25">
        <f>I63+J63</f>
        <v>1447</v>
      </c>
      <c r="EJ63" s="25">
        <f>L63+K63</f>
        <v>1466</v>
      </c>
      <c r="EK63" s="25">
        <f>N63+M63</f>
        <v>1202</v>
      </c>
      <c r="EL63" s="25">
        <f>SUM(O63:P63)</f>
        <v>2287</v>
      </c>
      <c r="EM63" s="25">
        <f>SUM(Q63:R63)</f>
        <v>2100</v>
      </c>
      <c r="EN63" s="25">
        <f>T63+S63</f>
        <v>1694</v>
      </c>
      <c r="EO63" s="25">
        <v>1582</v>
      </c>
      <c r="EP63" s="25">
        <f t="shared" ref="EP63:EW63" si="80">EO63</f>
        <v>1582</v>
      </c>
      <c r="EQ63" s="25">
        <f t="shared" si="80"/>
        <v>1582</v>
      </c>
      <c r="ER63" s="25">
        <f t="shared" si="80"/>
        <v>1582</v>
      </c>
      <c r="ES63" s="25">
        <f t="shared" si="80"/>
        <v>1582</v>
      </c>
      <c r="ET63" s="25">
        <f t="shared" si="80"/>
        <v>1582</v>
      </c>
      <c r="EU63" s="25">
        <f t="shared" si="80"/>
        <v>1582</v>
      </c>
      <c r="EV63" s="25">
        <f t="shared" si="80"/>
        <v>1582</v>
      </c>
      <c r="EW63" s="25">
        <f t="shared" si="80"/>
        <v>1582</v>
      </c>
      <c r="EX63" s="25">
        <v>2020</v>
      </c>
      <c r="EY63" s="23">
        <v>3049</v>
      </c>
    </row>
    <row r="64" spans="2:167" s="17" customFormat="1">
      <c r="B64" s="15" t="s">
        <v>13</v>
      </c>
      <c r="C64" s="25">
        <v>2895</v>
      </c>
      <c r="D64" s="25">
        <v>3202</v>
      </c>
      <c r="E64" s="25">
        <v>3193</v>
      </c>
      <c r="F64" s="25">
        <v>3363</v>
      </c>
      <c r="G64" s="25">
        <v>3760</v>
      </c>
      <c r="H64" s="25">
        <v>3958</v>
      </c>
      <c r="I64" s="25">
        <v>4348</v>
      </c>
      <c r="J64" s="25">
        <f>9304-I64</f>
        <v>4956</v>
      </c>
      <c r="K64" s="25">
        <v>4934</v>
      </c>
      <c r="L64" s="25">
        <f>10616-K64</f>
        <v>5682</v>
      </c>
      <c r="M64" s="25">
        <v>5629</v>
      </c>
      <c r="N64" s="71">
        <f>13743-M64</f>
        <v>8114</v>
      </c>
      <c r="O64" s="25">
        <v>6532</v>
      </c>
      <c r="P64" s="25">
        <f>O64+597</f>
        <v>7129</v>
      </c>
      <c r="Q64" s="25">
        <v>7100</v>
      </c>
      <c r="R64" s="25">
        <f>14615-Q64</f>
        <v>7515</v>
      </c>
      <c r="S64" s="25">
        <v>6870</v>
      </c>
      <c r="T64" s="25">
        <f>13293-S64</f>
        <v>6423</v>
      </c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93"/>
      <c r="AX64" s="93"/>
      <c r="AY64" s="93"/>
      <c r="AZ64" s="93"/>
      <c r="BA64" s="93"/>
      <c r="BB64" s="93"/>
      <c r="BC64" s="93"/>
      <c r="BD64" s="93"/>
      <c r="BE64" s="93"/>
      <c r="BF64" s="93"/>
      <c r="BG64" s="93"/>
      <c r="BH64" s="93"/>
      <c r="BI64" s="93"/>
      <c r="BJ64" s="93"/>
      <c r="BK64" s="93"/>
      <c r="BL64" s="93"/>
      <c r="BM64" s="93"/>
      <c r="BN64" s="93"/>
      <c r="BO64" s="93"/>
      <c r="BP64" s="93"/>
      <c r="BQ64" s="93"/>
      <c r="BR64" s="93"/>
      <c r="BS64" s="93"/>
      <c r="BT64" s="94"/>
      <c r="BU64" s="93"/>
      <c r="BV64" s="93"/>
      <c r="BW64" s="93"/>
      <c r="BX64" s="93"/>
      <c r="BY64" s="93"/>
      <c r="BZ64" s="93"/>
      <c r="CA64" s="93"/>
      <c r="CB64" s="93"/>
      <c r="CC64" s="93"/>
      <c r="CD64" s="93"/>
      <c r="CE64" s="93"/>
      <c r="CF64" s="93"/>
      <c r="CG64" s="93"/>
      <c r="CH64" s="93"/>
      <c r="CI64" s="93"/>
      <c r="CJ64" s="93"/>
      <c r="CK64" s="93"/>
      <c r="CL64" s="93"/>
      <c r="CM64" s="93"/>
      <c r="CN64" s="93"/>
      <c r="CO64" s="93"/>
      <c r="CP64" s="93"/>
      <c r="CQ64" s="93"/>
      <c r="CR64" s="93"/>
      <c r="CS64" s="93"/>
      <c r="CT64" s="93"/>
      <c r="CU64" s="93"/>
      <c r="CV64" s="93"/>
      <c r="CW64" s="93"/>
      <c r="CX64" s="93"/>
      <c r="CY64" s="93"/>
      <c r="CZ64" s="93"/>
      <c r="DA64" s="93"/>
      <c r="DB64" s="93"/>
      <c r="DC64" s="93"/>
      <c r="DD64" s="93"/>
      <c r="DE64" s="93"/>
      <c r="DF64" s="93"/>
      <c r="DG64" s="93"/>
      <c r="DH64" s="93"/>
      <c r="DI64" s="93"/>
      <c r="DJ64" s="93"/>
      <c r="DK64" s="93"/>
      <c r="DL64" s="93"/>
      <c r="DM64" s="93"/>
      <c r="DN64" s="93"/>
      <c r="DO64" s="93"/>
      <c r="DP64" s="93"/>
      <c r="DQ64" s="93"/>
      <c r="DR64" s="93"/>
      <c r="DS64" s="93"/>
      <c r="DT64" s="93"/>
      <c r="DU64" s="93"/>
      <c r="DV64" s="93"/>
      <c r="DW64" s="93"/>
      <c r="DX64" s="93"/>
      <c r="DY64" s="93"/>
      <c r="DZ64" s="93"/>
      <c r="EA64" s="93"/>
      <c r="EB64" s="93"/>
      <c r="EC64" s="93"/>
      <c r="ED64" s="5"/>
      <c r="EE64" s="25"/>
      <c r="EF64" s="25">
        <v>5984</v>
      </c>
      <c r="EG64" s="25">
        <v>6097</v>
      </c>
      <c r="EH64" s="25">
        <v>7718</v>
      </c>
      <c r="EI64" s="25">
        <f>I64+J64</f>
        <v>9304</v>
      </c>
      <c r="EJ64" s="25">
        <f>L64+K64</f>
        <v>10616</v>
      </c>
      <c r="EK64" s="25">
        <f>N64+M64</f>
        <v>13743</v>
      </c>
      <c r="EL64" s="25">
        <f>SUM(O64:P64)</f>
        <v>13661</v>
      </c>
      <c r="EM64" s="25">
        <f>SUM(Q64:R64)</f>
        <v>14615</v>
      </c>
      <c r="EN64" s="25">
        <f>T64+S64</f>
        <v>13293</v>
      </c>
      <c r="EO64" s="25">
        <v>11942</v>
      </c>
      <c r="EP64" s="25">
        <f t="shared" ref="EP64:EW64" si="81">EP62-EP65+EP63</f>
        <v>32014</v>
      </c>
      <c r="EQ64" s="25">
        <f t="shared" si="81"/>
        <v>48362</v>
      </c>
      <c r="ER64" s="25">
        <f t="shared" si="81"/>
        <v>49044</v>
      </c>
      <c r="ES64" s="25">
        <f t="shared" si="81"/>
        <v>49163</v>
      </c>
      <c r="ET64" s="25">
        <f t="shared" si="81"/>
        <v>49731</v>
      </c>
      <c r="EU64" s="25">
        <f t="shared" si="81"/>
        <v>46686</v>
      </c>
      <c r="EV64" s="25">
        <f t="shared" si="81"/>
        <v>47855</v>
      </c>
      <c r="EW64" s="25">
        <f t="shared" si="81"/>
        <v>53419</v>
      </c>
      <c r="EX64" s="25">
        <v>14567</v>
      </c>
      <c r="EY64" s="25">
        <v>18138</v>
      </c>
      <c r="FA64" s="48"/>
      <c r="FB64" s="48"/>
    </row>
    <row r="65" spans="2:231" s="17" customFormat="1">
      <c r="B65" s="15" t="s">
        <v>0</v>
      </c>
      <c r="C65" s="25">
        <v>9915</v>
      </c>
      <c r="D65" s="25">
        <v>11178</v>
      </c>
      <c r="E65" s="25">
        <v>11333</v>
      </c>
      <c r="F65" s="25">
        <v>11633</v>
      </c>
      <c r="G65" s="25">
        <v>10766</v>
      </c>
      <c r="H65" s="25">
        <v>11038</v>
      </c>
      <c r="I65" s="25">
        <f t="shared" ref="I65:N65" si="82">I62-I64+I63</f>
        <v>12984</v>
      </c>
      <c r="J65" s="25">
        <f t="shared" si="82"/>
        <v>14670</v>
      </c>
      <c r="K65" s="25">
        <f t="shared" si="82"/>
        <v>15642</v>
      </c>
      <c r="L65" s="25">
        <f t="shared" si="82"/>
        <v>17249</v>
      </c>
      <c r="M65" s="25">
        <f>M62-M64+M63</f>
        <v>17799</v>
      </c>
      <c r="N65" s="25">
        <f t="shared" si="82"/>
        <v>15793</v>
      </c>
      <c r="O65" s="25">
        <f t="shared" ref="O65:T65" si="83">O62-O64+O63</f>
        <v>16608</v>
      </c>
      <c r="P65" s="25">
        <f t="shared" si="83"/>
        <v>17635</v>
      </c>
      <c r="Q65" s="25">
        <f t="shared" si="83"/>
        <v>18022</v>
      </c>
      <c r="R65" s="25">
        <f t="shared" si="83"/>
        <v>18685</v>
      </c>
      <c r="S65" s="25">
        <f t="shared" si="83"/>
        <v>18644</v>
      </c>
      <c r="T65" s="25">
        <f t="shared" si="83"/>
        <v>17160</v>
      </c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93"/>
      <c r="AX65" s="93"/>
      <c r="AY65" s="93"/>
      <c r="AZ65" s="93"/>
      <c r="BA65" s="93"/>
      <c r="BB65" s="93"/>
      <c r="BC65" s="93"/>
      <c r="BD65" s="93"/>
      <c r="BE65" s="93"/>
      <c r="BF65" s="93"/>
      <c r="BG65" s="93"/>
      <c r="BH65" s="93"/>
      <c r="BI65" s="93"/>
      <c r="BJ65" s="93"/>
      <c r="BK65" s="93"/>
      <c r="BL65" s="93"/>
      <c r="BM65" s="93"/>
      <c r="BN65" s="93"/>
      <c r="BO65" s="93"/>
      <c r="BP65" s="93"/>
      <c r="BQ65" s="93"/>
      <c r="BR65" s="93"/>
      <c r="BS65" s="93"/>
      <c r="BT65" s="93"/>
      <c r="BU65" s="93"/>
      <c r="BV65" s="93"/>
      <c r="BW65" s="93"/>
      <c r="BX65" s="93"/>
      <c r="BY65" s="93"/>
      <c r="BZ65" s="93"/>
      <c r="CA65" s="93"/>
      <c r="CB65" s="93"/>
      <c r="CC65" s="93"/>
      <c r="CD65" s="93"/>
      <c r="CE65" s="93"/>
      <c r="CF65" s="93"/>
      <c r="CG65" s="93"/>
      <c r="CH65" s="93"/>
      <c r="CI65" s="93"/>
      <c r="CJ65" s="93"/>
      <c r="CK65" s="93"/>
      <c r="CL65" s="93"/>
      <c r="CM65" s="93"/>
      <c r="CN65" s="93"/>
      <c r="CO65" s="93"/>
      <c r="CP65" s="93"/>
      <c r="CQ65" s="93"/>
      <c r="CR65" s="93"/>
      <c r="CS65" s="93"/>
      <c r="CT65" s="93"/>
      <c r="CU65" s="93"/>
      <c r="CV65" s="93"/>
      <c r="CW65" s="93"/>
      <c r="CX65" s="93"/>
      <c r="CY65" s="93"/>
      <c r="CZ65" s="93"/>
      <c r="DA65" s="93"/>
      <c r="DB65" s="93"/>
      <c r="DC65" s="93"/>
      <c r="DD65" s="93"/>
      <c r="DE65" s="93"/>
      <c r="DF65" s="93"/>
      <c r="DG65" s="93"/>
      <c r="DH65" s="93"/>
      <c r="DI65" s="93"/>
      <c r="DJ65" s="93"/>
      <c r="DK65" s="93"/>
      <c r="DL65" s="93"/>
      <c r="DM65" s="93"/>
      <c r="DN65" s="93"/>
      <c r="DO65" s="93"/>
      <c r="DP65" s="93"/>
      <c r="DQ65" s="93"/>
      <c r="DR65" s="93"/>
      <c r="DS65" s="93"/>
      <c r="DT65" s="93"/>
      <c r="DU65" s="93"/>
      <c r="DV65" s="93"/>
      <c r="DW65" s="93"/>
      <c r="DX65" s="93"/>
      <c r="DY65" s="93"/>
      <c r="DZ65" s="93"/>
      <c r="EA65" s="93"/>
      <c r="EB65" s="93"/>
      <c r="EC65" s="93"/>
      <c r="ED65" s="5"/>
      <c r="EE65" s="25"/>
      <c r="EF65" s="25">
        <v>20082</v>
      </c>
      <c r="EG65" s="25">
        <v>21093</v>
      </c>
      <c r="EH65" s="25">
        <v>21804</v>
      </c>
      <c r="EI65" s="25">
        <f t="shared" ref="EI65:EJ65" si="84">EI62+EI63-EI64</f>
        <v>27654</v>
      </c>
      <c r="EJ65" s="25">
        <f t="shared" si="84"/>
        <v>32891</v>
      </c>
      <c r="EK65" s="25">
        <f>EK62+EK63-EK64</f>
        <v>33592</v>
      </c>
      <c r="EL65" s="25">
        <f>EL62+EL63-EL64</f>
        <v>35089</v>
      </c>
      <c r="EM65" s="25">
        <f>SUM(Q65:R65)</f>
        <v>36707</v>
      </c>
      <c r="EN65" s="25">
        <f>EN62+EN63-EN64</f>
        <v>35727</v>
      </c>
      <c r="EO65" s="25">
        <f>EO62+EO63-EO64</f>
        <v>32171</v>
      </c>
      <c r="EP65" s="25">
        <f t="shared" ref="EP65:EW65" si="85">EP62*EP84</f>
        <v>0</v>
      </c>
      <c r="EQ65" s="25">
        <f t="shared" si="85"/>
        <v>0</v>
      </c>
      <c r="ER65" s="25">
        <f t="shared" si="85"/>
        <v>0</v>
      </c>
      <c r="ES65" s="25">
        <f t="shared" si="85"/>
        <v>0</v>
      </c>
      <c r="ET65" s="25">
        <f t="shared" si="85"/>
        <v>0</v>
      </c>
      <c r="EU65" s="25">
        <f t="shared" si="85"/>
        <v>0</v>
      </c>
      <c r="EV65" s="25">
        <f t="shared" si="85"/>
        <v>0</v>
      </c>
      <c r="EW65" s="25">
        <f t="shared" si="85"/>
        <v>0</v>
      </c>
      <c r="EX65" s="25">
        <f>EX62+EX63-EX64</f>
        <v>45776</v>
      </c>
      <c r="EY65" s="25">
        <f>EY62+EY63-EY64</f>
        <v>47712</v>
      </c>
      <c r="FA65" s="48"/>
      <c r="FB65" s="48"/>
    </row>
    <row r="66" spans="2:231">
      <c r="B66" s="15" t="s">
        <v>186</v>
      </c>
      <c r="C66" s="25">
        <v>3658</v>
      </c>
      <c r="D66" s="25">
        <v>4159</v>
      </c>
      <c r="E66" s="25">
        <v>3983</v>
      </c>
      <c r="F66" s="25">
        <v>4292</v>
      </c>
      <c r="G66" s="25">
        <v>4000</v>
      </c>
      <c r="H66" s="25">
        <v>4338</v>
      </c>
      <c r="I66" s="25">
        <v>4409</v>
      </c>
      <c r="J66" s="25">
        <f>9625-I66</f>
        <v>5216</v>
      </c>
      <c r="K66" s="25">
        <v>5208</v>
      </c>
      <c r="L66" s="25">
        <f>10856-K66</f>
        <v>5648</v>
      </c>
      <c r="M66" s="25">
        <v>5552</v>
      </c>
      <c r="N66" s="71">
        <f>9327-M66</f>
        <v>3775</v>
      </c>
      <c r="O66" s="25">
        <v>4371</v>
      </c>
      <c r="P66" s="25">
        <f>O66+428</f>
        <v>4799</v>
      </c>
      <c r="Q66" s="25">
        <v>4567</v>
      </c>
      <c r="R66" s="25">
        <f>9475-Q66</f>
        <v>4908</v>
      </c>
      <c r="S66" s="25">
        <v>4546</v>
      </c>
      <c r="T66" s="25">
        <f>9488-S66</f>
        <v>4942</v>
      </c>
      <c r="U66" s="25"/>
      <c r="V66" s="25"/>
      <c r="W66" s="25"/>
      <c r="X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EE66" s="25"/>
      <c r="EF66" s="25">
        <v>7859</v>
      </c>
      <c r="EG66" s="25">
        <v>7817</v>
      </c>
      <c r="EH66" s="25">
        <v>8338</v>
      </c>
      <c r="EI66" s="25">
        <v>9507</v>
      </c>
      <c r="EJ66" s="25">
        <f>SUM(K66:L66)</f>
        <v>10856</v>
      </c>
      <c r="EK66" s="25">
        <f>N66+M66</f>
        <v>9327</v>
      </c>
      <c r="EL66" s="25">
        <f>SUM(O66:P66)</f>
        <v>9170</v>
      </c>
      <c r="EM66" s="25">
        <f t="shared" ref="EM66" si="86">SUM(Q66:R66)</f>
        <v>9475</v>
      </c>
      <c r="EN66" s="25">
        <f>T66+S66</f>
        <v>9488</v>
      </c>
      <c r="EO66" s="25">
        <v>8049</v>
      </c>
      <c r="EP66" s="25">
        <f t="shared" ref="EP66:EW66" si="87">EO66*0.99</f>
        <v>7968.51</v>
      </c>
      <c r="EQ66" s="25">
        <f t="shared" si="87"/>
        <v>7888.8249000000005</v>
      </c>
      <c r="ER66" s="25">
        <f t="shared" si="87"/>
        <v>7809.9366510000009</v>
      </c>
      <c r="ES66" s="25">
        <f t="shared" si="87"/>
        <v>7731.8372844900005</v>
      </c>
      <c r="ET66" s="25">
        <f t="shared" si="87"/>
        <v>7654.5189116451002</v>
      </c>
      <c r="EU66" s="25">
        <f t="shared" si="87"/>
        <v>7577.973722528649</v>
      </c>
      <c r="EV66" s="25">
        <f t="shared" si="87"/>
        <v>7502.1939853033628</v>
      </c>
      <c r="EW66" s="25">
        <f t="shared" si="87"/>
        <v>7427.1720454503293</v>
      </c>
      <c r="EX66" s="25">
        <v>9361</v>
      </c>
      <c r="EY66" s="25">
        <v>9444</v>
      </c>
    </row>
    <row r="67" spans="2:231" s="17" customFormat="1">
      <c r="B67" s="15" t="s">
        <v>185</v>
      </c>
      <c r="C67" s="25">
        <v>633</v>
      </c>
      <c r="D67" s="25">
        <v>727</v>
      </c>
      <c r="E67" s="25">
        <v>677</v>
      </c>
      <c r="F67" s="25">
        <v>721</v>
      </c>
      <c r="G67" s="25">
        <v>1059</v>
      </c>
      <c r="H67" s="25">
        <v>1026</v>
      </c>
      <c r="I67" s="25">
        <v>1145</v>
      </c>
      <c r="J67" s="25">
        <f>2288-I67</f>
        <v>1143</v>
      </c>
      <c r="K67" s="25">
        <v>1072</v>
      </c>
      <c r="L67" s="25">
        <f>2542-K67</f>
        <v>1470</v>
      </c>
      <c r="M67" s="25">
        <v>1237</v>
      </c>
      <c r="N67" s="25">
        <f>2453-M67</f>
        <v>1216</v>
      </c>
      <c r="O67" s="25">
        <v>1089</v>
      </c>
      <c r="P67" s="25">
        <f>O67+154</f>
        <v>1243</v>
      </c>
      <c r="Q67" s="25">
        <v>967</v>
      </c>
      <c r="R67" s="25">
        <f>2175-Q67</f>
        <v>1208</v>
      </c>
      <c r="S67" s="25">
        <v>871</v>
      </c>
      <c r="T67" s="25">
        <f>2874-S67</f>
        <v>2003</v>
      </c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93"/>
      <c r="AX67" s="93"/>
      <c r="AY67" s="93"/>
      <c r="AZ67" s="93"/>
      <c r="BA67" s="93"/>
      <c r="BB67" s="93"/>
      <c r="BC67" s="93"/>
      <c r="BD67" s="93"/>
      <c r="BE67" s="93"/>
      <c r="BF67" s="93"/>
      <c r="BG67" s="93"/>
      <c r="BH67" s="93"/>
      <c r="BI67" s="93"/>
      <c r="BJ67" s="93"/>
      <c r="BK67" s="93"/>
      <c r="BL67" s="93"/>
      <c r="BM67" s="93"/>
      <c r="BN67" s="93"/>
      <c r="BO67" s="93"/>
      <c r="BP67" s="93"/>
      <c r="BQ67" s="93"/>
      <c r="BR67" s="93"/>
      <c r="BS67" s="93"/>
      <c r="BT67" s="93"/>
      <c r="BU67" s="93"/>
      <c r="BV67" s="93"/>
      <c r="BW67" s="93"/>
      <c r="BX67" s="93"/>
      <c r="BY67" s="93"/>
      <c r="BZ67" s="93"/>
      <c r="CA67" s="93"/>
      <c r="CB67" s="93"/>
      <c r="CC67" s="93"/>
      <c r="CD67" s="93"/>
      <c r="CE67" s="93"/>
      <c r="CF67" s="93"/>
      <c r="CG67" s="93"/>
      <c r="CH67" s="93"/>
      <c r="CI67" s="93"/>
      <c r="CJ67" s="93"/>
      <c r="CK67" s="93"/>
      <c r="CL67" s="93"/>
      <c r="CM67" s="93"/>
      <c r="CN67" s="93"/>
      <c r="CO67" s="93"/>
      <c r="CP67" s="93"/>
      <c r="CQ67" s="93"/>
      <c r="CR67" s="93"/>
      <c r="CS67" s="93"/>
      <c r="CT67" s="93"/>
      <c r="CU67" s="93"/>
      <c r="CV67" s="93"/>
      <c r="CW67" s="93"/>
      <c r="CX67" s="93"/>
      <c r="CY67" s="93"/>
      <c r="CZ67" s="93"/>
      <c r="DA67" s="93"/>
      <c r="DB67" s="93"/>
      <c r="DC67" s="93"/>
      <c r="DD67" s="93"/>
      <c r="DE67" s="93"/>
      <c r="DF67" s="93"/>
      <c r="DG67" s="93"/>
      <c r="DH67" s="93"/>
      <c r="DI67" s="93"/>
      <c r="DJ67" s="93"/>
      <c r="DK67" s="93"/>
      <c r="DL67" s="93"/>
      <c r="DM67" s="93"/>
      <c r="DN67" s="93"/>
      <c r="DO67" s="93"/>
      <c r="DP67" s="93"/>
      <c r="DQ67" s="93"/>
      <c r="DR67" s="93"/>
      <c r="DS67" s="93"/>
      <c r="DT67" s="93"/>
      <c r="DU67" s="93"/>
      <c r="DV67" s="93"/>
      <c r="DW67" s="93"/>
      <c r="DX67" s="93"/>
      <c r="DY67" s="93"/>
      <c r="DZ67" s="93"/>
      <c r="EA67" s="93"/>
      <c r="EB67" s="93"/>
      <c r="EC67" s="93"/>
      <c r="ED67" s="5"/>
      <c r="EE67" s="25"/>
      <c r="EF67" s="25">
        <v>1193</v>
      </c>
      <c r="EG67" s="25">
        <v>1360</v>
      </c>
      <c r="EH67" s="25">
        <v>2085</v>
      </c>
      <c r="EI67" s="25">
        <v>2309</v>
      </c>
      <c r="EJ67" s="25">
        <f>SUM(K67:L67)</f>
        <v>2542</v>
      </c>
      <c r="EK67" s="25">
        <f>N67+M67</f>
        <v>2453</v>
      </c>
      <c r="EL67" s="25">
        <f>SUM(O67:P67)</f>
        <v>2332</v>
      </c>
      <c r="EM67" s="25">
        <f t="shared" ref="EM67" si="88">SUM(Q67:R67)</f>
        <v>2175</v>
      </c>
      <c r="EN67" s="25">
        <f>T67+S67</f>
        <v>2874</v>
      </c>
      <c r="EO67" s="25">
        <v>2342</v>
      </c>
      <c r="EP67" s="25">
        <f t="shared" ref="EP67:EW67" si="89">EO67*0.99</f>
        <v>2318.58</v>
      </c>
      <c r="EQ67" s="25">
        <f t="shared" si="89"/>
        <v>2295.3941999999997</v>
      </c>
      <c r="ER67" s="25">
        <f t="shared" si="89"/>
        <v>2272.4402579999996</v>
      </c>
      <c r="ES67" s="25">
        <f t="shared" si="89"/>
        <v>2249.7158554199996</v>
      </c>
      <c r="ET67" s="25">
        <f t="shared" si="89"/>
        <v>2227.2186968657998</v>
      </c>
      <c r="EU67" s="25">
        <f t="shared" si="89"/>
        <v>2204.9465098971418</v>
      </c>
      <c r="EV67" s="25">
        <f t="shared" si="89"/>
        <v>2182.8970447981706</v>
      </c>
      <c r="EW67" s="25">
        <f t="shared" si="89"/>
        <v>2161.0680743501889</v>
      </c>
      <c r="EX67" s="25">
        <v>2726</v>
      </c>
      <c r="EY67" s="25">
        <v>2663</v>
      </c>
      <c r="FA67" s="48"/>
      <c r="FB67" s="48"/>
    </row>
    <row r="68" spans="2:231">
      <c r="B68" s="15" t="s">
        <v>1</v>
      </c>
      <c r="C68" s="25">
        <v>2173</v>
      </c>
      <c r="D68" s="25">
        <v>2451</v>
      </c>
      <c r="E68" s="25">
        <v>2333</v>
      </c>
      <c r="F68" s="25">
        <v>2720</v>
      </c>
      <c r="G68" s="25">
        <v>2361</v>
      </c>
      <c r="H68" s="25">
        <v>2793</v>
      </c>
      <c r="I68" s="25">
        <v>2559</v>
      </c>
      <c r="J68" s="25">
        <f>5705-I68</f>
        <v>3146</v>
      </c>
      <c r="K68" s="72">
        <v>3063</v>
      </c>
      <c r="L68" s="72">
        <f>6589-K68</f>
        <v>3526</v>
      </c>
      <c r="M68" s="25">
        <v>3635</v>
      </c>
      <c r="N68" s="25">
        <f>8385-M68</f>
        <v>4750</v>
      </c>
      <c r="O68" s="25">
        <v>4107</v>
      </c>
      <c r="P68" s="25">
        <f>8845-O68</f>
        <v>4738</v>
      </c>
      <c r="Q68" s="25">
        <v>4518</v>
      </c>
      <c r="R68" s="25">
        <f>9874-Q68</f>
        <v>5356</v>
      </c>
      <c r="S68" s="25">
        <v>4471</v>
      </c>
      <c r="T68" s="25">
        <f>10026-S68</f>
        <v>5555</v>
      </c>
      <c r="U68" s="25"/>
      <c r="V68" s="25"/>
      <c r="W68" s="25"/>
      <c r="X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EE68" s="25"/>
      <c r="EF68" s="25">
        <v>4132</v>
      </c>
      <c r="EG68" s="25">
        <v>4624</v>
      </c>
      <c r="EH68" s="25">
        <v>5154</v>
      </c>
      <c r="EI68" s="25">
        <f>I68+J68</f>
        <v>5705</v>
      </c>
      <c r="EJ68" s="25">
        <f>L68+K68</f>
        <v>6589</v>
      </c>
      <c r="EK68" s="25">
        <f>N68+M68</f>
        <v>8385</v>
      </c>
      <c r="EL68" s="25">
        <f>SUM(O68:P68)</f>
        <v>8845</v>
      </c>
      <c r="EM68" s="25">
        <f t="shared" ref="EM68" si="90">SUM(Q68:R68)</f>
        <v>9874</v>
      </c>
      <c r="EN68" s="25">
        <f>T68+S68</f>
        <v>10026</v>
      </c>
      <c r="EO68" s="25">
        <v>8326</v>
      </c>
      <c r="EP68" s="25"/>
      <c r="EQ68" s="25"/>
      <c r="ER68" s="25"/>
      <c r="ES68" s="25"/>
      <c r="ET68" s="25"/>
      <c r="EU68" s="25"/>
      <c r="EV68" s="25"/>
      <c r="EW68" s="25"/>
      <c r="EX68" s="25">
        <v>12153</v>
      </c>
      <c r="EY68" s="23">
        <v>13708</v>
      </c>
    </row>
    <row r="69" spans="2:231">
      <c r="B69" s="15" t="s">
        <v>183</v>
      </c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>
        <f>736+472+2</f>
        <v>1210</v>
      </c>
      <c r="N69" s="25">
        <f>1560+976+6+58-M69</f>
        <v>1390</v>
      </c>
      <c r="O69" s="25"/>
      <c r="P69" s="25"/>
      <c r="Q69" s="25"/>
      <c r="R69" s="25"/>
      <c r="S69" s="25"/>
      <c r="T69" s="25"/>
      <c r="U69" s="25"/>
      <c r="V69" s="25"/>
      <c r="W69" s="25"/>
      <c r="X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EE69" s="25"/>
      <c r="EF69" s="25"/>
      <c r="EG69" s="25"/>
      <c r="EH69" s="25"/>
      <c r="EI69" s="25"/>
      <c r="EJ69" s="25">
        <f>M69+L69</f>
        <v>1210</v>
      </c>
      <c r="EK69" s="25">
        <f>N69+M69</f>
        <v>2600</v>
      </c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</row>
    <row r="70" spans="2:231">
      <c r="B70" s="3" t="s">
        <v>580</v>
      </c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>
        <f t="shared" ref="M70:Q70" si="91">SUM(M66:M68)-M69</f>
        <v>9214</v>
      </c>
      <c r="N70" s="25">
        <f t="shared" si="91"/>
        <v>8351</v>
      </c>
      <c r="O70" s="25">
        <f t="shared" si="91"/>
        <v>9567</v>
      </c>
      <c r="P70" s="25">
        <f t="shared" si="91"/>
        <v>10780</v>
      </c>
      <c r="Q70" s="25">
        <f t="shared" si="91"/>
        <v>10052</v>
      </c>
      <c r="R70" s="25">
        <f>SUM(R66:R68)-R69</f>
        <v>11472</v>
      </c>
      <c r="S70" s="25">
        <f>SUM(S66:S68)-S69</f>
        <v>9888</v>
      </c>
      <c r="T70" s="25">
        <f>SUM(T66:T68)-T69</f>
        <v>12500</v>
      </c>
      <c r="U70" s="25"/>
      <c r="V70" s="25"/>
      <c r="W70" s="25"/>
      <c r="X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EE70" s="25"/>
      <c r="EF70" s="25"/>
      <c r="EG70" s="25"/>
      <c r="EH70" s="25"/>
      <c r="EI70" s="25"/>
      <c r="EJ70" s="25">
        <f t="shared" ref="EJ70:EO70" si="92">SUM(EJ66:EJ68)-EJ69</f>
        <v>18777</v>
      </c>
      <c r="EK70" s="25">
        <f t="shared" si="92"/>
        <v>17565</v>
      </c>
      <c r="EL70" s="25">
        <f t="shared" si="92"/>
        <v>20347</v>
      </c>
      <c r="EM70" s="25">
        <f t="shared" si="92"/>
        <v>21524</v>
      </c>
      <c r="EN70" s="25">
        <f t="shared" si="92"/>
        <v>22388</v>
      </c>
      <c r="EO70" s="25">
        <f t="shared" si="92"/>
        <v>18717</v>
      </c>
      <c r="EP70" s="25">
        <f t="shared" ref="EP70:EW70" si="93">SUM(EP66:EP68)-EP69</f>
        <v>10287.09</v>
      </c>
      <c r="EQ70" s="25">
        <f t="shared" si="93"/>
        <v>10184.2191</v>
      </c>
      <c r="ER70" s="25">
        <f t="shared" si="93"/>
        <v>10082.376909000001</v>
      </c>
      <c r="ES70" s="25">
        <f t="shared" si="93"/>
        <v>9981.55313991</v>
      </c>
      <c r="ET70" s="25">
        <f t="shared" si="93"/>
        <v>9881.737608510899</v>
      </c>
      <c r="EU70" s="25">
        <f t="shared" si="93"/>
        <v>9782.9202324257913</v>
      </c>
      <c r="EV70" s="25">
        <f t="shared" si="93"/>
        <v>9685.0910301015338</v>
      </c>
      <c r="EW70" s="25">
        <f t="shared" si="93"/>
        <v>9588.2401198005173</v>
      </c>
      <c r="EX70" s="23">
        <f>SUM(EX66:EX68)</f>
        <v>24240</v>
      </c>
      <c r="EY70" s="23">
        <f>SUM(EY66:EY68)</f>
        <v>25815</v>
      </c>
    </row>
    <row r="71" spans="2:231" s="17" customFormat="1">
      <c r="B71" s="17" t="s">
        <v>149</v>
      </c>
      <c r="C71" s="27">
        <v>2833</v>
      </c>
      <c r="D71" s="27">
        <v>2960</v>
      </c>
      <c r="E71" s="27">
        <v>3701</v>
      </c>
      <c r="F71" s="27">
        <v>3249</v>
      </c>
      <c r="G71" s="27">
        <v>3527</v>
      </c>
      <c r="H71" s="27">
        <v>3239</v>
      </c>
      <c r="I71" s="27">
        <f>I65-I66-I67-I68</f>
        <v>4871</v>
      </c>
      <c r="J71" s="27">
        <f>J65-J66-J67-J68</f>
        <v>5165</v>
      </c>
      <c r="K71" s="27">
        <f>K65-K66-K67-K68</f>
        <v>6299</v>
      </c>
      <c r="L71" s="27">
        <f>L65-L66-L67-L68</f>
        <v>6605</v>
      </c>
      <c r="M71" s="27">
        <f t="shared" ref="M71:Q71" si="94">M65-M70</f>
        <v>8585</v>
      </c>
      <c r="N71" s="27">
        <f t="shared" si="94"/>
        <v>7442</v>
      </c>
      <c r="O71" s="27">
        <f t="shared" si="94"/>
        <v>7041</v>
      </c>
      <c r="P71" s="27">
        <f t="shared" si="94"/>
        <v>6855</v>
      </c>
      <c r="Q71" s="27">
        <f t="shared" si="94"/>
        <v>7970</v>
      </c>
      <c r="R71" s="27">
        <f>R65-R70</f>
        <v>7213</v>
      </c>
      <c r="S71" s="27">
        <f>S65-S70</f>
        <v>8756</v>
      </c>
      <c r="T71" s="27">
        <f>T65-T70</f>
        <v>4660</v>
      </c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93"/>
      <c r="AX71" s="93"/>
      <c r="AY71" s="93"/>
      <c r="AZ71" s="93"/>
      <c r="BA71" s="93"/>
      <c r="BB71" s="93"/>
      <c r="BC71" s="93"/>
      <c r="BD71" s="93"/>
      <c r="BE71" s="93"/>
      <c r="BF71" s="93"/>
      <c r="BG71" s="93"/>
      <c r="BH71" s="93"/>
      <c r="BI71" s="93"/>
      <c r="BJ71" s="93"/>
      <c r="BK71" s="93"/>
      <c r="BL71" s="93"/>
      <c r="BM71" s="93"/>
      <c r="BN71" s="93"/>
      <c r="BO71" s="93"/>
      <c r="BP71" s="93"/>
      <c r="BQ71" s="93"/>
      <c r="BR71" s="93"/>
      <c r="BS71" s="93"/>
      <c r="BT71" s="93"/>
      <c r="BU71" s="93"/>
      <c r="BV71" s="93"/>
      <c r="BW71" s="93"/>
      <c r="BX71" s="93"/>
      <c r="BY71" s="93"/>
      <c r="BZ71" s="93"/>
      <c r="CA71" s="93"/>
      <c r="CB71" s="93"/>
      <c r="CC71" s="93"/>
      <c r="CD71" s="93"/>
      <c r="CE71" s="93"/>
      <c r="CF71" s="93"/>
      <c r="CG71" s="93"/>
      <c r="CH71" s="93"/>
      <c r="CI71" s="93"/>
      <c r="CJ71" s="93"/>
      <c r="CK71" s="93"/>
      <c r="CL71" s="93"/>
      <c r="CM71" s="93"/>
      <c r="CN71" s="93"/>
      <c r="CO71" s="93"/>
      <c r="CP71" s="93"/>
      <c r="CQ71" s="93"/>
      <c r="CR71" s="93"/>
      <c r="CS71" s="93"/>
      <c r="CT71" s="93"/>
      <c r="CU71" s="93"/>
      <c r="CV71" s="93"/>
      <c r="CW71" s="93"/>
      <c r="CX71" s="93"/>
      <c r="CY71" s="93"/>
      <c r="CZ71" s="93"/>
      <c r="DA71" s="93"/>
      <c r="DB71" s="93"/>
      <c r="DC71" s="93"/>
      <c r="DD71" s="93"/>
      <c r="DE71" s="93"/>
      <c r="DF71" s="93"/>
      <c r="DG71" s="93"/>
      <c r="DH71" s="93"/>
      <c r="DI71" s="93"/>
      <c r="DJ71" s="93"/>
      <c r="DK71" s="93"/>
      <c r="DL71" s="93"/>
      <c r="DM71" s="93"/>
      <c r="DN71" s="93"/>
      <c r="DO71" s="93"/>
      <c r="DP71" s="93"/>
      <c r="DQ71" s="93"/>
      <c r="DR71" s="93"/>
      <c r="DS71" s="93"/>
      <c r="DT71" s="93"/>
      <c r="DU71" s="93"/>
      <c r="DV71" s="93"/>
      <c r="DW71" s="93"/>
      <c r="DX71" s="93"/>
      <c r="DY71" s="93"/>
      <c r="DZ71" s="93"/>
      <c r="EA71" s="93"/>
      <c r="EB71" s="93"/>
      <c r="EC71" s="93"/>
      <c r="ED71" s="5"/>
      <c r="EE71" s="27"/>
      <c r="EF71" s="27">
        <v>5223</v>
      </c>
      <c r="EG71" s="27">
        <v>5793</v>
      </c>
      <c r="EH71" s="27">
        <v>6766</v>
      </c>
      <c r="EI71" s="27">
        <f>EI65-EI66-EI67-EI68</f>
        <v>10133</v>
      </c>
      <c r="EJ71" s="27">
        <f t="shared" ref="EJ71:EO71" si="95">EJ65-EJ70</f>
        <v>14114</v>
      </c>
      <c r="EK71" s="27">
        <f t="shared" si="95"/>
        <v>16027</v>
      </c>
      <c r="EL71" s="27">
        <f t="shared" si="95"/>
        <v>14742</v>
      </c>
      <c r="EM71" s="27">
        <f t="shared" si="95"/>
        <v>15183</v>
      </c>
      <c r="EN71" s="27">
        <f t="shared" si="95"/>
        <v>13339</v>
      </c>
      <c r="EO71" s="27">
        <f t="shared" si="95"/>
        <v>13454</v>
      </c>
      <c r="EP71" s="27">
        <f t="shared" ref="EP71:EX71" si="96">EP65-EP70</f>
        <v>-10287.09</v>
      </c>
      <c r="EQ71" s="27">
        <f t="shared" si="96"/>
        <v>-10184.2191</v>
      </c>
      <c r="ER71" s="27">
        <f t="shared" si="96"/>
        <v>-10082.376909000001</v>
      </c>
      <c r="ES71" s="27">
        <f t="shared" si="96"/>
        <v>-9981.55313991</v>
      </c>
      <c r="ET71" s="27">
        <f t="shared" si="96"/>
        <v>-9881.737608510899</v>
      </c>
      <c r="EU71" s="27">
        <f t="shared" si="96"/>
        <v>-9782.9202324257913</v>
      </c>
      <c r="EV71" s="27">
        <f t="shared" si="96"/>
        <v>-9685.0910301015338</v>
      </c>
      <c r="EW71" s="27">
        <f t="shared" si="96"/>
        <v>-9588.2401198005173</v>
      </c>
      <c r="EX71" s="27">
        <f t="shared" si="96"/>
        <v>21536</v>
      </c>
      <c r="EY71" s="24">
        <f>EY65-EY70</f>
        <v>21897</v>
      </c>
      <c r="FA71" s="48"/>
      <c r="FB71" s="48"/>
    </row>
    <row r="72" spans="2:231">
      <c r="B72" s="15" t="s">
        <v>2</v>
      </c>
      <c r="C72" s="23">
        <v>-75</v>
      </c>
      <c r="D72" s="23">
        <v>122</v>
      </c>
      <c r="E72" s="23">
        <v>131</v>
      </c>
      <c r="F72" s="23">
        <v>106</v>
      </c>
      <c r="G72" s="67">
        <v>213</v>
      </c>
      <c r="H72" s="67">
        <v>156</v>
      </c>
      <c r="I72" s="67">
        <v>241</v>
      </c>
      <c r="J72" s="67">
        <f>678-I72</f>
        <v>437</v>
      </c>
      <c r="K72" s="67">
        <v>902</v>
      </c>
      <c r="L72" s="67">
        <f>1829-K72</f>
        <v>927</v>
      </c>
      <c r="M72" s="67">
        <v>979</v>
      </c>
      <c r="N72" s="67">
        <f>1805-M72</f>
        <v>826</v>
      </c>
      <c r="O72" s="67">
        <v>684</v>
      </c>
      <c r="P72" s="67">
        <f>O72</f>
        <v>684</v>
      </c>
      <c r="Q72" s="67">
        <v>484</v>
      </c>
      <c r="R72" s="67">
        <f>792-Q72</f>
        <v>308</v>
      </c>
      <c r="S72" s="67">
        <v>302</v>
      </c>
      <c r="T72" s="67">
        <f>-3+557-S72</f>
        <v>252</v>
      </c>
      <c r="EE72" s="25"/>
      <c r="EF72" s="25">
        <v>2000</v>
      </c>
      <c r="EG72" s="25">
        <v>47</v>
      </c>
      <c r="EH72" s="25">
        <v>369</v>
      </c>
      <c r="EI72" s="25">
        <v>1313</v>
      </c>
      <c r="EJ72" s="25">
        <f>SUM(K72:L72)</f>
        <v>1829</v>
      </c>
      <c r="EK72" s="25">
        <f>N72+M72</f>
        <v>1805</v>
      </c>
      <c r="EL72" s="25">
        <v>1123</v>
      </c>
      <c r="EM72" s="25">
        <f t="shared" ref="EM72:EM73" si="97">SUM(Q72:R72)</f>
        <v>792</v>
      </c>
      <c r="EN72" s="25">
        <f>T72+S72</f>
        <v>554</v>
      </c>
      <c r="EO72" s="25">
        <f>-2228+647+12</f>
        <v>-1569</v>
      </c>
      <c r="EP72" s="25">
        <f>EP82*$FB$84</f>
        <v>-66.900000000000006</v>
      </c>
      <c r="EQ72" s="25">
        <f t="shared" ref="EQ72:EW72" si="98">EQ82*$FB$84</f>
        <v>-460.35162000000003</v>
      </c>
      <c r="ER72" s="25">
        <f t="shared" si="98"/>
        <v>-864.84530735999999</v>
      </c>
      <c r="ES72" s="25">
        <f t="shared" si="98"/>
        <v>-1280.83975158168</v>
      </c>
      <c r="ET72" s="25">
        <f t="shared" si="98"/>
        <v>-1708.8106814583641</v>
      </c>
      <c r="EU72" s="25">
        <f t="shared" si="98"/>
        <v>-2149.2515164771962</v>
      </c>
      <c r="EV72" s="25">
        <f t="shared" si="98"/>
        <v>-2602.67404293551</v>
      </c>
      <c r="EW72" s="25">
        <f t="shared" si="98"/>
        <v>-3069.6091157109176</v>
      </c>
      <c r="EX72" s="25">
        <f>-539-25</f>
        <v>-564</v>
      </c>
      <c r="EY72" s="44">
        <f>-412-339</f>
        <v>-751</v>
      </c>
    </row>
    <row r="73" spans="2:231" s="17" customFormat="1">
      <c r="B73" s="15" t="s">
        <v>3</v>
      </c>
      <c r="C73" s="25">
        <v>-276</v>
      </c>
      <c r="D73" s="25">
        <v>-401</v>
      </c>
      <c r="E73" s="25">
        <v>-370</v>
      </c>
      <c r="F73" s="25">
        <v>-206</v>
      </c>
      <c r="G73" s="25">
        <v>-383</v>
      </c>
      <c r="H73" s="25">
        <v>-244</v>
      </c>
      <c r="I73" s="25">
        <v>-187</v>
      </c>
      <c r="J73" s="25">
        <f>-382-I73</f>
        <v>-195</v>
      </c>
      <c r="K73" s="25">
        <v>478</v>
      </c>
      <c r="L73" s="25">
        <f>974-K73</f>
        <v>496</v>
      </c>
      <c r="M73" s="25">
        <v>479</v>
      </c>
      <c r="N73" s="25">
        <f>971-M73</f>
        <v>492</v>
      </c>
      <c r="O73" s="67">
        <v>447</v>
      </c>
      <c r="P73" s="67">
        <f>O73</f>
        <v>447</v>
      </c>
      <c r="Q73" s="67">
        <v>1035</v>
      </c>
      <c r="R73" s="67">
        <f>2460-Q73</f>
        <v>1425</v>
      </c>
      <c r="S73" s="67">
        <v>1508</v>
      </c>
      <c r="T73" s="67">
        <f>2829-S73</f>
        <v>1321</v>
      </c>
      <c r="U73" s="67"/>
      <c r="V73" s="67"/>
      <c r="W73" s="67"/>
      <c r="X73" s="67"/>
      <c r="Y73" s="25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44"/>
      <c r="AX73" s="44"/>
      <c r="AY73" s="44"/>
      <c r="AZ73" s="44"/>
      <c r="BA73" s="44"/>
      <c r="BB73" s="44"/>
      <c r="BC73" s="44"/>
      <c r="BD73" s="44"/>
      <c r="BE73" s="44"/>
      <c r="BF73" s="44"/>
      <c r="BG73" s="44"/>
      <c r="BH73" s="44"/>
      <c r="BI73" s="44"/>
      <c r="BJ73" s="44"/>
      <c r="BK73" s="44"/>
      <c r="BL73" s="44"/>
      <c r="BM73" s="44"/>
      <c r="BN73" s="44"/>
      <c r="BO73" s="44"/>
      <c r="BP73" s="44"/>
      <c r="BQ73" s="44"/>
      <c r="BR73" s="44"/>
      <c r="BS73" s="44"/>
      <c r="BT73" s="44"/>
      <c r="BU73" s="44"/>
      <c r="BV73" s="44"/>
      <c r="BW73" s="44"/>
      <c r="BX73" s="44"/>
      <c r="BY73" s="44"/>
      <c r="BZ73" s="44"/>
      <c r="CA73" s="44"/>
      <c r="CB73" s="44"/>
      <c r="CC73" s="44"/>
      <c r="CD73" s="44"/>
      <c r="CE73" s="44"/>
      <c r="CF73" s="44"/>
      <c r="CG73" s="44"/>
      <c r="CH73" s="44"/>
      <c r="CI73" s="44"/>
      <c r="CJ73" s="44"/>
      <c r="CK73" s="44"/>
      <c r="CL73" s="44"/>
      <c r="CM73" s="44"/>
      <c r="CN73" s="44"/>
      <c r="CO73" s="44"/>
      <c r="CP73" s="44"/>
      <c r="CQ73" s="44"/>
      <c r="CR73" s="44"/>
      <c r="CS73" s="44"/>
      <c r="CT73" s="44"/>
      <c r="CU73" s="44"/>
      <c r="CV73" s="44"/>
      <c r="CW73" s="44"/>
      <c r="CX73" s="44"/>
      <c r="CY73" s="44"/>
      <c r="CZ73" s="44"/>
      <c r="DA73" s="44"/>
      <c r="DB73" s="44"/>
      <c r="DC73" s="44"/>
      <c r="DD73" s="44"/>
      <c r="DE73" s="44"/>
      <c r="DF73" s="44"/>
      <c r="DG73" s="44"/>
      <c r="DH73" s="44"/>
      <c r="DI73" s="44"/>
      <c r="DJ73" s="44"/>
      <c r="DK73" s="44"/>
      <c r="DL73" s="44"/>
      <c r="DM73" s="44"/>
      <c r="DN73" s="44"/>
      <c r="DO73" s="44"/>
      <c r="DP73" s="44"/>
      <c r="DQ73" s="44"/>
      <c r="DR73" s="44"/>
      <c r="DS73" s="44"/>
      <c r="DT73" s="44"/>
      <c r="DU73" s="44"/>
      <c r="DV73" s="44"/>
      <c r="DW73" s="44"/>
      <c r="DX73" s="44"/>
      <c r="DY73" s="44"/>
      <c r="DZ73" s="44"/>
      <c r="EA73" s="44"/>
      <c r="EB73" s="44"/>
      <c r="EC73" s="44"/>
      <c r="ED73" s="15"/>
      <c r="EE73" s="25"/>
      <c r="EF73" s="25">
        <v>-1165.1611044776121</v>
      </c>
      <c r="EG73" s="25">
        <v>-677</v>
      </c>
      <c r="EH73" s="25">
        <v>-627</v>
      </c>
      <c r="EI73" s="25">
        <v>985</v>
      </c>
      <c r="EJ73" s="25">
        <f>SUM(K73:L73)</f>
        <v>974</v>
      </c>
      <c r="EK73" s="25">
        <f>N73+M73</f>
        <v>971</v>
      </c>
      <c r="EL73" s="25">
        <v>887</v>
      </c>
      <c r="EM73" s="25">
        <f t="shared" si="97"/>
        <v>2460</v>
      </c>
      <c r="EN73" s="25">
        <f>T73+S73</f>
        <v>2829</v>
      </c>
      <c r="EO73" s="25"/>
      <c r="EP73" s="25"/>
      <c r="EQ73" s="25"/>
      <c r="ER73" s="25"/>
      <c r="ES73" s="25"/>
      <c r="ET73" s="25"/>
      <c r="EU73" s="25"/>
      <c r="EV73" s="25"/>
      <c r="EW73" s="25"/>
      <c r="EX73" s="25"/>
      <c r="EY73" s="48"/>
      <c r="FA73" s="48"/>
      <c r="FB73" s="48"/>
    </row>
    <row r="74" spans="2:231" s="17" customFormat="1">
      <c r="B74" s="17" t="s">
        <v>15</v>
      </c>
      <c r="C74" s="27">
        <v>2464</v>
      </c>
      <c r="D74" s="27">
        <v>2655</v>
      </c>
      <c r="E74" s="27">
        <v>3435</v>
      </c>
      <c r="F74" s="27">
        <v>3133</v>
      </c>
      <c r="G74" s="27">
        <v>3330</v>
      </c>
      <c r="H74" s="27">
        <v>3135</v>
      </c>
      <c r="I74" s="27">
        <f t="shared" ref="I74:S74" si="99">I71+I72-I73</f>
        <v>5299</v>
      </c>
      <c r="J74" s="27">
        <f t="shared" si="99"/>
        <v>5797</v>
      </c>
      <c r="K74" s="27">
        <f t="shared" si="99"/>
        <v>6723</v>
      </c>
      <c r="L74" s="27">
        <f t="shared" si="99"/>
        <v>7036</v>
      </c>
      <c r="M74" s="27">
        <f t="shared" si="99"/>
        <v>9085</v>
      </c>
      <c r="N74" s="27">
        <f t="shared" si="99"/>
        <v>7776</v>
      </c>
      <c r="O74" s="27">
        <f t="shared" si="99"/>
        <v>7278</v>
      </c>
      <c r="P74" s="27">
        <f t="shared" si="99"/>
        <v>7092</v>
      </c>
      <c r="Q74" s="27">
        <f t="shared" si="99"/>
        <v>7419</v>
      </c>
      <c r="R74" s="27">
        <f t="shared" si="99"/>
        <v>6096</v>
      </c>
      <c r="S74" s="27">
        <f t="shared" si="99"/>
        <v>7550</v>
      </c>
      <c r="T74" s="27">
        <f>T71+T72-T73</f>
        <v>3591</v>
      </c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93"/>
      <c r="AX74" s="93"/>
      <c r="AY74" s="93"/>
      <c r="AZ74" s="93"/>
      <c r="BA74" s="93"/>
      <c r="BB74" s="93"/>
      <c r="BC74" s="93"/>
      <c r="BD74" s="93"/>
      <c r="BE74" s="93"/>
      <c r="BF74" s="93"/>
      <c r="BG74" s="93"/>
      <c r="BH74" s="93"/>
      <c r="BI74" s="93"/>
      <c r="BJ74" s="93"/>
      <c r="BK74" s="93"/>
      <c r="BL74" s="93"/>
      <c r="BM74" s="93"/>
      <c r="BN74" s="93"/>
      <c r="BO74" s="93"/>
      <c r="BP74" s="93"/>
      <c r="BQ74" s="93"/>
      <c r="BR74" s="93"/>
      <c r="BS74" s="93"/>
      <c r="BT74" s="93"/>
      <c r="BU74" s="93"/>
      <c r="BV74" s="93"/>
      <c r="BW74" s="93"/>
      <c r="BX74" s="93"/>
      <c r="BY74" s="93"/>
      <c r="BZ74" s="93"/>
      <c r="CA74" s="93"/>
      <c r="CB74" s="93"/>
      <c r="CC74" s="93"/>
      <c r="CD74" s="93"/>
      <c r="CE74" s="93"/>
      <c r="CF74" s="93"/>
      <c r="CG74" s="93"/>
      <c r="CH74" s="93"/>
      <c r="CI74" s="93"/>
      <c r="CJ74" s="93"/>
      <c r="CK74" s="93"/>
      <c r="CL74" s="93"/>
      <c r="CM74" s="93"/>
      <c r="CN74" s="93"/>
      <c r="CO74" s="93"/>
      <c r="CP74" s="93"/>
      <c r="CQ74" s="93"/>
      <c r="CR74" s="93"/>
      <c r="CS74" s="93"/>
      <c r="CT74" s="93"/>
      <c r="CU74" s="93"/>
      <c r="CV74" s="93"/>
      <c r="CW74" s="93"/>
      <c r="CX74" s="93"/>
      <c r="CY74" s="93"/>
      <c r="CZ74" s="93"/>
      <c r="DA74" s="93"/>
      <c r="DB74" s="93"/>
      <c r="DC74" s="93"/>
      <c r="DD74" s="93"/>
      <c r="DE74" s="93"/>
      <c r="DF74" s="93"/>
      <c r="DG74" s="93"/>
      <c r="DH74" s="93"/>
      <c r="DI74" s="93"/>
      <c r="DJ74" s="93"/>
      <c r="DK74" s="93"/>
      <c r="DL74" s="93"/>
      <c r="DM74" s="93"/>
      <c r="DN74" s="93"/>
      <c r="DO74" s="93"/>
      <c r="DP74" s="93"/>
      <c r="DQ74" s="93"/>
      <c r="DR74" s="93"/>
      <c r="DS74" s="93"/>
      <c r="DT74" s="93"/>
      <c r="DU74" s="93"/>
      <c r="DV74" s="93"/>
      <c r="DW74" s="93"/>
      <c r="DX74" s="93"/>
      <c r="DY74" s="93"/>
      <c r="DZ74" s="93"/>
      <c r="EA74" s="93"/>
      <c r="EB74" s="93"/>
      <c r="EC74" s="93"/>
      <c r="ED74" s="5"/>
      <c r="EE74" s="27"/>
      <c r="EF74" s="27">
        <v>6020.8388955223882</v>
      </c>
      <c r="EG74" s="27">
        <v>5119</v>
      </c>
      <c r="EH74" s="27">
        <v>6465</v>
      </c>
      <c r="EI74" s="27">
        <f t="shared" ref="EI74:EX74" si="100">EI71+EI72-EI73</f>
        <v>10461</v>
      </c>
      <c r="EJ74" s="27">
        <f t="shared" si="100"/>
        <v>14969</v>
      </c>
      <c r="EK74" s="27">
        <f t="shared" si="100"/>
        <v>16861</v>
      </c>
      <c r="EL74" s="27">
        <f t="shared" si="100"/>
        <v>14978</v>
      </c>
      <c r="EM74" s="27">
        <f t="shared" si="100"/>
        <v>13515</v>
      </c>
      <c r="EN74" s="27">
        <f>EN71+EN72-EN73</f>
        <v>11064</v>
      </c>
      <c r="EO74" s="27">
        <f t="shared" si="100"/>
        <v>11885</v>
      </c>
      <c r="EP74" s="27">
        <f t="shared" si="100"/>
        <v>-10353.99</v>
      </c>
      <c r="EQ74" s="27">
        <f t="shared" si="100"/>
        <v>-10644.57072</v>
      </c>
      <c r="ER74" s="27">
        <f t="shared" si="100"/>
        <v>-10947.22221636</v>
      </c>
      <c r="ES74" s="27">
        <f t="shared" si="100"/>
        <v>-11262.39289149168</v>
      </c>
      <c r="ET74" s="27">
        <f t="shared" si="100"/>
        <v>-11590.548289969263</v>
      </c>
      <c r="EU74" s="27">
        <f t="shared" si="100"/>
        <v>-11932.171748902987</v>
      </c>
      <c r="EV74" s="27">
        <f t="shared" si="100"/>
        <v>-12287.765073037044</v>
      </c>
      <c r="EW74" s="27">
        <f t="shared" si="100"/>
        <v>-12657.849235511436</v>
      </c>
      <c r="EX74" s="27">
        <f t="shared" si="100"/>
        <v>20972</v>
      </c>
      <c r="EY74" s="24">
        <f>EY71+EY72</f>
        <v>21146</v>
      </c>
      <c r="FA74" s="48"/>
      <c r="FB74" s="48"/>
    </row>
    <row r="75" spans="2:231">
      <c r="B75" s="15" t="s">
        <v>5</v>
      </c>
      <c r="C75" s="25">
        <v>-658</v>
      </c>
      <c r="D75" s="25">
        <v>-661</v>
      </c>
      <c r="E75" s="25">
        <v>-835</v>
      </c>
      <c r="F75" s="25">
        <v>-810</v>
      </c>
      <c r="G75" s="25">
        <v>-806</v>
      </c>
      <c r="H75" s="25">
        <v>-799</v>
      </c>
      <c r="I75" s="25">
        <v>1095</v>
      </c>
      <c r="J75" s="25">
        <f>2224-I75</f>
        <v>1129</v>
      </c>
      <c r="K75" s="25">
        <v>1701</v>
      </c>
      <c r="L75" s="25">
        <f>3436-K75</f>
        <v>1735</v>
      </c>
      <c r="M75" s="25">
        <v>2115</v>
      </c>
      <c r="N75" s="25">
        <f>3867-M75</f>
        <v>1752</v>
      </c>
      <c r="O75" s="25">
        <v>1861</v>
      </c>
      <c r="P75" s="25"/>
      <c r="Q75" s="25">
        <v>1678</v>
      </c>
      <c r="R75" s="25">
        <f>2870-Q75</f>
        <v>1192</v>
      </c>
      <c r="S75" s="25">
        <v>1800</v>
      </c>
      <c r="T75" s="25">
        <f>2320-S75</f>
        <v>520</v>
      </c>
      <c r="U75" s="25"/>
      <c r="V75" s="25"/>
      <c r="W75" s="25"/>
      <c r="X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EE75" s="25"/>
      <c r="EF75" s="25">
        <v>-1595</v>
      </c>
      <c r="EG75" s="25">
        <v>-1319</v>
      </c>
      <c r="EH75" s="25">
        <v>-1605</v>
      </c>
      <c r="EI75" s="25">
        <v>2284</v>
      </c>
      <c r="EJ75" s="25">
        <f>SUM(K75:L75)</f>
        <v>3436</v>
      </c>
      <c r="EK75" s="25">
        <f>N75+M75</f>
        <v>3867</v>
      </c>
      <c r="EL75" s="25">
        <v>3317</v>
      </c>
      <c r="EM75" s="25">
        <f>SUM(Q75:R75)</f>
        <v>2870</v>
      </c>
      <c r="EN75" s="25">
        <f>T75+S75</f>
        <v>2320</v>
      </c>
      <c r="EO75" s="25">
        <v>2341</v>
      </c>
      <c r="EP75" s="25">
        <f t="shared" ref="EP75:EW75" si="101">EP74*0.24</f>
        <v>-2484.9575999999997</v>
      </c>
      <c r="EQ75" s="25">
        <f t="shared" si="101"/>
        <v>-2554.6969727999999</v>
      </c>
      <c r="ER75" s="25">
        <f t="shared" si="101"/>
        <v>-2627.3333319263998</v>
      </c>
      <c r="ES75" s="25">
        <f t="shared" si="101"/>
        <v>-2702.9742939580028</v>
      </c>
      <c r="ET75" s="25">
        <f t="shared" si="101"/>
        <v>-2781.7315895926231</v>
      </c>
      <c r="EU75" s="25">
        <f t="shared" si="101"/>
        <v>-2863.7212197367166</v>
      </c>
      <c r="EV75" s="25">
        <f t="shared" si="101"/>
        <v>-2949.0636175288905</v>
      </c>
      <c r="EW75" s="25">
        <f t="shared" si="101"/>
        <v>-3037.8838165227444</v>
      </c>
      <c r="EX75" s="25">
        <v>3594</v>
      </c>
      <c r="EY75" s="23">
        <v>3075</v>
      </c>
    </row>
    <row r="76" spans="2:231">
      <c r="B76" s="15" t="s">
        <v>6</v>
      </c>
      <c r="C76" s="25">
        <v>1806</v>
      </c>
      <c r="D76" s="25">
        <v>1994</v>
      </c>
      <c r="E76" s="25">
        <v>2600</v>
      </c>
      <c r="F76" s="25">
        <v>2323</v>
      </c>
      <c r="G76" s="25">
        <v>2524</v>
      </c>
      <c r="H76" s="25">
        <v>2336</v>
      </c>
      <c r="I76" s="25">
        <f t="shared" ref="I76:N76" si="102">I74-I75</f>
        <v>4204</v>
      </c>
      <c r="J76" s="25">
        <f t="shared" si="102"/>
        <v>4668</v>
      </c>
      <c r="K76" s="25">
        <f t="shared" si="102"/>
        <v>5022</v>
      </c>
      <c r="L76" s="25">
        <f t="shared" si="102"/>
        <v>5301</v>
      </c>
      <c r="M76" s="25">
        <f t="shared" si="102"/>
        <v>6970</v>
      </c>
      <c r="N76" s="25">
        <f t="shared" si="102"/>
        <v>6024</v>
      </c>
      <c r="O76" s="25">
        <f t="shared" ref="O76:T76" si="103">O74-O75</f>
        <v>5417</v>
      </c>
      <c r="P76" s="25">
        <f t="shared" si="103"/>
        <v>7092</v>
      </c>
      <c r="Q76" s="25">
        <f t="shared" si="103"/>
        <v>5741</v>
      </c>
      <c r="R76" s="25">
        <f t="shared" si="103"/>
        <v>4904</v>
      </c>
      <c r="S76" s="25">
        <f t="shared" si="103"/>
        <v>5750</v>
      </c>
      <c r="T76" s="25">
        <f t="shared" si="103"/>
        <v>3071</v>
      </c>
      <c r="U76" s="25"/>
      <c r="V76" s="25"/>
      <c r="W76" s="25"/>
      <c r="X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EE76" s="25"/>
      <c r="EF76" s="25">
        <v>4425.8388955223882</v>
      </c>
      <c r="EG76" s="25">
        <v>3800</v>
      </c>
      <c r="EH76" s="25">
        <v>4860</v>
      </c>
      <c r="EI76" s="25">
        <f t="shared" ref="EI76:ER76" si="104">EI74-EI75</f>
        <v>8177</v>
      </c>
      <c r="EJ76" s="25">
        <f t="shared" si="104"/>
        <v>11533</v>
      </c>
      <c r="EK76" s="25">
        <f t="shared" si="104"/>
        <v>12994</v>
      </c>
      <c r="EL76" s="25">
        <f t="shared" si="104"/>
        <v>11661</v>
      </c>
      <c r="EM76" s="25">
        <f>EM74-EM75</f>
        <v>10645</v>
      </c>
      <c r="EN76" s="25">
        <f>EN74-EN75</f>
        <v>8744</v>
      </c>
      <c r="EO76" s="25">
        <f t="shared" si="104"/>
        <v>9544</v>
      </c>
      <c r="EP76" s="25">
        <f t="shared" si="104"/>
        <v>-7869.0324000000001</v>
      </c>
      <c r="EQ76" s="25">
        <f t="shared" si="104"/>
        <v>-8089.8737471999993</v>
      </c>
      <c r="ER76" s="25">
        <f t="shared" si="104"/>
        <v>-8319.8888844335997</v>
      </c>
      <c r="ES76" s="25">
        <f t="shared" ref="ES76:EW76" si="105">ES74-ES75</f>
        <v>-8559.4185975336768</v>
      </c>
      <c r="ET76" s="25">
        <f t="shared" si="105"/>
        <v>-8808.8167003766393</v>
      </c>
      <c r="EU76" s="25">
        <f t="shared" si="105"/>
        <v>-9068.4505291662699</v>
      </c>
      <c r="EV76" s="25">
        <f t="shared" si="105"/>
        <v>-9338.7014555081532</v>
      </c>
      <c r="EW76" s="25">
        <f t="shared" si="105"/>
        <v>-9619.9654189886915</v>
      </c>
      <c r="EX76" s="25">
        <f>EX74-EX75</f>
        <v>17378</v>
      </c>
      <c r="EY76" s="23">
        <f>EY74-EY75</f>
        <v>18071</v>
      </c>
    </row>
    <row r="77" spans="2:231">
      <c r="B77" s="15" t="s">
        <v>4</v>
      </c>
      <c r="C77" s="25">
        <v>-185.5</v>
      </c>
      <c r="D77" s="25">
        <v>-243.5</v>
      </c>
      <c r="E77" s="25">
        <v>-274</v>
      </c>
      <c r="F77" s="25">
        <v>-306</v>
      </c>
      <c r="G77" s="25">
        <v>-262</v>
      </c>
      <c r="H77" s="25">
        <v>-276</v>
      </c>
      <c r="I77" s="25">
        <v>444</v>
      </c>
      <c r="J77" s="25">
        <f>943-I77</f>
        <v>499</v>
      </c>
      <c r="K77" s="25">
        <v>572</v>
      </c>
      <c r="L77" s="25">
        <f>1291-K77</f>
        <v>719</v>
      </c>
      <c r="M77" s="25">
        <v>943</v>
      </c>
      <c r="N77" s="25">
        <f>1676-M77</f>
        <v>733</v>
      </c>
      <c r="O77" s="25">
        <v>912</v>
      </c>
      <c r="P77" s="25">
        <f>O77</f>
        <v>912</v>
      </c>
      <c r="Q77" s="25">
        <v>578</v>
      </c>
      <c r="R77" s="25">
        <f>726-Q77</f>
        <v>148</v>
      </c>
      <c r="S77" s="25">
        <v>97</v>
      </c>
      <c r="T77" s="25">
        <f>225-S77</f>
        <v>128</v>
      </c>
      <c r="U77" s="25"/>
      <c r="V77" s="25"/>
      <c r="W77" s="25"/>
      <c r="X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4"/>
      <c r="BK77" s="44"/>
      <c r="BL77" s="44"/>
      <c r="BM77" s="44"/>
      <c r="BN77" s="44"/>
      <c r="BO77" s="44"/>
      <c r="BP77" s="44"/>
      <c r="BQ77" s="44"/>
      <c r="BR77" s="44"/>
      <c r="BS77" s="44"/>
      <c r="BT77" s="44"/>
      <c r="BU77" s="44"/>
      <c r="BV77" s="44"/>
      <c r="BW77" s="44"/>
      <c r="BX77" s="44"/>
      <c r="BY77" s="44"/>
      <c r="BZ77" s="44"/>
      <c r="CA77" s="44"/>
      <c r="CB77" s="44"/>
      <c r="CC77" s="44"/>
      <c r="CD77" s="44"/>
      <c r="CE77" s="44"/>
      <c r="CF77" s="44"/>
      <c r="CG77" s="44"/>
      <c r="CH77" s="44"/>
      <c r="CI77" s="44"/>
      <c r="CJ77" s="44"/>
      <c r="CK77" s="44"/>
      <c r="CL77" s="44"/>
      <c r="CM77" s="44"/>
      <c r="CN77" s="44"/>
      <c r="CO77" s="44"/>
      <c r="CP77" s="44"/>
      <c r="CQ77" s="44"/>
      <c r="CR77" s="44"/>
      <c r="CS77" s="44"/>
      <c r="CT77" s="44"/>
      <c r="CU77" s="44"/>
      <c r="CV77" s="44"/>
      <c r="CW77" s="44"/>
      <c r="CX77" s="44"/>
      <c r="CY77" s="44"/>
      <c r="CZ77" s="44"/>
      <c r="DA77" s="44"/>
      <c r="DB77" s="44"/>
      <c r="DC77" s="44"/>
      <c r="DD77" s="44"/>
      <c r="DE77" s="44"/>
      <c r="DF77" s="44"/>
      <c r="DG77" s="44"/>
      <c r="DH77" s="44"/>
      <c r="DI77" s="44"/>
      <c r="DJ77" s="44"/>
      <c r="DK77" s="44"/>
      <c r="DL77" s="44"/>
      <c r="DM77" s="44"/>
      <c r="DN77" s="44"/>
      <c r="DO77" s="44"/>
      <c r="DP77" s="44"/>
      <c r="DQ77" s="44"/>
      <c r="DR77" s="44"/>
      <c r="DS77" s="44"/>
      <c r="DT77" s="44"/>
      <c r="DU77" s="44"/>
      <c r="DV77" s="44"/>
      <c r="DW77" s="44"/>
      <c r="DX77" s="44"/>
      <c r="DY77" s="44"/>
      <c r="DZ77" s="44"/>
      <c r="EA77" s="44"/>
      <c r="EB77" s="44"/>
      <c r="EC77" s="44"/>
      <c r="ED77" s="15"/>
      <c r="EE77" s="25"/>
      <c r="EF77" s="25">
        <v>34</v>
      </c>
      <c r="EG77" s="25">
        <v>-429</v>
      </c>
      <c r="EH77" s="25">
        <v>-538</v>
      </c>
      <c r="EI77" s="25">
        <v>943</v>
      </c>
      <c r="EJ77" s="25">
        <f>SUM(K77:L77)</f>
        <v>1291</v>
      </c>
      <c r="EK77" s="25">
        <f>N77+M77</f>
        <v>1676</v>
      </c>
      <c r="EL77" s="25">
        <v>1875</v>
      </c>
      <c r="EM77" s="25">
        <f>SUM(Q77:R77)</f>
        <v>726</v>
      </c>
      <c r="EN77" s="25">
        <f>T77+S77</f>
        <v>225</v>
      </c>
      <c r="EO77" s="25">
        <v>201</v>
      </c>
      <c r="EP77" s="25"/>
      <c r="EQ77" s="25"/>
      <c r="ER77" s="25"/>
      <c r="ES77" s="25"/>
      <c r="ET77" s="25"/>
      <c r="EU77" s="25"/>
      <c r="EV77" s="25"/>
      <c r="EW77" s="25"/>
      <c r="EX77" s="25">
        <v>801</v>
      </c>
      <c r="EY77" s="23">
        <v>1033</v>
      </c>
    </row>
    <row r="78" spans="2:231">
      <c r="B78" s="15" t="s">
        <v>20</v>
      </c>
      <c r="C78" s="25">
        <v>1620.5</v>
      </c>
      <c r="D78" s="25">
        <v>1750.5</v>
      </c>
      <c r="E78" s="25">
        <v>2326</v>
      </c>
      <c r="F78" s="25">
        <v>2017</v>
      </c>
      <c r="G78" s="25">
        <v>2262</v>
      </c>
      <c r="H78" s="25">
        <v>2060</v>
      </c>
      <c r="I78" s="25">
        <f t="shared" ref="I78:N78" si="106">I76-I77</f>
        <v>3760</v>
      </c>
      <c r="J78" s="25">
        <f t="shared" si="106"/>
        <v>4169</v>
      </c>
      <c r="K78" s="25">
        <f t="shared" si="106"/>
        <v>4450</v>
      </c>
      <c r="L78" s="25">
        <f t="shared" si="106"/>
        <v>4582</v>
      </c>
      <c r="M78" s="25">
        <f t="shared" si="106"/>
        <v>6027</v>
      </c>
      <c r="N78" s="25">
        <f t="shared" si="106"/>
        <v>5291</v>
      </c>
      <c r="O78" s="25">
        <f t="shared" ref="O78:T78" si="107">O76-O77</f>
        <v>4505</v>
      </c>
      <c r="P78" s="25">
        <f t="shared" si="107"/>
        <v>6180</v>
      </c>
      <c r="Q78" s="25">
        <f t="shared" si="107"/>
        <v>5163</v>
      </c>
      <c r="R78" s="25">
        <f t="shared" si="107"/>
        <v>4756</v>
      </c>
      <c r="S78" s="25">
        <f t="shared" si="107"/>
        <v>5653</v>
      </c>
      <c r="T78" s="25">
        <f t="shared" si="107"/>
        <v>2943</v>
      </c>
      <c r="U78" s="25"/>
      <c r="V78" s="25"/>
      <c r="W78" s="25"/>
      <c r="X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44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44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44"/>
      <c r="CD78" s="44"/>
      <c r="CE78" s="44"/>
      <c r="CF78" s="44"/>
      <c r="CG78" s="44"/>
      <c r="CH78" s="44"/>
      <c r="CI78" s="44"/>
      <c r="CJ78" s="44"/>
      <c r="CK78" s="44"/>
      <c r="CL78" s="44"/>
      <c r="CM78" s="44"/>
      <c r="CN78" s="44"/>
      <c r="CO78" s="44"/>
      <c r="CP78" s="44"/>
      <c r="CQ78" s="44"/>
      <c r="CR78" s="44"/>
      <c r="CS78" s="44"/>
      <c r="CT78" s="44"/>
      <c r="CU78" s="44"/>
      <c r="CV78" s="44"/>
      <c r="CW78" s="44"/>
      <c r="CX78" s="44"/>
      <c r="CY78" s="44"/>
      <c r="CZ78" s="44"/>
      <c r="DA78" s="44"/>
      <c r="DB78" s="44"/>
      <c r="DC78" s="44"/>
      <c r="DD78" s="44"/>
      <c r="DE78" s="44"/>
      <c r="DF78" s="44"/>
      <c r="DG78" s="44"/>
      <c r="DH78" s="44"/>
      <c r="DI78" s="44"/>
      <c r="DJ78" s="44"/>
      <c r="DK78" s="44"/>
      <c r="DL78" s="44"/>
      <c r="DM78" s="44"/>
      <c r="DN78" s="44"/>
      <c r="DO78" s="44"/>
      <c r="DP78" s="44"/>
      <c r="DQ78" s="44"/>
      <c r="DR78" s="44"/>
      <c r="DS78" s="44"/>
      <c r="DT78" s="44"/>
      <c r="DU78" s="44"/>
      <c r="DV78" s="44"/>
      <c r="DW78" s="44"/>
      <c r="DX78" s="44"/>
      <c r="DY78" s="44"/>
      <c r="DZ78" s="44"/>
      <c r="EA78" s="44"/>
      <c r="EB78" s="44"/>
      <c r="EC78" s="44"/>
      <c r="ED78" s="15"/>
      <c r="EE78" s="25"/>
      <c r="EF78" s="25">
        <v>4459.8388955223882</v>
      </c>
      <c r="EG78" s="25">
        <v>3371</v>
      </c>
      <c r="EH78" s="25">
        <v>4322</v>
      </c>
      <c r="EI78" s="25">
        <f t="shared" ref="EI78:EX78" si="108">EI76-EI77</f>
        <v>7234</v>
      </c>
      <c r="EJ78" s="25">
        <f t="shared" si="108"/>
        <v>10242</v>
      </c>
      <c r="EK78" s="25">
        <f t="shared" si="108"/>
        <v>11318</v>
      </c>
      <c r="EL78" s="25">
        <f t="shared" si="108"/>
        <v>9786</v>
      </c>
      <c r="EM78" s="25">
        <f>EM76-EM77</f>
        <v>9919</v>
      </c>
      <c r="EN78" s="25">
        <f>EN76-EN77</f>
        <v>8519</v>
      </c>
      <c r="EO78" s="25">
        <f t="shared" si="108"/>
        <v>9343</v>
      </c>
      <c r="EP78" s="25">
        <f t="shared" si="108"/>
        <v>-7869.0324000000001</v>
      </c>
      <c r="EQ78" s="25">
        <f t="shared" si="108"/>
        <v>-8089.8737471999993</v>
      </c>
      <c r="ER78" s="25">
        <f t="shared" si="108"/>
        <v>-8319.8888844335997</v>
      </c>
      <c r="ES78" s="25">
        <f t="shared" si="108"/>
        <v>-8559.4185975336768</v>
      </c>
      <c r="ET78" s="25">
        <f t="shared" si="108"/>
        <v>-8808.8167003766393</v>
      </c>
      <c r="EU78" s="25">
        <f t="shared" si="108"/>
        <v>-9068.4505291662699</v>
      </c>
      <c r="EV78" s="25">
        <f t="shared" si="108"/>
        <v>-9338.7014555081532</v>
      </c>
      <c r="EW78" s="25">
        <f t="shared" si="108"/>
        <v>-9619.9654189886915</v>
      </c>
      <c r="EX78" s="25">
        <f t="shared" si="108"/>
        <v>16577</v>
      </c>
      <c r="EY78" s="25">
        <f>EY76-EY77</f>
        <v>17038</v>
      </c>
      <c r="EZ78" s="111">
        <f t="shared" ref="EZ78:GD78" si="109">EY78*(1+$FB$85)</f>
        <v>17208.38</v>
      </c>
      <c r="FA78" s="25">
        <f t="shared" si="109"/>
        <v>17380.463800000001</v>
      </c>
      <c r="FB78" s="25">
        <f t="shared" si="109"/>
        <v>17554.268438000003</v>
      </c>
      <c r="FC78" s="32">
        <f t="shared" si="109"/>
        <v>17729.811122380004</v>
      </c>
      <c r="FD78" s="32">
        <f t="shared" si="109"/>
        <v>17907.109233603805</v>
      </c>
      <c r="FE78" s="32">
        <f t="shared" si="109"/>
        <v>18086.180325939844</v>
      </c>
      <c r="FF78" s="32">
        <f t="shared" si="109"/>
        <v>18267.042129199242</v>
      </c>
      <c r="FG78" s="32">
        <f t="shared" si="109"/>
        <v>18449.712550491236</v>
      </c>
      <c r="FH78" s="32">
        <f t="shared" si="109"/>
        <v>18634.20967599615</v>
      </c>
      <c r="FI78" s="32">
        <f t="shared" si="109"/>
        <v>18820.551772756113</v>
      </c>
      <c r="FJ78" s="32">
        <f t="shared" si="109"/>
        <v>19008.757290483674</v>
      </c>
      <c r="FK78" s="32">
        <f t="shared" si="109"/>
        <v>19198.844863388513</v>
      </c>
      <c r="FL78" s="32">
        <f t="shared" si="109"/>
        <v>19390.833312022398</v>
      </c>
      <c r="FM78" s="32">
        <f t="shared" si="109"/>
        <v>19584.741645142622</v>
      </c>
      <c r="FN78" s="32">
        <f t="shared" si="109"/>
        <v>19780.589061594048</v>
      </c>
      <c r="FO78" s="32">
        <f t="shared" si="109"/>
        <v>19978.39495220999</v>
      </c>
      <c r="FP78" s="32">
        <f t="shared" si="109"/>
        <v>20178.178901732092</v>
      </c>
      <c r="FQ78" s="32">
        <f t="shared" si="109"/>
        <v>20379.960690749413</v>
      </c>
      <c r="FR78" s="32">
        <f t="shared" si="109"/>
        <v>20583.760297656907</v>
      </c>
      <c r="FS78" s="32">
        <f t="shared" si="109"/>
        <v>20789.597900633475</v>
      </c>
      <c r="FT78" s="32">
        <f t="shared" si="109"/>
        <v>20997.493879639809</v>
      </c>
      <c r="FU78" s="32">
        <f t="shared" si="109"/>
        <v>21207.468818436206</v>
      </c>
      <c r="FV78" s="32">
        <f t="shared" si="109"/>
        <v>21419.543506620568</v>
      </c>
      <c r="FW78" s="32">
        <f t="shared" si="109"/>
        <v>21633.738941686774</v>
      </c>
      <c r="FX78" s="32">
        <f t="shared" si="109"/>
        <v>21850.076331103643</v>
      </c>
      <c r="FY78" s="32">
        <f t="shared" si="109"/>
        <v>22068.577094414679</v>
      </c>
      <c r="FZ78" s="32">
        <f t="shared" si="109"/>
        <v>22289.262865358825</v>
      </c>
      <c r="GA78" s="32">
        <f t="shared" si="109"/>
        <v>22512.155494012415</v>
      </c>
      <c r="GB78" s="32">
        <f t="shared" si="109"/>
        <v>22737.277048952539</v>
      </c>
      <c r="GC78" s="32">
        <f t="shared" si="109"/>
        <v>22964.649819442064</v>
      </c>
      <c r="GD78" s="32">
        <f t="shared" si="109"/>
        <v>23194.296317636483</v>
      </c>
      <c r="GE78" s="32">
        <f t="shared" ref="GE78:HJ78" si="110">GD78*(1+$FB$85)</f>
        <v>23426.239280812846</v>
      </c>
      <c r="GF78" s="32">
        <f t="shared" si="110"/>
        <v>23660.501673620976</v>
      </c>
      <c r="GG78" s="32">
        <f t="shared" si="110"/>
        <v>23897.106690357185</v>
      </c>
      <c r="GH78" s="32">
        <f t="shared" si="110"/>
        <v>24136.077757260755</v>
      </c>
      <c r="GI78" s="32">
        <f t="shared" si="110"/>
        <v>24377.438534833364</v>
      </c>
      <c r="GJ78" s="32">
        <f t="shared" si="110"/>
        <v>24621.212920181697</v>
      </c>
      <c r="GK78" s="32">
        <f t="shared" si="110"/>
        <v>24867.425049383513</v>
      </c>
      <c r="GL78" s="32">
        <f t="shared" si="110"/>
        <v>25116.099299877347</v>
      </c>
      <c r="GM78" s="32">
        <f t="shared" si="110"/>
        <v>25367.260292876123</v>
      </c>
      <c r="GN78" s="32">
        <f t="shared" si="110"/>
        <v>25620.932895804883</v>
      </c>
      <c r="GO78" s="32">
        <f t="shared" si="110"/>
        <v>25877.142224762931</v>
      </c>
      <c r="GP78" s="32">
        <f t="shared" si="110"/>
        <v>26135.913647010559</v>
      </c>
      <c r="GQ78" s="32">
        <f t="shared" si="110"/>
        <v>26397.272783480665</v>
      </c>
      <c r="GR78" s="32">
        <f t="shared" si="110"/>
        <v>26661.245511315472</v>
      </c>
      <c r="GS78" s="32">
        <f t="shared" si="110"/>
        <v>26927.857966428626</v>
      </c>
      <c r="GT78" s="32">
        <f t="shared" si="110"/>
        <v>27197.136546092912</v>
      </c>
      <c r="GU78" s="32">
        <f t="shared" si="110"/>
        <v>27469.107911553841</v>
      </c>
      <c r="GV78" s="32">
        <f t="shared" si="110"/>
        <v>27743.79899066938</v>
      </c>
      <c r="GW78" s="32">
        <f t="shared" si="110"/>
        <v>28021.236980576075</v>
      </c>
      <c r="GX78" s="32">
        <f t="shared" si="110"/>
        <v>28301.449350381838</v>
      </c>
      <c r="GY78" s="32">
        <f t="shared" si="110"/>
        <v>28584.463843885656</v>
      </c>
      <c r="GZ78" s="32">
        <f t="shared" si="110"/>
        <v>28870.308482324512</v>
      </c>
      <c r="HA78" s="32">
        <f t="shared" si="110"/>
        <v>29159.011567147758</v>
      </c>
      <c r="HB78" s="32">
        <f t="shared" si="110"/>
        <v>29450.601682819237</v>
      </c>
      <c r="HC78" s="32">
        <f t="shared" si="110"/>
        <v>29745.107699647429</v>
      </c>
      <c r="HD78" s="32">
        <f t="shared" si="110"/>
        <v>30042.558776643906</v>
      </c>
      <c r="HE78" s="32">
        <f t="shared" si="110"/>
        <v>30342.984364410346</v>
      </c>
      <c r="HF78" s="32">
        <f t="shared" si="110"/>
        <v>30646.414208054448</v>
      </c>
      <c r="HG78" s="32">
        <f t="shared" si="110"/>
        <v>30952.878350134994</v>
      </c>
      <c r="HH78" s="32">
        <f t="shared" si="110"/>
        <v>31262.407133636345</v>
      </c>
      <c r="HI78" s="32">
        <f t="shared" si="110"/>
        <v>31575.031204972707</v>
      </c>
      <c r="HJ78" s="32">
        <f t="shared" si="110"/>
        <v>31890.781517022435</v>
      </c>
      <c r="HK78" s="32">
        <f t="shared" ref="HK78:HW78" si="111">HJ78*(1+$FB$85)</f>
        <v>32209.689332192658</v>
      </c>
      <c r="HL78" s="32">
        <f t="shared" si="111"/>
        <v>32531.786225514585</v>
      </c>
      <c r="HM78" s="32">
        <f t="shared" si="111"/>
        <v>32857.104087769731</v>
      </c>
      <c r="HN78" s="32">
        <f t="shared" si="111"/>
        <v>33185.675128647425</v>
      </c>
      <c r="HO78" s="32">
        <f t="shared" si="111"/>
        <v>33517.5318799339</v>
      </c>
      <c r="HP78" s="32">
        <f t="shared" si="111"/>
        <v>33852.707198733238</v>
      </c>
      <c r="HQ78" s="32">
        <f t="shared" si="111"/>
        <v>34191.234270720568</v>
      </c>
      <c r="HR78" s="32">
        <f t="shared" si="111"/>
        <v>34533.146613427773</v>
      </c>
      <c r="HS78" s="32">
        <f t="shared" si="111"/>
        <v>34878.478079562054</v>
      </c>
      <c r="HT78" s="32">
        <f t="shared" si="111"/>
        <v>35227.262860357674</v>
      </c>
      <c r="HU78" s="32">
        <f t="shared" si="111"/>
        <v>35579.53548896125</v>
      </c>
      <c r="HV78" s="32">
        <f t="shared" si="111"/>
        <v>35935.330843850861</v>
      </c>
      <c r="HW78" s="32">
        <f t="shared" si="111"/>
        <v>36294.684152289366</v>
      </c>
    </row>
    <row r="79" spans="2:231" s="17" customFormat="1">
      <c r="B79" s="17" t="s">
        <v>21</v>
      </c>
      <c r="C79" s="49">
        <v>1.9072573266926225</v>
      </c>
      <c r="D79" s="49">
        <v>2.0566674424016758</v>
      </c>
      <c r="E79" s="49">
        <v>2.7278037383177569</v>
      </c>
      <c r="F79" s="49">
        <v>2.3449074074074074</v>
      </c>
      <c r="G79" s="49">
        <v>2.6395520047522396</v>
      </c>
      <c r="H79" s="49">
        <v>2.4104238397498516</v>
      </c>
      <c r="I79" s="49">
        <f t="shared" ref="I79:N79" si="112">I78/I80</f>
        <v>4.3591034019903718</v>
      </c>
      <c r="J79" s="49">
        <f t="shared" si="112"/>
        <v>4.8332718305579414</v>
      </c>
      <c r="K79" s="49">
        <f t="shared" si="112"/>
        <v>5.1590452496960513</v>
      </c>
      <c r="L79" s="49">
        <f t="shared" si="112"/>
        <v>5.3120776031701817</v>
      </c>
      <c r="M79" s="49">
        <f t="shared" si="112"/>
        <v>6.9873181393074386</v>
      </c>
      <c r="N79" s="49">
        <f t="shared" si="112"/>
        <v>6.1340468350880464</v>
      </c>
      <c r="O79" s="49">
        <f t="shared" ref="O79:T79" si="113">O78/O80</f>
        <v>5.2228087303102724</v>
      </c>
      <c r="P79" s="49">
        <f t="shared" si="113"/>
        <v>7.1646965490160897</v>
      </c>
      <c r="Q79" s="49">
        <f t="shared" si="113"/>
        <v>5.9856518256585876</v>
      </c>
      <c r="R79" s="49">
        <f t="shared" si="113"/>
        <v>5.5138020691133525</v>
      </c>
      <c r="S79" s="49">
        <f t="shared" si="113"/>
        <v>6.5537264711307364</v>
      </c>
      <c r="T79" s="49">
        <f t="shared" si="113"/>
        <v>3.4119258808663999</v>
      </c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93"/>
      <c r="BW79" s="93"/>
      <c r="BX79" s="93"/>
      <c r="BY79" s="93"/>
      <c r="BZ79" s="93"/>
      <c r="CA79" s="93"/>
      <c r="CB79" s="93"/>
      <c r="CC79" s="93"/>
      <c r="CD79" s="93"/>
      <c r="CE79" s="93"/>
      <c r="CF79" s="93"/>
      <c r="CG79" s="93"/>
      <c r="CH79" s="93"/>
      <c r="CI79" s="93"/>
      <c r="CJ79" s="93"/>
      <c r="CK79" s="93"/>
      <c r="CL79" s="93"/>
      <c r="CM79" s="93"/>
      <c r="CN79" s="93"/>
      <c r="CO79" s="93"/>
      <c r="CP79" s="93"/>
      <c r="CQ79" s="93"/>
      <c r="CR79" s="93"/>
      <c r="CS79" s="93"/>
      <c r="CT79" s="93"/>
      <c r="CU79" s="93"/>
      <c r="CV79" s="93"/>
      <c r="CW79" s="93"/>
      <c r="CX79" s="93"/>
      <c r="CY79" s="93"/>
      <c r="CZ79" s="93"/>
      <c r="DA79" s="93"/>
      <c r="DB79" s="93"/>
      <c r="DC79" s="93"/>
      <c r="DD79" s="93"/>
      <c r="DE79" s="93"/>
      <c r="DF79" s="93"/>
      <c r="DG79" s="93"/>
      <c r="DH79" s="93"/>
      <c r="DI79" s="93"/>
      <c r="DJ79" s="93"/>
      <c r="DK79" s="93"/>
      <c r="DL79" s="93"/>
      <c r="DM79" s="93"/>
      <c r="DN79" s="93"/>
      <c r="DO79" s="93"/>
      <c r="DP79" s="93"/>
      <c r="DQ79" s="93"/>
      <c r="DR79" s="93"/>
      <c r="DS79" s="93"/>
      <c r="DT79" s="93"/>
      <c r="DU79" s="93"/>
      <c r="DV79" s="93"/>
      <c r="DW79" s="93"/>
      <c r="DX79" s="93"/>
      <c r="DY79" s="93"/>
      <c r="DZ79" s="93"/>
      <c r="EA79" s="93"/>
      <c r="EB79" s="93"/>
      <c r="EC79" s="93"/>
      <c r="ED79" s="5"/>
      <c r="EE79" s="49"/>
      <c r="EF79" s="49">
        <v>5.3184322359227147</v>
      </c>
      <c r="EG79" s="49">
        <v>3.9639115250291037</v>
      </c>
      <c r="EH79" s="49">
        <v>5.0502424081454445</v>
      </c>
      <c r="EI79" s="49">
        <v>6.1026426057431324</v>
      </c>
      <c r="EJ79" s="49">
        <f t="shared" ref="EJ79:ER79" si="114">EJ78/EJ80</f>
        <v>11.873919426379091</v>
      </c>
      <c r="EK79" s="49">
        <f t="shared" si="114"/>
        <v>13.121364974395485</v>
      </c>
      <c r="EL79" s="49">
        <f>EL78/EL80</f>
        <v>11.345262205286643</v>
      </c>
      <c r="EM79" s="49">
        <f>EM78/EM80</f>
        <v>11.499453894771941</v>
      </c>
      <c r="EN79" s="49">
        <f>EN78/EN80</f>
        <v>9.8763834791372265</v>
      </c>
      <c r="EO79" s="49">
        <f t="shared" si="114"/>
        <v>10.831676352339372</v>
      </c>
      <c r="EP79" s="49">
        <f t="shared" si="114"/>
        <v>-9.1228526343650156</v>
      </c>
      <c r="EQ79" s="49">
        <f t="shared" si="114"/>
        <v>-9.3788819609287533</v>
      </c>
      <c r="ER79" s="49">
        <f t="shared" si="114"/>
        <v>-9.6455467926373348</v>
      </c>
      <c r="ES79" s="49"/>
      <c r="ET79" s="49"/>
      <c r="EU79" s="49"/>
      <c r="EV79" s="49"/>
      <c r="EW79" s="49"/>
      <c r="EX79" s="49"/>
      <c r="EY79" s="48"/>
      <c r="FA79" s="48"/>
      <c r="FB79" s="48"/>
    </row>
    <row r="80" spans="2:231" s="17" customFormat="1">
      <c r="B80" s="15" t="s">
        <v>42</v>
      </c>
      <c r="C80" s="25">
        <v>858.56269999999995</v>
      </c>
      <c r="D80" s="25">
        <v>859.4</v>
      </c>
      <c r="E80" s="25">
        <v>856</v>
      </c>
      <c r="F80" s="25">
        <v>864</v>
      </c>
      <c r="G80" s="25">
        <v>860.56269999999995</v>
      </c>
      <c r="H80" s="25">
        <v>858.56269999999995</v>
      </c>
      <c r="I80" s="25">
        <v>862.56269999999995</v>
      </c>
      <c r="J80" s="25">
        <v>862.56269999999995</v>
      </c>
      <c r="K80" s="25">
        <v>862.56269999999995</v>
      </c>
      <c r="L80" s="25">
        <v>862.56269999999995</v>
      </c>
      <c r="M80" s="25">
        <v>862.56269999999995</v>
      </c>
      <c r="N80" s="25">
        <v>862.56269999999995</v>
      </c>
      <c r="O80" s="25">
        <v>862.56269999999995</v>
      </c>
      <c r="P80" s="25">
        <f>O80</f>
        <v>862.56269999999995</v>
      </c>
      <c r="Q80" s="25">
        <f>P80</f>
        <v>862.56269999999995</v>
      </c>
      <c r="R80" s="25">
        <f>+Q80</f>
        <v>862.56269999999995</v>
      </c>
      <c r="S80" s="25">
        <f>+R80</f>
        <v>862.56269999999995</v>
      </c>
      <c r="T80" s="25">
        <f>+S80</f>
        <v>862.56269999999995</v>
      </c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95"/>
      <c r="AX80" s="95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93"/>
      <c r="BW80" s="93"/>
      <c r="BX80" s="93"/>
      <c r="BY80" s="93"/>
      <c r="BZ80" s="93"/>
      <c r="CA80" s="93"/>
      <c r="CB80" s="93"/>
      <c r="CC80" s="93"/>
      <c r="CD80" s="93"/>
      <c r="CE80" s="93"/>
      <c r="CF80" s="93"/>
      <c r="CG80" s="93"/>
      <c r="CH80" s="93"/>
      <c r="CI80" s="93"/>
      <c r="CJ80" s="93"/>
      <c r="CK80" s="93"/>
      <c r="CL80" s="93"/>
      <c r="CM80" s="93"/>
      <c r="CN80" s="93"/>
      <c r="CO80" s="93"/>
      <c r="CP80" s="93"/>
      <c r="CQ80" s="93"/>
      <c r="CR80" s="93"/>
      <c r="CS80" s="93"/>
      <c r="CT80" s="93"/>
      <c r="CU80" s="93"/>
      <c r="CV80" s="93"/>
      <c r="CW80" s="93"/>
      <c r="CX80" s="93"/>
      <c r="CY80" s="93"/>
      <c r="CZ80" s="93"/>
      <c r="DA80" s="93"/>
      <c r="DB80" s="93"/>
      <c r="DC80" s="93"/>
      <c r="DD80" s="93"/>
      <c r="DE80" s="93"/>
      <c r="DF80" s="93"/>
      <c r="DG80" s="93"/>
      <c r="DH80" s="93"/>
      <c r="DI80" s="93"/>
      <c r="DJ80" s="93"/>
      <c r="DK80" s="93"/>
      <c r="DL80" s="93"/>
      <c r="DM80" s="93"/>
      <c r="DN80" s="93"/>
      <c r="DO80" s="93"/>
      <c r="DP80" s="93"/>
      <c r="DQ80" s="93"/>
      <c r="DR80" s="93"/>
      <c r="DS80" s="93"/>
      <c r="DT80" s="93"/>
      <c r="DU80" s="93"/>
      <c r="DV80" s="93"/>
      <c r="DW80" s="93"/>
      <c r="DX80" s="93"/>
      <c r="DY80" s="93"/>
      <c r="DZ80" s="93"/>
      <c r="EA80" s="93"/>
      <c r="EB80" s="93"/>
      <c r="EC80" s="93"/>
      <c r="ED80" s="5"/>
      <c r="EE80" s="25"/>
      <c r="EF80" s="25">
        <v>838.56269999999995</v>
      </c>
      <c r="EG80" s="25">
        <v>859</v>
      </c>
      <c r="EH80" s="25">
        <v>859.56269999999995</v>
      </c>
      <c r="EI80" s="25">
        <v>858</v>
      </c>
      <c r="EJ80" s="25">
        <f>AVERAGE(M80:N80)</f>
        <v>862.56269999999995</v>
      </c>
      <c r="EK80" s="25">
        <f t="shared" ref="EK80:ER80" si="115">EJ80</f>
        <v>862.56269999999995</v>
      </c>
      <c r="EL80" s="25">
        <f t="shared" si="115"/>
        <v>862.56269999999995</v>
      </c>
      <c r="EM80" s="25">
        <f t="shared" si="115"/>
        <v>862.56269999999995</v>
      </c>
      <c r="EN80" s="25">
        <f>EM80</f>
        <v>862.56269999999995</v>
      </c>
      <c r="EO80" s="25">
        <f t="shared" si="115"/>
        <v>862.56269999999995</v>
      </c>
      <c r="EP80" s="25">
        <f t="shared" si="115"/>
        <v>862.56269999999995</v>
      </c>
      <c r="EQ80" s="25">
        <f t="shared" si="115"/>
        <v>862.56269999999995</v>
      </c>
      <c r="ER80" s="25">
        <f t="shared" si="115"/>
        <v>862.56269999999995</v>
      </c>
      <c r="ES80" s="25"/>
      <c r="ET80" s="25"/>
      <c r="EU80" s="25"/>
      <c r="EV80" s="25"/>
      <c r="EW80" s="25"/>
      <c r="EX80" s="25"/>
      <c r="EY80" s="48"/>
      <c r="FA80" s="48"/>
      <c r="FB80" s="48"/>
    </row>
    <row r="81" spans="2:160" s="17" customFormat="1">
      <c r="B81" s="1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95"/>
      <c r="AX81" s="95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93"/>
      <c r="BW81" s="93"/>
      <c r="BX81" s="93"/>
      <c r="BY81" s="93"/>
      <c r="BZ81" s="93"/>
      <c r="CA81" s="93"/>
      <c r="CB81" s="93"/>
      <c r="CC81" s="93"/>
      <c r="CD81" s="93"/>
      <c r="CE81" s="93"/>
      <c r="CF81" s="93"/>
      <c r="CG81" s="93"/>
      <c r="CH81" s="93"/>
      <c r="CI81" s="93"/>
      <c r="CJ81" s="93"/>
      <c r="CK81" s="93"/>
      <c r="CL81" s="93"/>
      <c r="CM81" s="93"/>
      <c r="CN81" s="93"/>
      <c r="CO81" s="93"/>
      <c r="CP81" s="93"/>
      <c r="CQ81" s="93"/>
      <c r="CR81" s="93"/>
      <c r="CS81" s="93"/>
      <c r="CT81" s="93"/>
      <c r="CU81" s="93"/>
      <c r="CV81" s="93"/>
      <c r="CW81" s="93"/>
      <c r="CX81" s="93"/>
      <c r="CY81" s="93"/>
      <c r="CZ81" s="93"/>
      <c r="DA81" s="93"/>
      <c r="DB81" s="93"/>
      <c r="DC81" s="93"/>
      <c r="DD81" s="93"/>
      <c r="DE81" s="93"/>
      <c r="DF81" s="93"/>
      <c r="DG81" s="93"/>
      <c r="DH81" s="93"/>
      <c r="DI81" s="93"/>
      <c r="DJ81" s="93"/>
      <c r="DK81" s="93"/>
      <c r="DL81" s="93"/>
      <c r="DM81" s="93"/>
      <c r="DN81" s="93"/>
      <c r="DO81" s="93"/>
      <c r="DP81" s="93"/>
      <c r="DQ81" s="93"/>
      <c r="DR81" s="93"/>
      <c r="DS81" s="93"/>
      <c r="DT81" s="93"/>
      <c r="DU81" s="93"/>
      <c r="DV81" s="93"/>
      <c r="DW81" s="93"/>
      <c r="DX81" s="93"/>
      <c r="DY81" s="93"/>
      <c r="DZ81" s="93"/>
      <c r="EA81" s="93"/>
      <c r="EB81" s="93"/>
      <c r="EC81" s="93"/>
      <c r="ED81" s="5"/>
      <c r="EE81" s="25"/>
      <c r="EF81" s="25"/>
      <c r="EG81" s="25"/>
      <c r="EH81" s="25"/>
      <c r="EI81" s="25"/>
      <c r="EJ81" s="25"/>
      <c r="EK81" s="25"/>
      <c r="EL81" s="25"/>
      <c r="EM81" s="25"/>
      <c r="EN81" s="25"/>
      <c r="EO81" s="25"/>
      <c r="EP81" s="25"/>
      <c r="EQ81" s="25"/>
      <c r="ER81" s="25"/>
      <c r="ES81" s="25"/>
      <c r="ET81" s="25"/>
      <c r="EU81" s="25"/>
      <c r="EV81" s="25"/>
      <c r="EW81" s="25"/>
      <c r="EX81" s="25"/>
      <c r="EY81" s="48"/>
      <c r="FA81" s="48"/>
      <c r="FB81" s="48"/>
    </row>
    <row r="82" spans="2:160">
      <c r="B82" s="15" t="s">
        <v>182</v>
      </c>
      <c r="C82" s="50"/>
      <c r="D82" s="50"/>
      <c r="E82" s="50"/>
      <c r="F82" s="50"/>
      <c r="G82" s="50"/>
      <c r="H82" s="50"/>
      <c r="I82" s="50"/>
      <c r="J82" s="50"/>
      <c r="K82" s="50"/>
      <c r="L82" s="25">
        <v>16088</v>
      </c>
      <c r="M82" s="25">
        <v>15626</v>
      </c>
      <c r="N82" s="25">
        <v>17336</v>
      </c>
      <c r="O82" s="25">
        <v>11171</v>
      </c>
      <c r="P82" s="25"/>
      <c r="Q82" s="25">
        <v>-31000</v>
      </c>
      <c r="R82" s="25">
        <f>Q82+R78</f>
        <v>-26244</v>
      </c>
      <c r="S82" s="25">
        <v>-27520</v>
      </c>
      <c r="T82" s="25">
        <v>-19200</v>
      </c>
      <c r="U82" s="25"/>
      <c r="V82" s="25"/>
      <c r="W82" s="25"/>
      <c r="X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32"/>
      <c r="EE82" s="25"/>
      <c r="EF82" s="25"/>
      <c r="EG82" s="25"/>
      <c r="EH82" s="25"/>
      <c r="EI82" s="25"/>
      <c r="EJ82" s="25"/>
      <c r="EK82" s="25"/>
      <c r="EL82" s="25">
        <f>N82</f>
        <v>17336</v>
      </c>
      <c r="EM82" s="25">
        <f>Q82+4000</f>
        <v>-27000</v>
      </c>
      <c r="EN82" s="25">
        <f>+T82</f>
        <v>-19200</v>
      </c>
      <c r="EO82" s="25">
        <f>EN82+EN78</f>
        <v>-10681</v>
      </c>
      <c r="EP82" s="25">
        <f t="shared" ref="EP82:EQ82" si="116">EO82+EO78</f>
        <v>-1338</v>
      </c>
      <c r="EQ82" s="25">
        <f t="shared" si="116"/>
        <v>-9207.0324000000001</v>
      </c>
      <c r="ER82" s="25">
        <f t="shared" ref="ER82:EW82" si="117">EQ82+EQ78</f>
        <v>-17296.906147199999</v>
      </c>
      <c r="ES82" s="25">
        <f t="shared" si="117"/>
        <v>-25616.795031633599</v>
      </c>
      <c r="ET82" s="25">
        <f t="shared" si="117"/>
        <v>-34176.21362916728</v>
      </c>
      <c r="EU82" s="25">
        <f t="shared" si="117"/>
        <v>-42985.030329543923</v>
      </c>
      <c r="EV82" s="25">
        <f t="shared" si="117"/>
        <v>-52053.480858710194</v>
      </c>
      <c r="EW82" s="25">
        <f t="shared" si="117"/>
        <v>-61392.182314218349</v>
      </c>
      <c r="EX82" s="25"/>
      <c r="EY82" s="25"/>
      <c r="FA82" s="15"/>
      <c r="FB82" s="15"/>
    </row>
    <row r="83" spans="2:160">
      <c r="C83" s="50"/>
      <c r="D83" s="50"/>
      <c r="E83" s="50"/>
      <c r="F83" s="50"/>
      <c r="G83" s="50"/>
      <c r="H83" s="50"/>
      <c r="I83" s="50"/>
      <c r="J83" s="50"/>
      <c r="K83" s="50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32"/>
      <c r="EE83" s="25"/>
      <c r="EF83" s="25"/>
      <c r="EG83" s="25"/>
      <c r="EH83" s="25"/>
      <c r="EI83" s="25"/>
      <c r="EJ83" s="25"/>
      <c r="EK83" s="25"/>
      <c r="EL83" s="25"/>
      <c r="EM83" s="25"/>
      <c r="EN83" s="25"/>
      <c r="EO83" s="25"/>
      <c r="EP83" s="25"/>
      <c r="EQ83" s="25"/>
      <c r="ER83" s="25"/>
      <c r="ES83" s="25"/>
      <c r="ET83" s="25"/>
      <c r="EU83" s="25"/>
      <c r="EV83" s="25"/>
      <c r="EW83" s="25"/>
      <c r="EX83" s="25"/>
      <c r="FA83" s="15"/>
      <c r="FB83" s="15"/>
    </row>
    <row r="84" spans="2:160" s="17" customFormat="1">
      <c r="B84" s="17" t="s">
        <v>8</v>
      </c>
      <c r="C84" s="29">
        <v>0.77400468384074939</v>
      </c>
      <c r="D84" s="29">
        <v>0.77732962447844223</v>
      </c>
      <c r="E84" s="29">
        <v>0.7801872504474735</v>
      </c>
      <c r="F84" s="29">
        <v>0.77574019738596955</v>
      </c>
      <c r="G84" s="29">
        <v>0.74115379319840291</v>
      </c>
      <c r="H84" s="29">
        <v>0.73606295012003198</v>
      </c>
      <c r="I84" s="73">
        <v>0.73841896282035857</v>
      </c>
      <c r="J84" s="73">
        <v>0.74</v>
      </c>
      <c r="K84" s="29">
        <f t="shared" ref="K84:P84" si="118">K65/K62</f>
        <v>0.78804977580734548</v>
      </c>
      <c r="L84" s="29">
        <f t="shared" si="118"/>
        <v>0.77726207642393652</v>
      </c>
      <c r="M84" s="29">
        <f t="shared" si="118"/>
        <v>0.77973452490471806</v>
      </c>
      <c r="N84" s="29">
        <f t="shared" si="118"/>
        <v>0.6776366600875311</v>
      </c>
      <c r="O84" s="29">
        <f t="shared" si="118"/>
        <v>0.75477185966187965</v>
      </c>
      <c r="P84" s="29">
        <f t="shared" si="118"/>
        <v>0.74683437089738702</v>
      </c>
      <c r="Q84" s="29">
        <f>Q65/Q62</f>
        <v>0.75072898442056157</v>
      </c>
      <c r="R84" s="29">
        <f>R65/R62</f>
        <v>0.74099777918781728</v>
      </c>
      <c r="S84" s="29">
        <f>S65/S62</f>
        <v>0.75677869784055851</v>
      </c>
      <c r="T84" s="29">
        <f>T65/T62</f>
        <v>0.75372249308209249</v>
      </c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E84" s="29"/>
      <c r="EF84" s="29">
        <f t="shared" ref="EF84:EL84" si="119">EF65/EF62</f>
        <v>0.77042891122535107</v>
      </c>
      <c r="EG84" s="29">
        <f t="shared" si="119"/>
        <v>0.77576314821625603</v>
      </c>
      <c r="EH84" s="29">
        <f t="shared" si="119"/>
        <v>0.73856784770679496</v>
      </c>
      <c r="EI84" s="29">
        <f t="shared" si="119"/>
        <v>0.77874461434485087</v>
      </c>
      <c r="EJ84" s="29">
        <f t="shared" si="119"/>
        <v>0.78235531980685524</v>
      </c>
      <c r="EK84" s="29">
        <f t="shared" si="119"/>
        <v>0.72815555025686607</v>
      </c>
      <c r="EL84" s="29">
        <f t="shared" si="119"/>
        <v>0.75520306480425281</v>
      </c>
      <c r="EM84" s="113">
        <v>0.75800000000000001</v>
      </c>
      <c r="EN84" s="113">
        <f>+EM84+0.25%</f>
        <v>0.76049999999999995</v>
      </c>
      <c r="EO84" s="29">
        <f t="shared" ref="EO84" si="120">EO65/EO62</f>
        <v>0.75641296936352309</v>
      </c>
      <c r="EP84" s="29"/>
      <c r="EQ84" s="29"/>
      <c r="ER84" s="29"/>
      <c r="ES84" s="29"/>
      <c r="ET84" s="29"/>
      <c r="EU84" s="29"/>
      <c r="EV84" s="29"/>
      <c r="EW84" s="29"/>
      <c r="EX84" s="29">
        <f>EX65/EX62</f>
        <v>0.78487046276769024</v>
      </c>
      <c r="EY84" s="29">
        <f t="shared" ref="EY84" si="121">EY65/EY62</f>
        <v>0.75973312526870596</v>
      </c>
      <c r="FA84" s="88" t="s">
        <v>677</v>
      </c>
      <c r="FB84" s="51">
        <v>0.05</v>
      </c>
    </row>
    <row r="85" spans="2:160">
      <c r="B85" s="15" t="s">
        <v>186</v>
      </c>
      <c r="C85" s="28">
        <v>0.2855581576893052</v>
      </c>
      <c r="D85" s="28">
        <v>0.289221140472879</v>
      </c>
      <c r="E85" s="28">
        <v>0.27419798981137272</v>
      </c>
      <c r="F85" s="28">
        <v>0.28620965590824221</v>
      </c>
      <c r="G85" s="28">
        <v>0.27536830510808208</v>
      </c>
      <c r="H85" s="28">
        <v>0.28927714057081888</v>
      </c>
      <c r="I85" s="28">
        <f t="shared" ref="I85:Q85" si="122">I66/I62</f>
        <v>0.26525087233786548</v>
      </c>
      <c r="J85" s="28">
        <f t="shared" si="122"/>
        <v>0.27613955212028163</v>
      </c>
      <c r="K85" s="28">
        <f t="shared" si="122"/>
        <v>0.26238097637160562</v>
      </c>
      <c r="L85" s="28">
        <f t="shared" si="122"/>
        <v>0.25450612833453495</v>
      </c>
      <c r="M85" s="28">
        <f t="shared" si="122"/>
        <v>0.24322074736058177</v>
      </c>
      <c r="N85" s="28">
        <f t="shared" si="122"/>
        <v>0.16197545696387197</v>
      </c>
      <c r="O85" s="28">
        <f t="shared" si="122"/>
        <v>0.19864570078167607</v>
      </c>
      <c r="P85" s="28">
        <f t="shared" si="122"/>
        <v>0.20323550586541311</v>
      </c>
      <c r="Q85" s="28">
        <f t="shared" si="122"/>
        <v>0.19024410564025659</v>
      </c>
      <c r="R85" s="28">
        <f>R66/R62</f>
        <v>0.19463832487309646</v>
      </c>
      <c r="S85" s="28">
        <f>S66/S62</f>
        <v>0.1845267088813119</v>
      </c>
      <c r="T85" s="28">
        <f>T66/T62</f>
        <v>0.21706856414986603</v>
      </c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EE85" s="28"/>
      <c r="EF85" s="28">
        <v>0.3015038747794061</v>
      </c>
      <c r="EG85" s="28">
        <v>0.2874954027215888</v>
      </c>
      <c r="EH85" s="28">
        <v>0.28243343946887067</v>
      </c>
      <c r="EI85" s="28">
        <v>0.27400024467646372</v>
      </c>
      <c r="EJ85" s="28">
        <v>0.27083787651550573</v>
      </c>
      <c r="EK85" s="28">
        <v>0.25664542132384005</v>
      </c>
      <c r="EL85" s="28">
        <f>EL66/EL62</f>
        <v>0.19736134128231064</v>
      </c>
      <c r="EM85" s="28">
        <f>EM66/EM62</f>
        <v>0.19104748462546628</v>
      </c>
      <c r="EN85" s="28">
        <f t="shared" ref="EN85:EX85" si="123">EN66/EN62</f>
        <v>0.20048176478045895</v>
      </c>
      <c r="EO85" s="28">
        <f t="shared" si="123"/>
        <v>0.18925019397615855</v>
      </c>
      <c r="EP85" s="28">
        <f t="shared" si="123"/>
        <v>0.2618464116719243</v>
      </c>
      <c r="EQ85" s="28">
        <f t="shared" si="123"/>
        <v>0.16863670158187261</v>
      </c>
      <c r="ER85" s="28">
        <f t="shared" si="123"/>
        <v>0.16455136005646626</v>
      </c>
      <c r="ES85" s="28">
        <f t="shared" si="123"/>
        <v>0.16249841921123978</v>
      </c>
      <c r="ET85" s="28">
        <f t="shared" si="123"/>
        <v>0.15897565705715799</v>
      </c>
      <c r="EU85" s="28">
        <f t="shared" si="123"/>
        <v>0.1680111236814617</v>
      </c>
      <c r="EV85" s="28">
        <f t="shared" si="123"/>
        <v>0.16212897338195845</v>
      </c>
      <c r="EW85" s="28">
        <f t="shared" si="123"/>
        <v>0.14327935732103186</v>
      </c>
      <c r="EX85" s="28">
        <f t="shared" si="123"/>
        <v>0.16050271762426488</v>
      </c>
      <c r="EY85" s="28">
        <f t="shared" ref="EY85" si="124">EY66/EY62</f>
        <v>0.1503797710227544</v>
      </c>
      <c r="FA85" s="88" t="s">
        <v>287</v>
      </c>
      <c r="FB85" s="51">
        <v>0.01</v>
      </c>
      <c r="FD85" s="103" t="s">
        <v>676</v>
      </c>
    </row>
    <row r="86" spans="2:160" s="17" customFormat="1">
      <c r="B86" s="15" t="s">
        <v>185</v>
      </c>
      <c r="C86" s="28">
        <v>0.33497267759562843</v>
      </c>
      <c r="D86" s="28">
        <v>0.33977746870653686</v>
      </c>
      <c r="E86" s="28">
        <v>0.3208040754509156</v>
      </c>
      <c r="F86" s="28">
        <v>0.33428914377167246</v>
      </c>
      <c r="G86" s="28">
        <v>0.34827206388544679</v>
      </c>
      <c r="H86" s="28">
        <v>0.35769538543611629</v>
      </c>
      <c r="I86" s="28">
        <v>0.33413548309469376</v>
      </c>
      <c r="J86" s="28">
        <v>0.35242098296664276</v>
      </c>
      <c r="K86" s="28">
        <f t="shared" ref="K86:Q86" si="125">K67/K62</f>
        <v>5.40077585772583E-2</v>
      </c>
      <c r="L86" s="28">
        <f t="shared" si="125"/>
        <v>6.6240086517664026E-2</v>
      </c>
      <c r="M86" s="28">
        <f t="shared" si="125"/>
        <v>5.4190213343847202E-2</v>
      </c>
      <c r="N86" s="28">
        <f t="shared" si="125"/>
        <v>5.2175405474984983E-2</v>
      </c>
      <c r="O86" s="28">
        <f t="shared" si="125"/>
        <v>4.9491001636066172E-2</v>
      </c>
      <c r="P86" s="28">
        <f t="shared" si="125"/>
        <v>5.2640494642781518E-2</v>
      </c>
      <c r="Q86" s="28">
        <f t="shared" si="125"/>
        <v>4.0281596267599765E-2</v>
      </c>
      <c r="R86" s="28">
        <f>R67/R62</f>
        <v>4.7906091370558374E-2</v>
      </c>
      <c r="S86" s="28">
        <f>S67/S62</f>
        <v>3.5354765383990905E-2</v>
      </c>
      <c r="T86" s="28">
        <f>T67/T62</f>
        <v>8.7978214081785036E-2</v>
      </c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93"/>
      <c r="BW86" s="93"/>
      <c r="BX86" s="93"/>
      <c r="BY86" s="93"/>
      <c r="BZ86" s="93"/>
      <c r="CA86" s="93"/>
      <c r="CB86" s="93"/>
      <c r="CC86" s="93"/>
      <c r="CD86" s="93"/>
      <c r="CE86" s="93"/>
      <c r="CF86" s="93"/>
      <c r="CG86" s="93"/>
      <c r="CH86" s="93"/>
      <c r="CI86" s="93"/>
      <c r="CJ86" s="93"/>
      <c r="CK86" s="93"/>
      <c r="CL86" s="93"/>
      <c r="CM86" s="93"/>
      <c r="CN86" s="93"/>
      <c r="CO86" s="93"/>
      <c r="CP86" s="93"/>
      <c r="CQ86" s="93"/>
      <c r="CR86" s="93"/>
      <c r="CS86" s="93"/>
      <c r="CT86" s="93"/>
      <c r="CU86" s="93"/>
      <c r="CV86" s="93"/>
      <c r="CW86" s="93"/>
      <c r="CX86" s="93"/>
      <c r="CY86" s="93"/>
      <c r="CZ86" s="93"/>
      <c r="DA86" s="93"/>
      <c r="DB86" s="93"/>
      <c r="DC86" s="93"/>
      <c r="DD86" s="93"/>
      <c r="DE86" s="93"/>
      <c r="DF86" s="93"/>
      <c r="DG86" s="93"/>
      <c r="DH86" s="93"/>
      <c r="DI86" s="93"/>
      <c r="DJ86" s="93"/>
      <c r="DK86" s="93"/>
      <c r="DL86" s="93"/>
      <c r="DM86" s="93"/>
      <c r="DN86" s="93"/>
      <c r="DO86" s="93"/>
      <c r="DP86" s="93"/>
      <c r="DQ86" s="93"/>
      <c r="DR86" s="93"/>
      <c r="DS86" s="93"/>
      <c r="DT86" s="93"/>
      <c r="DU86" s="93"/>
      <c r="DV86" s="93"/>
      <c r="DW86" s="93"/>
      <c r="DX86" s="93"/>
      <c r="DY86" s="93"/>
      <c r="DZ86" s="93"/>
      <c r="EA86" s="93"/>
      <c r="EB86" s="93"/>
      <c r="EC86" s="93"/>
      <c r="ED86" s="5"/>
      <c r="EE86" s="28"/>
      <c r="EF86" s="28">
        <v>0.34727230875469961</v>
      </c>
      <c r="EG86" s="28">
        <v>0.33751379183523356</v>
      </c>
      <c r="EH86" s="28">
        <v>0.35305873585800418</v>
      </c>
      <c r="EI86" s="28">
        <v>0.34502251241079884</v>
      </c>
      <c r="EJ86" s="28">
        <v>0.33891166000207307</v>
      </c>
      <c r="EK86" s="28">
        <v>0.32326238327340828</v>
      </c>
      <c r="EL86" s="28">
        <f>EL67/EL62</f>
        <v>5.019047414071412E-2</v>
      </c>
      <c r="EM86" s="28">
        <f>EM67/EM62</f>
        <v>4.3855227341465873E-2</v>
      </c>
      <c r="EN86" s="28">
        <f t="shared" ref="EN86:EX86" si="126">EN67/EN62</f>
        <v>6.0727718378903776E-2</v>
      </c>
      <c r="EO86" s="28">
        <f t="shared" si="126"/>
        <v>5.5065716771296229E-2</v>
      </c>
      <c r="EP86" s="28">
        <f t="shared" si="126"/>
        <v>7.6188880126182967E-2</v>
      </c>
      <c r="EQ86" s="28">
        <f t="shared" si="126"/>
        <v>4.9067853783668229E-2</v>
      </c>
      <c r="ER86" s="28">
        <f t="shared" si="126"/>
        <v>4.787915085752812E-2</v>
      </c>
      <c r="ES86" s="28">
        <f t="shared" si="126"/>
        <v>4.7281811130913592E-2</v>
      </c>
      <c r="ET86" s="28">
        <f t="shared" si="126"/>
        <v>4.6256800699200393E-2</v>
      </c>
      <c r="EU86" s="28">
        <f t="shared" si="126"/>
        <v>4.8885830744438225E-2</v>
      </c>
      <c r="EV86" s="28">
        <f t="shared" si="126"/>
        <v>4.7174314282587483E-2</v>
      </c>
      <c r="EW86" s="28">
        <f t="shared" si="126"/>
        <v>4.1689682550112642E-2</v>
      </c>
      <c r="EX86" s="28">
        <f t="shared" si="126"/>
        <v>4.6739708176877046E-2</v>
      </c>
      <c r="EY86" s="28">
        <f t="shared" ref="EY86" si="127">EY67/EY62</f>
        <v>4.2403783379245552E-2</v>
      </c>
      <c r="FA86" s="88" t="s">
        <v>288</v>
      </c>
      <c r="FB86" s="51">
        <v>0.11</v>
      </c>
      <c r="FD86" s="3" t="s">
        <v>672</v>
      </c>
    </row>
    <row r="87" spans="2:160">
      <c r="B87" s="30" t="s">
        <v>1</v>
      </c>
      <c r="C87" s="28">
        <v>0.16963309914129587</v>
      </c>
      <c r="D87" s="28">
        <v>0.17044506258692629</v>
      </c>
      <c r="E87" s="28">
        <v>0.16060856395428885</v>
      </c>
      <c r="F87" s="28">
        <v>0.18138170178714325</v>
      </c>
      <c r="G87" s="28">
        <v>0.16253614209004544</v>
      </c>
      <c r="H87" s="28">
        <v>0.18624966657775407</v>
      </c>
      <c r="I87" s="28">
        <v>0.1539525929491036</v>
      </c>
      <c r="J87" s="28">
        <v>0.18283130835135153</v>
      </c>
      <c r="K87" s="28">
        <f t="shared" ref="K87:Q87" si="128">K68/K62</f>
        <v>0.15431507884528187</v>
      </c>
      <c r="L87" s="28">
        <f t="shared" si="128"/>
        <v>0.15888608507570295</v>
      </c>
      <c r="M87" s="28">
        <f t="shared" si="128"/>
        <v>0.15924124939764314</v>
      </c>
      <c r="N87" s="28">
        <f t="shared" si="128"/>
        <v>0.20381017763666009</v>
      </c>
      <c r="O87" s="28">
        <f t="shared" si="128"/>
        <v>0.18664788220323578</v>
      </c>
      <c r="P87" s="28">
        <f t="shared" si="128"/>
        <v>0.20065218311946809</v>
      </c>
      <c r="Q87" s="28">
        <f t="shared" si="128"/>
        <v>0.18820294926268433</v>
      </c>
      <c r="R87" s="28">
        <f>R68/R62</f>
        <v>0.21240482233502539</v>
      </c>
      <c r="S87" s="28">
        <f>S68/S62</f>
        <v>0.18148238350381554</v>
      </c>
      <c r="T87" s="28">
        <f>T68/T62</f>
        <v>0.24399349936311326</v>
      </c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EE87" s="28"/>
      <c r="EF87" s="28">
        <v>0.15852067827821684</v>
      </c>
      <c r="EG87" s="28">
        <v>0.17006252298639205</v>
      </c>
      <c r="EH87" s="28">
        <v>0.17458166790867827</v>
      </c>
      <c r="EI87" s="28">
        <v>0.16883613144566781</v>
      </c>
      <c r="EJ87" s="28">
        <v>0.17008854048286479</v>
      </c>
      <c r="EK87" s="28">
        <v>0.16445100677776556</v>
      </c>
      <c r="EL87" s="28">
        <f>EL68/EL62</f>
        <v>0.19036652820523858</v>
      </c>
      <c r="EM87" s="28">
        <f>EM68/EM62</f>
        <v>0.19909265046879726</v>
      </c>
      <c r="EN87" s="28">
        <f t="shared" ref="EN87:EX87" si="129">EN68/EN62</f>
        <v>0.21184972319655157</v>
      </c>
      <c r="EO87" s="28">
        <f t="shared" si="129"/>
        <v>0.19576309045167054</v>
      </c>
      <c r="EP87" s="28">
        <f t="shared" si="129"/>
        <v>0</v>
      </c>
      <c r="EQ87" s="28">
        <f t="shared" si="129"/>
        <v>0</v>
      </c>
      <c r="ER87" s="28">
        <f t="shared" si="129"/>
        <v>0</v>
      </c>
      <c r="ES87" s="28">
        <f t="shared" si="129"/>
        <v>0</v>
      </c>
      <c r="ET87" s="28">
        <f t="shared" si="129"/>
        <v>0</v>
      </c>
      <c r="EU87" s="28">
        <f t="shared" si="129"/>
        <v>0</v>
      </c>
      <c r="EV87" s="28">
        <f t="shared" si="129"/>
        <v>0</v>
      </c>
      <c r="EW87" s="28">
        <f t="shared" si="129"/>
        <v>0</v>
      </c>
      <c r="EX87" s="28">
        <f t="shared" si="129"/>
        <v>0.20837405483257035</v>
      </c>
      <c r="EY87" s="28">
        <f t="shared" ref="EY87" si="130">EY68/EY62</f>
        <v>0.21827677903218101</v>
      </c>
      <c r="FA87" s="114" t="s">
        <v>701</v>
      </c>
      <c r="FB87" s="25">
        <f>NPV(FB86,EQ78:HZ78)+Main!J5-Main!J6+EP78</f>
        <v>13928.006012798654</v>
      </c>
      <c r="FD87" s="3" t="s">
        <v>673</v>
      </c>
    </row>
    <row r="88" spans="2:160" s="17" customFormat="1">
      <c r="B88" s="17" t="s">
        <v>149</v>
      </c>
      <c r="C88" s="29">
        <v>0.22115534738485559</v>
      </c>
      <c r="D88" s="29">
        <v>0.20584144645340752</v>
      </c>
      <c r="E88" s="29">
        <v>0.25478452430125292</v>
      </c>
      <c r="F88" s="29">
        <v>0.21665777540677514</v>
      </c>
      <c r="G88" s="29">
        <v>0.24280600302905136</v>
      </c>
      <c r="H88" s="29">
        <v>0.21599093091491064</v>
      </c>
      <c r="I88" s="29">
        <v>0.26308506798219228</v>
      </c>
      <c r="J88" s="29">
        <v>0.22392567642135672</v>
      </c>
      <c r="K88" s="29">
        <f t="shared" ref="K88:R88" si="131">K71/K62</f>
        <v>0.31734596201319965</v>
      </c>
      <c r="L88" s="29">
        <f t="shared" si="131"/>
        <v>0.29762977649603461</v>
      </c>
      <c r="M88" s="29">
        <f t="shared" si="131"/>
        <v>0.37608971831602928</v>
      </c>
      <c r="N88" s="29">
        <f t="shared" si="131"/>
        <v>0.31931691409937357</v>
      </c>
      <c r="O88" s="29">
        <f t="shared" si="131"/>
        <v>0.31998727504090163</v>
      </c>
      <c r="P88" s="29">
        <f t="shared" si="131"/>
        <v>0.29030618726972429</v>
      </c>
      <c r="Q88" s="29">
        <f t="shared" si="131"/>
        <v>0.33200033325002082</v>
      </c>
      <c r="R88" s="29">
        <f t="shared" si="131"/>
        <v>0.28604854060913704</v>
      </c>
      <c r="S88" s="29">
        <f t="shared" ref="S88:T88" si="132">S71/S62</f>
        <v>0.35541484007144014</v>
      </c>
      <c r="T88" s="29">
        <f t="shared" si="132"/>
        <v>0.20468221548732815</v>
      </c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9"/>
      <c r="AH88" s="29"/>
      <c r="AI88" s="29"/>
      <c r="AJ88" s="29"/>
      <c r="AK88" s="29"/>
      <c r="AL88" s="29"/>
      <c r="AM88" s="29"/>
      <c r="AN88" s="29"/>
      <c r="AO88" s="29"/>
      <c r="AP88" s="29"/>
      <c r="AQ88" s="29"/>
      <c r="AR88" s="29"/>
      <c r="AS88" s="29"/>
      <c r="AT88" s="29"/>
      <c r="AU88" s="29"/>
      <c r="AV88" s="29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93"/>
      <c r="BW88" s="93"/>
      <c r="BX88" s="93"/>
      <c r="BY88" s="93"/>
      <c r="BZ88" s="93"/>
      <c r="CA88" s="93"/>
      <c r="CB88" s="93"/>
      <c r="CC88" s="93"/>
      <c r="CD88" s="93"/>
      <c r="CE88" s="93"/>
      <c r="CF88" s="93"/>
      <c r="CG88" s="93"/>
      <c r="CH88" s="93"/>
      <c r="CI88" s="93"/>
      <c r="CJ88" s="93"/>
      <c r="CK88" s="93"/>
      <c r="CL88" s="93"/>
      <c r="CM88" s="93"/>
      <c r="CN88" s="93"/>
      <c r="CO88" s="93"/>
      <c r="CP88" s="93"/>
      <c r="CQ88" s="93"/>
      <c r="CR88" s="93"/>
      <c r="CS88" s="93"/>
      <c r="CT88" s="93"/>
      <c r="CU88" s="93"/>
      <c r="CV88" s="93"/>
      <c r="CW88" s="93"/>
      <c r="CX88" s="93"/>
      <c r="CY88" s="93"/>
      <c r="CZ88" s="93"/>
      <c r="DA88" s="93"/>
      <c r="DB88" s="93"/>
      <c r="DC88" s="93"/>
      <c r="DD88" s="93"/>
      <c r="DE88" s="93"/>
      <c r="DF88" s="93"/>
      <c r="DG88" s="93"/>
      <c r="DH88" s="93"/>
      <c r="DI88" s="93"/>
      <c r="DJ88" s="93"/>
      <c r="DK88" s="93"/>
      <c r="DL88" s="93"/>
      <c r="DM88" s="93"/>
      <c r="DN88" s="93"/>
      <c r="DO88" s="93"/>
      <c r="DP88" s="93"/>
      <c r="DQ88" s="93"/>
      <c r="DR88" s="93"/>
      <c r="DS88" s="93"/>
      <c r="DT88" s="93"/>
      <c r="DU88" s="93"/>
      <c r="DV88" s="93"/>
      <c r="DW88" s="93"/>
      <c r="DX88" s="93"/>
      <c r="DY88" s="93"/>
      <c r="DZ88" s="93"/>
      <c r="EA88" s="93"/>
      <c r="EB88" s="93"/>
      <c r="EC88" s="93"/>
      <c r="ED88" s="5"/>
      <c r="EE88" s="29"/>
      <c r="EF88" s="29">
        <v>0.20037596869485153</v>
      </c>
      <c r="EG88" s="29">
        <v>0.21305627068775285</v>
      </c>
      <c r="EH88" s="29">
        <v>0.22918501456540885</v>
      </c>
      <c r="EI88" s="29">
        <v>0.2429030652968388</v>
      </c>
      <c r="EJ88" s="29">
        <f>EJ71/EJ62</f>
        <v>0.33571989248590661</v>
      </c>
      <c r="EK88" s="29">
        <f>EK71/EK62</f>
        <v>0.34740857954175969</v>
      </c>
      <c r="EL88" s="29">
        <f>EL71/EL62</f>
        <v>0.31728472117598949</v>
      </c>
      <c r="EM88" s="29">
        <f>EM71/EM62</f>
        <v>0.30613973182780524</v>
      </c>
      <c r="EN88" s="29">
        <f t="shared" ref="EN88:EX88" si="133">EN71/EN62</f>
        <v>0.28185352660271312</v>
      </c>
      <c r="EO88" s="29">
        <f t="shared" si="133"/>
        <v>0.31633396816439774</v>
      </c>
      <c r="EP88" s="29">
        <f t="shared" si="133"/>
        <v>-0.33803529179810726</v>
      </c>
      <c r="EQ88" s="29">
        <f t="shared" si="133"/>
        <v>-0.21770455536554084</v>
      </c>
      <c r="ER88" s="29">
        <f t="shared" si="133"/>
        <v>-0.21243051091399437</v>
      </c>
      <c r="ES88" s="29">
        <f t="shared" si="133"/>
        <v>-0.20978023034215337</v>
      </c>
      <c r="ET88" s="29">
        <f t="shared" si="133"/>
        <v>-0.20523245775635837</v>
      </c>
      <c r="EU88" s="29">
        <f t="shared" si="133"/>
        <v>-0.21689695442589996</v>
      </c>
      <c r="EV88" s="29">
        <f t="shared" si="133"/>
        <v>-0.20930328766454592</v>
      </c>
      <c r="EW88" s="29">
        <f t="shared" si="133"/>
        <v>-0.18496903987114449</v>
      </c>
      <c r="EX88" s="29">
        <f t="shared" si="133"/>
        <v>0.36925398213397803</v>
      </c>
      <c r="EY88" s="29">
        <f t="shared" ref="EY88" si="134">EY71/EY62</f>
        <v>0.34867279183452493</v>
      </c>
      <c r="FA88" s="114" t="s">
        <v>702</v>
      </c>
      <c r="FB88" s="50">
        <f>FB87/Main!J3</f>
        <v>17.401241640521906</v>
      </c>
      <c r="FD88" s="3" t="s">
        <v>674</v>
      </c>
    </row>
    <row r="89" spans="2:160">
      <c r="B89" s="15" t="s">
        <v>10</v>
      </c>
      <c r="C89" s="28">
        <v>0.1923497267759563</v>
      </c>
      <c r="D89" s="28">
        <v>0.18463143254520167</v>
      </c>
      <c r="E89" s="28">
        <v>0.23647253201156546</v>
      </c>
      <c r="F89" s="28">
        <v>0.20892237930114696</v>
      </c>
      <c r="G89" s="28">
        <v>0.22924411400247832</v>
      </c>
      <c r="H89" s="28">
        <v>0.20905574819951986</v>
      </c>
      <c r="I89" s="28">
        <v>0.26633377451570206</v>
      </c>
      <c r="J89" s="28">
        <v>0.21662116376542248</v>
      </c>
      <c r="K89" s="28"/>
      <c r="L89" s="28"/>
      <c r="M89" s="28"/>
      <c r="N89" s="28"/>
      <c r="O89" s="28"/>
      <c r="P89" s="28"/>
      <c r="Q89" s="28"/>
      <c r="R89" s="28">
        <f>R74/R62</f>
        <v>0.24175126903553298</v>
      </c>
      <c r="S89" s="28">
        <f>S74/S62</f>
        <v>0.30646208800129893</v>
      </c>
      <c r="T89" s="28">
        <f>T74/T62</f>
        <v>0.15772829094742391</v>
      </c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EE89" s="28"/>
      <c r="EF89" s="28">
        <v>0.23098438178172287</v>
      </c>
      <c r="EG89" s="28">
        <v>0.18826774549466715</v>
      </c>
      <c r="EH89" s="28">
        <v>0.2189892283720615</v>
      </c>
      <c r="EI89" s="28">
        <v>0.24071284416750166</v>
      </c>
      <c r="EJ89" s="28">
        <v>0.27114359566035856</v>
      </c>
      <c r="EK89" s="28">
        <v>0.30398791565649136</v>
      </c>
      <c r="EL89" s="28">
        <f t="shared" ref="EL89:EX89" si="135">EL74/EL62</f>
        <v>0.32236403159503263</v>
      </c>
      <c r="EM89" s="28">
        <f t="shared" si="135"/>
        <v>0.2725073092045569</v>
      </c>
      <c r="EN89" s="28">
        <f t="shared" si="135"/>
        <v>0.23378269872797194</v>
      </c>
      <c r="EO89" s="28">
        <f t="shared" si="135"/>
        <v>0.27944322964425949</v>
      </c>
      <c r="EP89" s="28">
        <f t="shared" si="135"/>
        <v>-0.34023363564668768</v>
      </c>
      <c r="EQ89" s="28">
        <f t="shared" si="135"/>
        <v>-0.2275453339033775</v>
      </c>
      <c r="ER89" s="28">
        <f t="shared" si="135"/>
        <v>-0.23065235802031098</v>
      </c>
      <c r="ES89" s="28">
        <f t="shared" si="135"/>
        <v>-0.23669937352076836</v>
      </c>
      <c r="ET89" s="28">
        <f t="shared" si="135"/>
        <v>-0.24072251323951199</v>
      </c>
      <c r="EU89" s="28">
        <f t="shared" si="135"/>
        <v>-0.26454797243931771</v>
      </c>
      <c r="EV89" s="28">
        <f t="shared" si="135"/>
        <v>-0.26554935001052543</v>
      </c>
      <c r="EW89" s="28">
        <f t="shared" si="135"/>
        <v>-0.24418560556188507</v>
      </c>
      <c r="EX89" s="28">
        <f t="shared" si="135"/>
        <v>0.35958369768358966</v>
      </c>
      <c r="EY89" s="28">
        <f t="shared" ref="EY89" si="136">EY74/EY62</f>
        <v>0.33671438352892469</v>
      </c>
      <c r="FA89" s="114" t="s">
        <v>703</v>
      </c>
      <c r="FB89" s="104">
        <f>FB88/Main!J2-1</f>
        <v>-0.93740560560963337</v>
      </c>
      <c r="FD89" s="3" t="s">
        <v>675</v>
      </c>
    </row>
    <row r="90" spans="2:160">
      <c r="B90" s="15" t="s">
        <v>11</v>
      </c>
      <c r="C90" s="28">
        <v>0.26704545454545453</v>
      </c>
      <c r="D90" s="28">
        <v>0.24896421845574387</v>
      </c>
      <c r="E90" s="28">
        <v>0.2430858806404658</v>
      </c>
      <c r="F90" s="28">
        <v>0.25853814235556977</v>
      </c>
      <c r="G90" s="28">
        <v>0.24204204204204205</v>
      </c>
      <c r="H90" s="28">
        <v>0.25486443381180224</v>
      </c>
      <c r="I90" s="28">
        <v>0.24734583239213914</v>
      </c>
      <c r="J90" s="28">
        <v>0.25700000000000001</v>
      </c>
      <c r="K90" s="28">
        <f t="shared" ref="K90:R90" si="137">K75/K74</f>
        <v>0.25301204819277107</v>
      </c>
      <c r="L90" s="28">
        <f t="shared" si="137"/>
        <v>0.24658897100625354</v>
      </c>
      <c r="M90" s="28">
        <f t="shared" si="137"/>
        <v>0.23280132085855806</v>
      </c>
      <c r="N90" s="28">
        <f t="shared" si="137"/>
        <v>0.22530864197530864</v>
      </c>
      <c r="O90" s="28">
        <f t="shared" si="137"/>
        <v>0.25570211596592468</v>
      </c>
      <c r="P90" s="28">
        <f t="shared" si="137"/>
        <v>0</v>
      </c>
      <c r="Q90" s="28">
        <f t="shared" si="137"/>
        <v>0.2261760345059981</v>
      </c>
      <c r="R90" s="28">
        <f t="shared" si="137"/>
        <v>0.19553805774278216</v>
      </c>
      <c r="S90" s="28">
        <f t="shared" ref="S90:T90" si="138">S75/S74</f>
        <v>0.23841059602649006</v>
      </c>
      <c r="T90" s="28">
        <f t="shared" si="138"/>
        <v>0.14480646059593427</v>
      </c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EE90" s="28"/>
      <c r="EF90" s="28">
        <v>0.2649132500765265</v>
      </c>
      <c r="EG90" s="28">
        <v>0.25766751318616915</v>
      </c>
      <c r="EH90" s="28">
        <v>0.24825986078886311</v>
      </c>
      <c r="EI90" s="28">
        <v>0.25182342708389949</v>
      </c>
      <c r="EJ90" s="28">
        <v>0.27200000000000002</v>
      </c>
      <c r="EK90" s="28">
        <v>0.28000000000000003</v>
      </c>
      <c r="EL90" s="28">
        <f>EL75/EL74</f>
        <v>0.22145813860328481</v>
      </c>
      <c r="EM90" s="28">
        <f>EM75/EM74</f>
        <v>0.21235664076951535</v>
      </c>
      <c r="EN90" s="28">
        <f>EN75/EN74</f>
        <v>0.2096890817064353</v>
      </c>
      <c r="EO90" s="28">
        <f t="shared" ref="EO90:EW90" si="139">EO75/EO74</f>
        <v>0.19697097181320994</v>
      </c>
      <c r="EP90" s="28">
        <f t="shared" si="139"/>
        <v>0.24</v>
      </c>
      <c r="EQ90" s="28">
        <f t="shared" si="139"/>
        <v>0.24</v>
      </c>
      <c r="ER90" s="28">
        <f t="shared" si="139"/>
        <v>0.24</v>
      </c>
      <c r="ES90" s="28">
        <f t="shared" si="139"/>
        <v>0.23999999999999996</v>
      </c>
      <c r="ET90" s="28">
        <f t="shared" si="139"/>
        <v>0.24</v>
      </c>
      <c r="EU90" s="28">
        <f t="shared" si="139"/>
        <v>0.24</v>
      </c>
      <c r="EV90" s="28">
        <f t="shared" si="139"/>
        <v>0.24</v>
      </c>
      <c r="EW90" s="28">
        <f t="shared" si="139"/>
        <v>0.24</v>
      </c>
      <c r="EX90" s="28">
        <f>EX75/EX74</f>
        <v>0.17137135227922945</v>
      </c>
      <c r="EY90" s="28">
        <f t="shared" ref="EY90" si="140">EY75/EY74</f>
        <v>0.14541757306346353</v>
      </c>
    </row>
    <row r="91" spans="2:160" s="17" customFormat="1">
      <c r="B91" s="17" t="s">
        <v>20</v>
      </c>
      <c r="C91" s="29">
        <v>0.12782982045277128</v>
      </c>
      <c r="D91" s="29">
        <v>0.12291376912378303</v>
      </c>
      <c r="E91" s="29">
        <v>0.1607462481068429</v>
      </c>
      <c r="F91" s="29">
        <v>0.13510269405174713</v>
      </c>
      <c r="G91" s="29">
        <v>0.15637477626325211</v>
      </c>
      <c r="H91" s="29">
        <v>0.1380034675913577</v>
      </c>
      <c r="I91" s="29">
        <v>0.17350499338226447</v>
      </c>
      <c r="J91" s="29">
        <v>0.1330572899949157</v>
      </c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9"/>
      <c r="AH91" s="29"/>
      <c r="AI91" s="29"/>
      <c r="AJ91" s="29"/>
      <c r="AK91" s="29"/>
      <c r="AL91" s="29"/>
      <c r="AM91" s="29"/>
      <c r="AN91" s="29"/>
      <c r="AO91" s="29"/>
      <c r="AP91" s="29"/>
      <c r="AQ91" s="29"/>
      <c r="AR91" s="29"/>
      <c r="AS91" s="29"/>
      <c r="AT91" s="29"/>
      <c r="AU91" s="29"/>
      <c r="AV91" s="29"/>
      <c r="AW91" s="93"/>
      <c r="AX91" s="93"/>
      <c r="AY91" s="93"/>
      <c r="AZ91" s="93"/>
      <c r="BA91" s="93"/>
      <c r="BB91" s="93"/>
      <c r="BC91" s="93"/>
      <c r="BD91" s="93"/>
      <c r="BE91" s="93"/>
      <c r="BF91" s="93"/>
      <c r="BG91" s="93"/>
      <c r="BH91" s="93"/>
      <c r="BI91" s="93"/>
      <c r="BJ91" s="93"/>
      <c r="BK91" s="93"/>
      <c r="BL91" s="93"/>
      <c r="BM91" s="93"/>
      <c r="BN91" s="93"/>
      <c r="BO91" s="93"/>
      <c r="BP91" s="93"/>
      <c r="BQ91" s="93"/>
      <c r="BR91" s="93"/>
      <c r="BS91" s="93"/>
      <c r="BT91" s="93"/>
      <c r="BU91" s="93"/>
      <c r="BV91" s="93"/>
      <c r="BW91" s="93"/>
      <c r="BX91" s="93"/>
      <c r="BY91" s="93"/>
      <c r="BZ91" s="93"/>
      <c r="CA91" s="93"/>
      <c r="CB91" s="93"/>
      <c r="CC91" s="93"/>
      <c r="CD91" s="93"/>
      <c r="CE91" s="93"/>
      <c r="CF91" s="93"/>
      <c r="CG91" s="93"/>
      <c r="CH91" s="93"/>
      <c r="CI91" s="93"/>
      <c r="CJ91" s="93"/>
      <c r="CK91" s="93"/>
      <c r="CL91" s="93"/>
      <c r="CM91" s="93"/>
      <c r="CN91" s="93"/>
      <c r="CO91" s="93"/>
      <c r="CP91" s="93"/>
      <c r="CQ91" s="93"/>
      <c r="CR91" s="93"/>
      <c r="CS91" s="93"/>
      <c r="CT91" s="93"/>
      <c r="CU91" s="93"/>
      <c r="CV91" s="93"/>
      <c r="CW91" s="93"/>
      <c r="CX91" s="93"/>
      <c r="CY91" s="93"/>
      <c r="CZ91" s="93"/>
      <c r="DA91" s="93"/>
      <c r="DB91" s="93"/>
      <c r="DC91" s="93"/>
      <c r="DD91" s="93"/>
      <c r="DE91" s="93"/>
      <c r="DF91" s="93"/>
      <c r="DG91" s="93"/>
      <c r="DH91" s="93"/>
      <c r="DI91" s="93"/>
      <c r="DJ91" s="93"/>
      <c r="DK91" s="93"/>
      <c r="DL91" s="93"/>
      <c r="DM91" s="93"/>
      <c r="DN91" s="93"/>
      <c r="DO91" s="93"/>
      <c r="DP91" s="93"/>
      <c r="DQ91" s="93"/>
      <c r="DR91" s="93"/>
      <c r="DS91" s="93"/>
      <c r="DT91" s="93"/>
      <c r="DU91" s="93"/>
      <c r="DV91" s="93"/>
      <c r="DW91" s="93"/>
      <c r="DX91" s="93"/>
      <c r="DY91" s="93"/>
      <c r="DZ91" s="93"/>
      <c r="EA91" s="93"/>
      <c r="EB91" s="93"/>
      <c r="EC91" s="93"/>
      <c r="ED91" s="5"/>
      <c r="EE91" s="29"/>
      <c r="EF91" s="29">
        <v>0.17109793967322903</v>
      </c>
      <c r="EG91" s="29">
        <v>0.12522986392055904</v>
      </c>
      <c r="EH91" s="29">
        <v>0.14704288327349097</v>
      </c>
      <c r="EI91" s="29">
        <v>0.15265901938106788</v>
      </c>
      <c r="EJ91" s="29">
        <v>0.16483039249577047</v>
      </c>
      <c r="EK91" s="29">
        <v>0.17561949193815188</v>
      </c>
      <c r="EL91" s="29">
        <f t="shared" ref="EL91:EW91" si="141">EL78/EL62</f>
        <v>0.2106192023760842</v>
      </c>
      <c r="EM91" s="29">
        <f t="shared" si="141"/>
        <v>0.2</v>
      </c>
      <c r="EN91" s="29">
        <f t="shared" si="141"/>
        <v>0.1800067616109538</v>
      </c>
      <c r="EO91" s="29">
        <f t="shared" si="141"/>
        <v>0.21967506054407374</v>
      </c>
      <c r="EP91" s="29">
        <f t="shared" si="141"/>
        <v>-0.25857756309148267</v>
      </c>
      <c r="EQ91" s="29">
        <f t="shared" si="141"/>
        <v>-0.17293445376656688</v>
      </c>
      <c r="ER91" s="29">
        <f t="shared" si="141"/>
        <v>-0.17529579209543633</v>
      </c>
      <c r="ES91" s="29">
        <f t="shared" si="141"/>
        <v>-0.17989152387578397</v>
      </c>
      <c r="ET91" s="29">
        <f t="shared" si="141"/>
        <v>-0.1829491100620291</v>
      </c>
      <c r="EU91" s="29">
        <f t="shared" si="141"/>
        <v>-0.20105645905388148</v>
      </c>
      <c r="EV91" s="29">
        <f t="shared" si="141"/>
        <v>-0.20181750600799933</v>
      </c>
      <c r="EW91" s="29">
        <f t="shared" si="141"/>
        <v>-0.18558106022703266</v>
      </c>
      <c r="EX91" s="29">
        <f>EX78/EX62</f>
        <v>0.28422749172710593</v>
      </c>
      <c r="EY91" s="29">
        <f>EY78/EY62</f>
        <v>0.27130141239789174</v>
      </c>
      <c r="FA91" s="48"/>
      <c r="FB91" s="48"/>
    </row>
    <row r="92" spans="2:160">
      <c r="B92" s="15" t="s">
        <v>7</v>
      </c>
      <c r="C92" s="28">
        <v>0.11280249804839969</v>
      </c>
      <c r="D92" s="28">
        <v>0.11328233657858136</v>
      </c>
      <c r="E92" s="28">
        <v>0.19454770755885997</v>
      </c>
      <c r="F92" s="28">
        <v>0.10089357161909843</v>
      </c>
      <c r="G92" s="28">
        <v>0.18718160539721879</v>
      </c>
      <c r="H92" s="28">
        <v>9.8826353694318483E-2</v>
      </c>
      <c r="I92" s="28">
        <v>0.16827096618938756</v>
      </c>
      <c r="J92" s="28">
        <v>0.13251987160344253</v>
      </c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EE92" s="28"/>
      <c r="EF92" s="28">
        <v>-4.0346087028221136E-2</v>
      </c>
      <c r="EG92" s="28">
        <v>0.11305627068775286</v>
      </c>
      <c r="EH92" s="28">
        <v>0.14230065713705034</v>
      </c>
      <c r="EI92" s="28">
        <v>0.15410220583112316</v>
      </c>
      <c r="EJ92" s="28">
        <v>0.16469033218166365</v>
      </c>
      <c r="EK92" s="28">
        <v>0.17550225150897455</v>
      </c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</row>
    <row r="93" spans="2:160">
      <c r="G93" s="23"/>
      <c r="H93" s="23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</row>
    <row r="94" spans="2:160" s="17" customFormat="1">
      <c r="B94" s="17" t="s">
        <v>184</v>
      </c>
      <c r="C94" s="75" t="s">
        <v>12</v>
      </c>
      <c r="D94" s="75" t="s">
        <v>12</v>
      </c>
      <c r="E94" s="29">
        <v>0.13395784543325528</v>
      </c>
      <c r="F94" s="29">
        <v>4.2837273991655156E-2</v>
      </c>
      <c r="G94" s="75" t="s">
        <v>12</v>
      </c>
      <c r="H94" s="75" t="s">
        <v>12</v>
      </c>
      <c r="I94" s="29">
        <v>0.14429299187663491</v>
      </c>
      <c r="J94" s="29">
        <v>7.3267007224671055E-2</v>
      </c>
      <c r="K94" s="29">
        <f t="shared" ref="K94:T94" si="142">K62/I62-1</f>
        <v>0.19414029599326188</v>
      </c>
      <c r="L94" s="29">
        <f t="shared" si="142"/>
        <v>0.17486367727248653</v>
      </c>
      <c r="M94" s="29">
        <f t="shared" si="142"/>
        <v>0.1500327472416747</v>
      </c>
      <c r="N94" s="29">
        <f t="shared" si="142"/>
        <v>5.0198269646719584E-2</v>
      </c>
      <c r="O94" s="29">
        <f t="shared" si="142"/>
        <v>-3.6053795943400413E-2</v>
      </c>
      <c r="P94" s="29">
        <f t="shared" si="142"/>
        <v>1.3172573586200942E-2</v>
      </c>
      <c r="Q94" s="29">
        <f t="shared" si="142"/>
        <v>9.0983457553172054E-2</v>
      </c>
      <c r="R94" s="29">
        <f t="shared" si="142"/>
        <v>6.7886333799178411E-2</v>
      </c>
      <c r="S94" s="29">
        <f t="shared" si="142"/>
        <v>2.6243439140214875E-2</v>
      </c>
      <c r="T94" s="29">
        <f t="shared" si="142"/>
        <v>-9.7120875634517767E-2</v>
      </c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79"/>
      <c r="BH94" s="79"/>
      <c r="BI94" s="79"/>
      <c r="BJ94" s="79"/>
      <c r="BK94" s="79"/>
      <c r="BL94" s="79"/>
      <c r="BM94" s="79"/>
      <c r="BN94" s="79"/>
      <c r="BO94" s="79"/>
      <c r="BP94" s="79">
        <f t="shared" ref="BP94:BQ94" si="143">BP62/BL62-1</f>
        <v>2.3527361449982021E-3</v>
      </c>
      <c r="BQ94" s="79">
        <f t="shared" si="143"/>
        <v>-1.7546658159196538E-3</v>
      </c>
      <c r="BR94" s="79">
        <f t="shared" ref="BR94:BW94" si="144">BR62/BN62-1</f>
        <v>6.0909583107742193E-2</v>
      </c>
      <c r="BS94" s="79">
        <f t="shared" si="144"/>
        <v>0.1108959690195388</v>
      </c>
      <c r="BT94" s="79">
        <f t="shared" si="144"/>
        <v>9.2236807789272346E-2</v>
      </c>
      <c r="BU94" s="79">
        <f t="shared" si="144"/>
        <v>1.0866091403004097E-2</v>
      </c>
      <c r="BV94" s="79">
        <f t="shared" si="144"/>
        <v>-6.1835502253976382E-2</v>
      </c>
      <c r="BW94" s="79">
        <f t="shared" si="144"/>
        <v>-1.8301378545396929E-2</v>
      </c>
      <c r="BX94" s="79">
        <f t="shared" ref="BX94" si="145">BX62/BT62-1</f>
        <v>-8.5402737981534527E-2</v>
      </c>
      <c r="BY94" s="79">
        <f t="shared" ref="BY94" si="146">BY62/BU62-1</f>
        <v>-0.10322478659500478</v>
      </c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E94" s="29"/>
      <c r="EF94" s="29"/>
      <c r="EG94" s="29">
        <v>4.3121307450318502E-2</v>
      </c>
      <c r="EH94" s="29"/>
      <c r="EI94" s="29">
        <f t="shared" ref="EI94:EJ94" si="147">EI62/EH62-1</f>
        <v>0.20286565950816349</v>
      </c>
      <c r="EJ94" s="29">
        <f t="shared" si="147"/>
        <v>0.18388668299963395</v>
      </c>
      <c r="EK94" s="29">
        <f>EK62/EJ62-1</f>
        <v>9.733355533883592E-2</v>
      </c>
      <c r="EL94" s="29">
        <f>EL62/EK62-1</f>
        <v>7.1532308759456598E-3</v>
      </c>
      <c r="EM94" s="29">
        <f>EM62/EL62-1</f>
        <v>6.7408475561199221E-2</v>
      </c>
      <c r="EN94" s="29">
        <f>EN62/EM62-1</f>
        <v>-4.5750579695533866E-2</v>
      </c>
      <c r="EO94" s="29">
        <f t="shared" ref="EO94:EQ94" si="148">EO62/EN62-1</f>
        <v>-0.10131851413599291</v>
      </c>
      <c r="EP94" s="29">
        <f t="shared" si="148"/>
        <v>-0.28447485363617131</v>
      </c>
      <c r="EQ94" s="29">
        <f t="shared" si="148"/>
        <v>0.53719768664563627</v>
      </c>
      <c r="ER94" s="29">
        <f t="shared" ref="ER94" si="149">ER62/EQ62-1</f>
        <v>1.4578879863189398E-2</v>
      </c>
      <c r="ES94" s="29">
        <f t="shared" ref="ES94" si="150">ES62/ER62-1</f>
        <v>2.5072689730731845E-3</v>
      </c>
      <c r="ET94" s="29">
        <f t="shared" ref="ET94" si="151">ET62/ES62-1</f>
        <v>1.1937538092936295E-2</v>
      </c>
      <c r="EU94" s="29">
        <f t="shared" ref="EU94" si="152">EU62/ET62-1</f>
        <v>-6.3241188809736393E-2</v>
      </c>
      <c r="EV94" s="29">
        <f t="shared" ref="EV94" si="153">EV62/EU62-1</f>
        <v>2.5917878680383089E-2</v>
      </c>
      <c r="EW94" s="29">
        <f t="shared" ref="EW94" si="154">EW62/EV62-1</f>
        <v>0.12024290623041511</v>
      </c>
      <c r="EX94" s="29">
        <f t="shared" ref="EX94" si="155">EX62/EW62-1</f>
        <v>0.12512298165403091</v>
      </c>
      <c r="EY94" s="29">
        <f t="shared" ref="EY94" si="156">EY62/EX62-1</f>
        <v>7.6779315192976982E-2</v>
      </c>
      <c r="FA94" s="48"/>
      <c r="FB94" s="48"/>
    </row>
    <row r="95" spans="2:160" s="17" customFormat="1">
      <c r="B95" s="17" t="s">
        <v>336</v>
      </c>
      <c r="C95" s="75"/>
      <c r="D95" s="75"/>
      <c r="E95" s="29"/>
      <c r="F95" s="29"/>
      <c r="G95" s="75"/>
      <c r="H95" s="75"/>
      <c r="I95" s="29"/>
      <c r="J95" s="29"/>
      <c r="K95" s="29"/>
      <c r="L95" s="29"/>
      <c r="M95" s="29"/>
      <c r="N95" s="29"/>
      <c r="O95" s="29"/>
      <c r="P95" s="29"/>
      <c r="Q95" s="29">
        <v>0.1</v>
      </c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  <c r="AJ95" s="29"/>
      <c r="AK95" s="29"/>
      <c r="AL95" s="29"/>
      <c r="AM95" s="29"/>
      <c r="AN95" s="29"/>
      <c r="AO95" s="29"/>
      <c r="AP95" s="29"/>
      <c r="AQ95" s="29"/>
      <c r="AR95" s="29"/>
      <c r="AS95" s="29"/>
      <c r="AT95" s="29"/>
      <c r="AU95" s="29"/>
      <c r="AV95" s="29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79"/>
      <c r="BS95" s="48"/>
      <c r="BT95" s="79">
        <v>0.14000000000000001</v>
      </c>
      <c r="BU95" s="48"/>
      <c r="BV95" s="79">
        <v>0.09</v>
      </c>
      <c r="BW95" s="79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E95" s="29"/>
      <c r="EF95" s="29"/>
      <c r="EG95" s="29"/>
      <c r="EH95" s="29"/>
      <c r="EI95" s="29"/>
      <c r="EJ95" s="29">
        <v>0.17399999999999999</v>
      </c>
      <c r="EK95" s="29">
        <v>0.10199999999999999</v>
      </c>
      <c r="EL95" s="29">
        <v>5.8999999999999997E-2</v>
      </c>
      <c r="EM95" s="29">
        <v>0.1</v>
      </c>
      <c r="EN95" s="29">
        <v>0</v>
      </c>
      <c r="EO95" s="29"/>
      <c r="EP95" s="29"/>
      <c r="EQ95" s="29"/>
      <c r="ER95" s="29"/>
      <c r="ES95" s="29"/>
      <c r="ET95" s="29"/>
      <c r="EU95" s="29"/>
      <c r="EV95" s="29"/>
      <c r="EW95" s="29"/>
      <c r="EX95" s="29"/>
      <c r="EY95" s="48"/>
      <c r="FA95" s="48"/>
      <c r="FB95" s="48"/>
    </row>
    <row r="96" spans="2:160" s="17" customFormat="1">
      <c r="B96" s="17" t="s">
        <v>337</v>
      </c>
      <c r="C96" s="75"/>
      <c r="D96" s="75"/>
      <c r="E96" s="29"/>
      <c r="F96" s="29"/>
      <c r="G96" s="75"/>
      <c r="H96" s="75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  <c r="AJ96" s="29"/>
      <c r="AK96" s="29"/>
      <c r="AL96" s="29"/>
      <c r="AM96" s="29"/>
      <c r="AN96" s="29"/>
      <c r="AO96" s="29"/>
      <c r="AP96" s="29"/>
      <c r="AQ96" s="29"/>
      <c r="AR96" s="29"/>
      <c r="AS96" s="29"/>
      <c r="AT96" s="29"/>
      <c r="AU96" s="29"/>
      <c r="AV96" s="29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79"/>
      <c r="BS96" s="48"/>
      <c r="BT96" s="79">
        <v>0.15</v>
      </c>
      <c r="BU96" s="48"/>
      <c r="BV96" s="79">
        <v>0.1</v>
      </c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E96" s="29"/>
      <c r="EF96" s="29"/>
      <c r="EG96" s="29"/>
      <c r="EH96" s="29"/>
      <c r="EI96" s="29"/>
      <c r="EJ96" s="29"/>
      <c r="EK96" s="29">
        <v>0.114</v>
      </c>
      <c r="EL96" s="29">
        <v>4.7E-2</v>
      </c>
      <c r="EM96" s="29">
        <v>0.11</v>
      </c>
      <c r="EN96" s="29">
        <v>-0.02</v>
      </c>
      <c r="EO96" s="29"/>
      <c r="EP96" s="29"/>
      <c r="EQ96" s="29"/>
      <c r="ER96" s="29"/>
      <c r="ES96" s="29"/>
      <c r="ET96" s="29"/>
      <c r="EU96" s="29"/>
      <c r="EV96" s="29"/>
      <c r="EW96" s="29"/>
      <c r="EX96" s="29"/>
      <c r="EY96" s="48"/>
      <c r="FA96" s="48"/>
      <c r="FB96" s="48"/>
    </row>
    <row r="97" spans="2:158" s="17" customFormat="1">
      <c r="B97" s="17" t="s">
        <v>721</v>
      </c>
      <c r="C97" s="75"/>
      <c r="D97" s="75"/>
      <c r="E97" s="29"/>
      <c r="F97" s="29"/>
      <c r="G97" s="75"/>
      <c r="H97" s="75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29"/>
      <c r="AQ97" s="29"/>
      <c r="AR97" s="29"/>
      <c r="AS97" s="29"/>
      <c r="AT97" s="29"/>
      <c r="AU97" s="29"/>
      <c r="AV97" s="29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79"/>
      <c r="BS97" s="48"/>
      <c r="BT97" s="79"/>
      <c r="BU97" s="48"/>
      <c r="BV97" s="79"/>
      <c r="BW97" s="48"/>
      <c r="BX97" s="48"/>
      <c r="BY97" s="79">
        <v>0.1</v>
      </c>
      <c r="BZ97" s="79">
        <v>7.0000000000000007E-2</v>
      </c>
      <c r="CA97" s="79">
        <v>0.06</v>
      </c>
      <c r="CB97" s="79">
        <v>7.0000000000000007E-2</v>
      </c>
      <c r="CC97" s="79">
        <v>0.1</v>
      </c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E97" s="29"/>
      <c r="EF97" s="29"/>
      <c r="EG97" s="29"/>
      <c r="EH97" s="29"/>
      <c r="EI97" s="29"/>
      <c r="EJ97" s="29"/>
      <c r="EK97" s="29"/>
      <c r="EL97" s="29"/>
      <c r="EM97" s="29"/>
      <c r="EN97" s="29"/>
      <c r="EO97" s="29"/>
      <c r="EP97" s="29"/>
      <c r="EQ97" s="29"/>
      <c r="ER97" s="29"/>
      <c r="ES97" s="29"/>
      <c r="ET97" s="29"/>
      <c r="EU97" s="29"/>
      <c r="EV97" s="29"/>
      <c r="EW97" s="29"/>
      <c r="EX97" s="29"/>
      <c r="EY97" s="48"/>
      <c r="FA97" s="48"/>
      <c r="FB97" s="48"/>
    </row>
    <row r="98" spans="2:158" s="17" customFormat="1">
      <c r="B98" s="17" t="s">
        <v>722</v>
      </c>
      <c r="C98" s="75"/>
      <c r="D98" s="75"/>
      <c r="E98" s="29"/>
      <c r="F98" s="29"/>
      <c r="G98" s="75"/>
      <c r="H98" s="75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  <c r="AA98" s="29"/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29"/>
      <c r="AQ98" s="29"/>
      <c r="AR98" s="29"/>
      <c r="AS98" s="29"/>
      <c r="AT98" s="29"/>
      <c r="AU98" s="29"/>
      <c r="AV98" s="29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79"/>
      <c r="BS98" s="48"/>
      <c r="BT98" s="79"/>
      <c r="BU98" s="48"/>
      <c r="BV98" s="79"/>
      <c r="BW98" s="48"/>
      <c r="BX98" s="48"/>
      <c r="BY98" s="79">
        <v>0.02</v>
      </c>
      <c r="BZ98" s="79">
        <v>-0.06</v>
      </c>
      <c r="CA98" s="79">
        <v>-0.09</v>
      </c>
      <c r="CB98" s="79">
        <v>-0.1</v>
      </c>
      <c r="CC98" s="79">
        <v>-0.02</v>
      </c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E98" s="29"/>
      <c r="EF98" s="29"/>
      <c r="EG98" s="29"/>
      <c r="EH98" s="29"/>
      <c r="EI98" s="29"/>
      <c r="EJ98" s="29"/>
      <c r="EK98" s="29"/>
      <c r="EL98" s="29"/>
      <c r="EM98" s="29"/>
      <c r="EN98" s="29"/>
      <c r="EO98" s="29"/>
      <c r="EP98" s="29"/>
      <c r="EQ98" s="29"/>
      <c r="ER98" s="29"/>
      <c r="ES98" s="29"/>
      <c r="ET98" s="29"/>
      <c r="EU98" s="29"/>
      <c r="EV98" s="29"/>
      <c r="EW98" s="29"/>
      <c r="EX98" s="29"/>
      <c r="EY98" s="48"/>
      <c r="FA98" s="48"/>
      <c r="FB98" s="48"/>
    </row>
    <row r="99" spans="2:158" s="17" customFormat="1">
      <c r="B99" s="17" t="s">
        <v>723</v>
      </c>
      <c r="C99" s="75"/>
      <c r="D99" s="75"/>
      <c r="E99" s="29"/>
      <c r="F99" s="29"/>
      <c r="G99" s="75"/>
      <c r="H99" s="75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  <c r="AA99" s="29"/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29"/>
      <c r="AQ99" s="29"/>
      <c r="AR99" s="29"/>
      <c r="AS99" s="29"/>
      <c r="AT99" s="29"/>
      <c r="AU99" s="29"/>
      <c r="AV99" s="29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79"/>
      <c r="BS99" s="48"/>
      <c r="BT99" s="79"/>
      <c r="BU99" s="48"/>
      <c r="BV99" s="79"/>
      <c r="BW99" s="48"/>
      <c r="BX99" s="48"/>
      <c r="BY99" s="79">
        <v>0.05</v>
      </c>
      <c r="BZ99" s="79">
        <v>0.08</v>
      </c>
      <c r="CA99" s="79">
        <v>0.12</v>
      </c>
      <c r="CB99" s="79">
        <v>0.04</v>
      </c>
      <c r="CC99" s="79">
        <v>0.14000000000000001</v>
      </c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E99" s="29"/>
      <c r="EF99" s="29"/>
      <c r="EG99" s="29"/>
      <c r="EH99" s="29"/>
      <c r="EI99" s="29"/>
      <c r="EJ99" s="29"/>
      <c r="EK99" s="29"/>
      <c r="EL99" s="29"/>
      <c r="EM99" s="29"/>
      <c r="EN99" s="29"/>
      <c r="EO99" s="29"/>
      <c r="EP99" s="29"/>
      <c r="EQ99" s="29"/>
      <c r="ER99" s="29"/>
      <c r="ES99" s="29"/>
      <c r="ET99" s="29"/>
      <c r="EU99" s="29"/>
      <c r="EV99" s="29"/>
      <c r="EW99" s="29"/>
      <c r="EX99" s="29"/>
      <c r="EY99" s="48"/>
      <c r="FA99" s="48"/>
      <c r="FB99" s="48"/>
    </row>
    <row r="100" spans="2:158" s="17" customFormat="1">
      <c r="B100" s="3" t="s">
        <v>698</v>
      </c>
      <c r="C100" s="75"/>
      <c r="D100" s="75"/>
      <c r="E100" s="29"/>
      <c r="F100" s="29"/>
      <c r="G100" s="75"/>
      <c r="H100" s="75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29"/>
      <c r="AQ100" s="29"/>
      <c r="AR100" s="29"/>
      <c r="AS100" s="29"/>
      <c r="AT100" s="29"/>
      <c r="AU100" s="29"/>
      <c r="AV100" s="29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79"/>
      <c r="BS100" s="48"/>
      <c r="BT100" s="79"/>
      <c r="BU100" s="48"/>
      <c r="BV100" s="79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E100" s="29"/>
      <c r="EF100" s="29"/>
      <c r="EG100" s="29"/>
      <c r="EH100" s="29"/>
      <c r="EI100" s="29"/>
      <c r="EJ100" s="29"/>
      <c r="EK100" s="81">
        <f t="shared" ref="EK100:EY100" si="157">EK6/EJ6-1</f>
        <v>6.8937921573110739E-2</v>
      </c>
      <c r="EL100" s="81">
        <f t="shared" si="157"/>
        <v>3.2727272727272716E-2</v>
      </c>
      <c r="EM100" s="81">
        <f t="shared" si="157"/>
        <v>4.1321458160729074E-2</v>
      </c>
      <c r="EN100" s="81">
        <f t="shared" si="157"/>
        <v>3.5803083043262074E-2</v>
      </c>
      <c r="EO100" s="81">
        <f t="shared" si="157"/>
        <v>-6.5098415746519422E-2</v>
      </c>
      <c r="EP100" s="81">
        <f t="shared" si="157"/>
        <v>-1</v>
      </c>
      <c r="EQ100" s="81" t="e">
        <f t="shared" si="157"/>
        <v>#DIV/0!</v>
      </c>
      <c r="ER100" s="81" t="e">
        <f t="shared" si="157"/>
        <v>#DIV/0!</v>
      </c>
      <c r="ES100" s="81" t="e">
        <f t="shared" si="157"/>
        <v>#DIV/0!</v>
      </c>
      <c r="ET100" s="81" t="e">
        <f t="shared" si="157"/>
        <v>#DIV/0!</v>
      </c>
      <c r="EU100" s="81" t="e">
        <f t="shared" si="157"/>
        <v>#DIV/0!</v>
      </c>
      <c r="EV100" s="81">
        <f t="shared" si="157"/>
        <v>6.6230648232469491E-2</v>
      </c>
      <c r="EW100" s="81">
        <f t="shared" si="157"/>
        <v>5.5128503765820014E-3</v>
      </c>
      <c r="EX100" s="81">
        <f t="shared" si="157"/>
        <v>6.4942084942084977E-2</v>
      </c>
      <c r="EY100" s="81">
        <f t="shared" si="157"/>
        <v>0.2877963889493147</v>
      </c>
      <c r="FA100" s="48"/>
      <c r="FB100" s="48"/>
    </row>
    <row r="101" spans="2:158" s="3" customFormat="1">
      <c r="B101" s="3" t="s">
        <v>338</v>
      </c>
      <c r="C101" s="80"/>
      <c r="D101" s="80"/>
      <c r="E101" s="81"/>
      <c r="F101" s="81"/>
      <c r="G101" s="80"/>
      <c r="H101" s="80"/>
      <c r="I101" s="81"/>
      <c r="J101" s="81"/>
      <c r="K101" s="81"/>
      <c r="L101" s="81"/>
      <c r="M101" s="81"/>
      <c r="N101" s="81"/>
      <c r="O101" s="81"/>
      <c r="P101" s="81"/>
      <c r="Q101" s="81"/>
      <c r="R101" s="81"/>
      <c r="S101" s="81"/>
      <c r="T101" s="81"/>
      <c r="U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Q101" s="81"/>
      <c r="AR101" s="81"/>
      <c r="AS101" s="81"/>
      <c r="AT101" s="81"/>
      <c r="AU101" s="81"/>
      <c r="AV101" s="81"/>
      <c r="AW101" s="52"/>
      <c r="AX101" s="52"/>
      <c r="AY101" s="52"/>
      <c r="AZ101" s="52"/>
      <c r="BA101" s="52"/>
      <c r="BB101" s="52"/>
      <c r="BC101" s="52"/>
      <c r="BD101" s="52"/>
      <c r="BE101" s="52"/>
      <c r="BF101" s="52"/>
      <c r="BG101" s="52"/>
      <c r="BH101" s="52"/>
      <c r="BI101" s="52"/>
      <c r="BJ101" s="52"/>
      <c r="BK101" s="52"/>
      <c r="BL101" s="52"/>
      <c r="BM101" s="52"/>
      <c r="BN101" s="52"/>
      <c r="BO101" s="52"/>
      <c r="BP101" s="52"/>
      <c r="BQ101" s="52"/>
      <c r="BR101" s="82"/>
      <c r="BS101" s="52"/>
      <c r="BT101" s="82">
        <v>0.1</v>
      </c>
      <c r="BU101" s="52"/>
      <c r="BV101" s="82">
        <v>0.09</v>
      </c>
      <c r="BW101" s="52"/>
      <c r="BX101" s="52"/>
      <c r="BY101" s="52"/>
      <c r="BZ101" s="52"/>
      <c r="CA101" s="52"/>
      <c r="CB101" s="52"/>
      <c r="CC101" s="52"/>
      <c r="CD101" s="52"/>
      <c r="CE101" s="52"/>
      <c r="CF101" s="52"/>
      <c r="CG101" s="52"/>
      <c r="CH101" s="52"/>
      <c r="CI101" s="52"/>
      <c r="CJ101" s="52"/>
      <c r="CK101" s="52"/>
      <c r="CL101" s="52"/>
      <c r="CM101" s="52"/>
      <c r="CN101" s="52"/>
      <c r="CO101" s="52"/>
      <c r="CP101" s="52"/>
      <c r="CQ101" s="52"/>
      <c r="CR101" s="52"/>
      <c r="CS101" s="52"/>
      <c r="CT101" s="52"/>
      <c r="CU101" s="52"/>
      <c r="CV101" s="52"/>
      <c r="CW101" s="52"/>
      <c r="CX101" s="52"/>
      <c r="CY101" s="52"/>
      <c r="CZ101" s="52"/>
      <c r="DA101" s="52"/>
      <c r="DB101" s="52"/>
      <c r="DC101" s="52"/>
      <c r="DD101" s="52"/>
      <c r="DE101" s="52"/>
      <c r="DF101" s="52"/>
      <c r="DG101" s="52"/>
      <c r="DH101" s="52"/>
      <c r="DI101" s="52"/>
      <c r="DJ101" s="52"/>
      <c r="DK101" s="52"/>
      <c r="DL101" s="52"/>
      <c r="DM101" s="52"/>
      <c r="DN101" s="52"/>
      <c r="DO101" s="52"/>
      <c r="DP101" s="52"/>
      <c r="DQ101" s="52"/>
      <c r="DR101" s="52"/>
      <c r="DS101" s="52"/>
      <c r="DT101" s="52"/>
      <c r="DU101" s="52"/>
      <c r="DV101" s="52"/>
      <c r="DW101" s="52"/>
      <c r="DX101" s="52"/>
      <c r="DY101" s="52"/>
      <c r="DZ101" s="52"/>
      <c r="EA101" s="52"/>
      <c r="EB101" s="52"/>
      <c r="EC101" s="52"/>
      <c r="EE101" s="81"/>
      <c r="EF101" s="81"/>
      <c r="EG101" s="81"/>
      <c r="EH101" s="81"/>
      <c r="EI101" s="81"/>
      <c r="EJ101" s="81"/>
      <c r="EK101" s="81">
        <v>5.6000000000000001E-2</v>
      </c>
      <c r="EL101" s="81">
        <v>0.105</v>
      </c>
      <c r="EM101" s="81">
        <v>0.09</v>
      </c>
      <c r="EN101" s="81">
        <v>0.08</v>
      </c>
      <c r="EO101" s="81"/>
      <c r="EP101" s="81"/>
      <c r="EQ101" s="81"/>
      <c r="ER101" s="81"/>
      <c r="ES101" s="81"/>
      <c r="ET101" s="81"/>
      <c r="EU101" s="81"/>
      <c r="EV101" s="81"/>
      <c r="EW101" s="81"/>
      <c r="EX101" s="81"/>
      <c r="EY101" s="52"/>
      <c r="FA101" s="52"/>
      <c r="FB101" s="52"/>
    </row>
    <row r="102" spans="2:158">
      <c r="B102" s="15" t="s">
        <v>187</v>
      </c>
      <c r="C102" s="74" t="s">
        <v>12</v>
      </c>
      <c r="D102" s="74" t="s">
        <v>12</v>
      </c>
      <c r="E102" s="28">
        <v>8.8846364133406297E-2</v>
      </c>
      <c r="F102" s="28">
        <v>3.1978841067564323E-2</v>
      </c>
      <c r="G102" s="74" t="s">
        <v>12</v>
      </c>
      <c r="H102" s="74" t="s">
        <v>12</v>
      </c>
      <c r="I102" s="28">
        <v>0.10224999999999995</v>
      </c>
      <c r="J102" s="28">
        <v>6.1689216876127606E-2</v>
      </c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EE102" s="28"/>
      <c r="EF102" s="28"/>
      <c r="EG102" s="28">
        <v>-5.3441913729481705E-3</v>
      </c>
      <c r="EH102" s="28"/>
      <c r="EI102" s="28">
        <f t="shared" ref="EI102:EK104" si="158">EI66/EH66-1</f>
        <v>0.14020148716718639</v>
      </c>
      <c r="EJ102" s="28">
        <f t="shared" si="158"/>
        <v>0.14189544546123911</v>
      </c>
      <c r="EK102" s="28">
        <f t="shared" si="158"/>
        <v>-0.14084377302873985</v>
      </c>
      <c r="EL102" s="28">
        <v>0.10866670124251376</v>
      </c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</row>
    <row r="103" spans="2:158" s="17" customFormat="1">
      <c r="B103" s="15" t="s">
        <v>188</v>
      </c>
      <c r="C103" s="75" t="s">
        <v>12</v>
      </c>
      <c r="D103" s="75" t="s">
        <v>12</v>
      </c>
      <c r="E103" s="29">
        <v>8.599394080633882E-2</v>
      </c>
      <c r="F103" s="29">
        <v>2.5992632009824046E-2</v>
      </c>
      <c r="G103" s="75" t="s">
        <v>12</v>
      </c>
      <c r="H103" s="75" t="s">
        <v>12</v>
      </c>
      <c r="I103" s="29">
        <v>9.7845423996837377E-2</v>
      </c>
      <c r="J103" s="29">
        <v>5.8237668615354954E-2</v>
      </c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29"/>
      <c r="AQ103" s="29"/>
      <c r="AR103" s="29"/>
      <c r="AS103" s="29"/>
      <c r="AT103" s="29"/>
      <c r="AU103" s="29"/>
      <c r="AV103" s="29"/>
      <c r="AW103" s="93"/>
      <c r="AX103" s="93"/>
      <c r="AY103" s="93"/>
      <c r="AZ103" s="93"/>
      <c r="BA103" s="93"/>
      <c r="BB103" s="93"/>
      <c r="BC103" s="93"/>
      <c r="BD103" s="93"/>
      <c r="BE103" s="93"/>
      <c r="BF103" s="93"/>
      <c r="BG103" s="93"/>
      <c r="BH103" s="93"/>
      <c r="BI103" s="93"/>
      <c r="BJ103" s="93"/>
      <c r="BK103" s="93"/>
      <c r="BL103" s="93"/>
      <c r="BM103" s="93"/>
      <c r="BN103" s="93"/>
      <c r="BO103" s="93"/>
      <c r="BP103" s="93"/>
      <c r="BQ103" s="93"/>
      <c r="BR103" s="93"/>
      <c r="BS103" s="93"/>
      <c r="BT103" s="93"/>
      <c r="BU103" s="93"/>
      <c r="BV103" s="93"/>
      <c r="BW103" s="93"/>
      <c r="BX103" s="93"/>
      <c r="BY103" s="93"/>
      <c r="BZ103" s="93"/>
      <c r="CA103" s="93"/>
      <c r="CB103" s="93"/>
      <c r="CC103" s="93"/>
      <c r="CD103" s="93"/>
      <c r="CE103" s="93"/>
      <c r="CF103" s="93"/>
      <c r="CG103" s="93"/>
      <c r="CH103" s="93"/>
      <c r="CI103" s="93"/>
      <c r="CJ103" s="93"/>
      <c r="CK103" s="93"/>
      <c r="CL103" s="93"/>
      <c r="CM103" s="93"/>
      <c r="CN103" s="93"/>
      <c r="CO103" s="93"/>
      <c r="CP103" s="93"/>
      <c r="CQ103" s="93"/>
      <c r="CR103" s="93"/>
      <c r="CS103" s="93"/>
      <c r="CT103" s="93"/>
      <c r="CU103" s="93"/>
      <c r="CV103" s="93"/>
      <c r="CW103" s="93"/>
      <c r="CX103" s="93"/>
      <c r="CY103" s="93"/>
      <c r="CZ103" s="93"/>
      <c r="DA103" s="93"/>
      <c r="DB103" s="93"/>
      <c r="DC103" s="93"/>
      <c r="DD103" s="93"/>
      <c r="DE103" s="93"/>
      <c r="DF103" s="93"/>
      <c r="DG103" s="93"/>
      <c r="DH103" s="93"/>
      <c r="DI103" s="93"/>
      <c r="DJ103" s="93"/>
      <c r="DK103" s="93"/>
      <c r="DL103" s="93"/>
      <c r="DM103" s="93"/>
      <c r="DN103" s="93"/>
      <c r="DO103" s="93"/>
      <c r="DP103" s="93"/>
      <c r="DQ103" s="93"/>
      <c r="DR103" s="93"/>
      <c r="DS103" s="93"/>
      <c r="DT103" s="93"/>
      <c r="DU103" s="93"/>
      <c r="DV103" s="93"/>
      <c r="DW103" s="93"/>
      <c r="DX103" s="93"/>
      <c r="DY103" s="93"/>
      <c r="DZ103" s="93"/>
      <c r="EA103" s="93"/>
      <c r="EB103" s="93"/>
      <c r="EC103" s="93"/>
      <c r="ED103" s="5"/>
      <c r="EE103" s="28"/>
      <c r="EF103" s="28"/>
      <c r="EG103" s="28">
        <v>1.3809102960671726E-2</v>
      </c>
      <c r="EH103" s="28"/>
      <c r="EI103" s="28">
        <f t="shared" si="158"/>
        <v>0.10743405275779372</v>
      </c>
      <c r="EJ103" s="28">
        <f t="shared" si="158"/>
        <v>0.10090948462537885</v>
      </c>
      <c r="EK103" s="28">
        <f t="shared" si="158"/>
        <v>-3.5011801730920555E-2</v>
      </c>
      <c r="EL103" s="29">
        <v>0.11175549765689508</v>
      </c>
      <c r="EM103" s="29"/>
      <c r="EN103" s="29"/>
      <c r="EO103" s="29"/>
      <c r="EP103" s="29"/>
      <c r="EQ103" s="29"/>
      <c r="ER103" s="29"/>
      <c r="ES103" s="29"/>
      <c r="ET103" s="29"/>
      <c r="EU103" s="29"/>
      <c r="EV103" s="29"/>
      <c r="EW103" s="29"/>
      <c r="EX103" s="29"/>
      <c r="EY103" s="48"/>
      <c r="FA103" s="48"/>
      <c r="FB103" s="48"/>
    </row>
    <row r="104" spans="2:158" s="17" customFormat="1">
      <c r="B104" s="30" t="s">
        <v>189</v>
      </c>
      <c r="C104" s="75" t="s">
        <v>12</v>
      </c>
      <c r="D104" s="75" t="s">
        <v>12</v>
      </c>
      <c r="E104" s="29">
        <v>7.3630924988495217E-2</v>
      </c>
      <c r="F104" s="29">
        <v>0.1097511219910241</v>
      </c>
      <c r="G104" s="75" t="s">
        <v>12</v>
      </c>
      <c r="H104" s="75" t="s">
        <v>12</v>
      </c>
      <c r="I104" s="29">
        <v>8.3862770012706589E-2</v>
      </c>
      <c r="J104" s="29">
        <v>5.0101322750746524E-2</v>
      </c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29"/>
      <c r="AQ104" s="29"/>
      <c r="AR104" s="29"/>
      <c r="AS104" s="29"/>
      <c r="AT104" s="29"/>
      <c r="AU104" s="29"/>
      <c r="AV104" s="29"/>
      <c r="AW104" s="93"/>
      <c r="AX104" s="93"/>
      <c r="AY104" s="93"/>
      <c r="AZ104" s="93"/>
      <c r="BA104" s="93"/>
      <c r="BB104" s="93"/>
      <c r="BC104" s="93"/>
      <c r="BD104" s="93"/>
      <c r="BE104" s="93"/>
      <c r="BF104" s="93"/>
      <c r="BG104" s="93"/>
      <c r="BH104" s="93"/>
      <c r="BI104" s="93"/>
      <c r="BJ104" s="93"/>
      <c r="BK104" s="93"/>
      <c r="BL104" s="93"/>
      <c r="BM104" s="93"/>
      <c r="BN104" s="93"/>
      <c r="BO104" s="93"/>
      <c r="BP104" s="93"/>
      <c r="BQ104" s="93"/>
      <c r="BR104" s="93"/>
      <c r="BS104" s="93"/>
      <c r="BT104" s="93"/>
      <c r="BU104" s="93"/>
      <c r="BV104" s="93"/>
      <c r="BW104" s="93"/>
      <c r="BX104" s="93"/>
      <c r="BY104" s="93"/>
      <c r="BZ104" s="93"/>
      <c r="CA104" s="93"/>
      <c r="CB104" s="93"/>
      <c r="CC104" s="93"/>
      <c r="CD104" s="93"/>
      <c r="CE104" s="93"/>
      <c r="CF104" s="93"/>
      <c r="CG104" s="93"/>
      <c r="CH104" s="93"/>
      <c r="CI104" s="93"/>
      <c r="CJ104" s="93"/>
      <c r="CK104" s="93"/>
      <c r="CL104" s="93"/>
      <c r="CM104" s="93"/>
      <c r="CN104" s="93"/>
      <c r="CO104" s="93"/>
      <c r="CP104" s="93"/>
      <c r="CQ104" s="93"/>
      <c r="CR104" s="93"/>
      <c r="CS104" s="93"/>
      <c r="CT104" s="93"/>
      <c r="CU104" s="93"/>
      <c r="CV104" s="93"/>
      <c r="CW104" s="93"/>
      <c r="CX104" s="93"/>
      <c r="CY104" s="93"/>
      <c r="CZ104" s="93"/>
      <c r="DA104" s="93"/>
      <c r="DB104" s="93"/>
      <c r="DC104" s="93"/>
      <c r="DD104" s="93"/>
      <c r="DE104" s="93"/>
      <c r="DF104" s="93"/>
      <c r="DG104" s="93"/>
      <c r="DH104" s="93"/>
      <c r="DI104" s="93"/>
      <c r="DJ104" s="93"/>
      <c r="DK104" s="93"/>
      <c r="DL104" s="93"/>
      <c r="DM104" s="93"/>
      <c r="DN104" s="93"/>
      <c r="DO104" s="93"/>
      <c r="DP104" s="93"/>
      <c r="DQ104" s="93"/>
      <c r="DR104" s="93"/>
      <c r="DS104" s="93"/>
      <c r="DT104" s="93"/>
      <c r="DU104" s="93"/>
      <c r="DV104" s="93"/>
      <c r="DW104" s="93"/>
      <c r="DX104" s="93"/>
      <c r="DY104" s="93"/>
      <c r="DZ104" s="93"/>
      <c r="EA104" s="93"/>
      <c r="EB104" s="93"/>
      <c r="EC104" s="93"/>
      <c r="ED104" s="5"/>
      <c r="EE104" s="28"/>
      <c r="EF104" s="28"/>
      <c r="EG104" s="28">
        <v>0.11907066795740562</v>
      </c>
      <c r="EH104" s="28"/>
      <c r="EI104" s="28">
        <f t="shared" si="158"/>
        <v>0.10690725649980592</v>
      </c>
      <c r="EJ104" s="28">
        <f t="shared" si="158"/>
        <v>0.15495179666958814</v>
      </c>
      <c r="EK104" s="28">
        <f t="shared" si="158"/>
        <v>0.2725755046289271</v>
      </c>
      <c r="EL104" s="29">
        <v>0.11157806678724591</v>
      </c>
      <c r="EM104" s="29"/>
      <c r="EN104" s="29"/>
      <c r="EO104" s="29"/>
      <c r="EP104" s="29"/>
      <c r="EQ104" s="29"/>
      <c r="ER104" s="29"/>
      <c r="ES104" s="29"/>
      <c r="ET104" s="29"/>
      <c r="EU104" s="29"/>
      <c r="EV104" s="29"/>
      <c r="EW104" s="29"/>
      <c r="EX104" s="29"/>
      <c r="EY104" s="48"/>
      <c r="FA104" s="48"/>
      <c r="FB104" s="48"/>
    </row>
    <row r="105" spans="2:158" s="17" customFormat="1">
      <c r="B105" s="17" t="s">
        <v>149</v>
      </c>
      <c r="C105" s="74" t="s">
        <v>12</v>
      </c>
      <c r="D105" s="74" t="s">
        <v>12</v>
      </c>
      <c r="E105" s="29">
        <v>0.3063889869396399</v>
      </c>
      <c r="F105" s="29">
        <v>9.763513513513522E-2</v>
      </c>
      <c r="G105" s="74" t="s">
        <v>12</v>
      </c>
      <c r="H105" s="74" t="s">
        <v>12</v>
      </c>
      <c r="I105" s="29">
        <v>0.23986390700311877</v>
      </c>
      <c r="J105" s="29">
        <v>0.10487106107533983</v>
      </c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29"/>
      <c r="AQ105" s="29"/>
      <c r="AR105" s="29"/>
      <c r="AS105" s="29"/>
      <c r="AT105" s="29"/>
      <c r="AU105" s="29"/>
      <c r="AV105" s="29"/>
      <c r="AW105" s="93"/>
      <c r="AX105" s="93"/>
      <c r="AY105" s="93"/>
      <c r="AZ105" s="93"/>
      <c r="BA105" s="93"/>
      <c r="BB105" s="93"/>
      <c r="BC105" s="93"/>
      <c r="BD105" s="93"/>
      <c r="BE105" s="93"/>
      <c r="BF105" s="93"/>
      <c r="BG105" s="93"/>
      <c r="BH105" s="93"/>
      <c r="BI105" s="93"/>
      <c r="BJ105" s="93"/>
      <c r="BK105" s="93"/>
      <c r="BL105" s="93"/>
      <c r="BM105" s="93"/>
      <c r="BN105" s="93"/>
      <c r="BO105" s="93"/>
      <c r="BP105" s="93"/>
      <c r="BQ105" s="93"/>
      <c r="BR105" s="93"/>
      <c r="BS105" s="93"/>
      <c r="BT105" s="93"/>
      <c r="BU105" s="93"/>
      <c r="BV105" s="93"/>
      <c r="BW105" s="93"/>
      <c r="BX105" s="93"/>
      <c r="BY105" s="93"/>
      <c r="BZ105" s="93"/>
      <c r="CA105" s="93"/>
      <c r="CB105" s="93"/>
      <c r="CC105" s="93"/>
      <c r="CD105" s="93"/>
      <c r="CE105" s="93"/>
      <c r="CF105" s="93"/>
      <c r="CG105" s="93"/>
      <c r="CH105" s="93"/>
      <c r="CI105" s="93"/>
      <c r="CJ105" s="93"/>
      <c r="CK105" s="93"/>
      <c r="CL105" s="93"/>
      <c r="CM105" s="93"/>
      <c r="CN105" s="93"/>
      <c r="CO105" s="93"/>
      <c r="CP105" s="93"/>
      <c r="CQ105" s="93"/>
      <c r="CR105" s="93"/>
      <c r="CS105" s="93"/>
      <c r="CT105" s="93"/>
      <c r="CU105" s="93"/>
      <c r="CV105" s="93"/>
      <c r="CW105" s="93"/>
      <c r="CX105" s="93"/>
      <c r="CY105" s="93"/>
      <c r="CZ105" s="93"/>
      <c r="DA105" s="93"/>
      <c r="DB105" s="93"/>
      <c r="DC105" s="93"/>
      <c r="DD105" s="93"/>
      <c r="DE105" s="93"/>
      <c r="DF105" s="93"/>
      <c r="DG105" s="93"/>
      <c r="DH105" s="93"/>
      <c r="DI105" s="93"/>
      <c r="DJ105" s="93"/>
      <c r="DK105" s="93"/>
      <c r="DL105" s="93"/>
      <c r="DM105" s="93"/>
      <c r="DN105" s="93"/>
      <c r="DO105" s="93"/>
      <c r="DP105" s="93"/>
      <c r="DQ105" s="93"/>
      <c r="DR105" s="93"/>
      <c r="DS105" s="93"/>
      <c r="DT105" s="93"/>
      <c r="DU105" s="93"/>
      <c r="DV105" s="93"/>
      <c r="DW105" s="93"/>
      <c r="DX105" s="93"/>
      <c r="DY105" s="93"/>
      <c r="DZ105" s="93"/>
      <c r="EA105" s="93"/>
      <c r="EB105" s="93"/>
      <c r="EC105" s="93"/>
      <c r="ED105" s="5"/>
      <c r="EE105" s="29"/>
      <c r="EF105" s="29"/>
      <c r="EG105" s="29">
        <v>0.10913268236645601</v>
      </c>
      <c r="EH105" s="29"/>
      <c r="EI105" s="29">
        <f>EI71/EI62</f>
        <v>0.28534820196558813</v>
      </c>
      <c r="EJ105" s="29"/>
      <c r="EK105" s="29"/>
      <c r="EL105" s="29">
        <f>EL71/EK71-1</f>
        <v>-8.0177200973357454E-2</v>
      </c>
      <c r="EM105" s="29">
        <f>EM71/EL71-1</f>
        <v>2.9914529914529808E-2</v>
      </c>
      <c r="EN105" s="29">
        <f>EN71/EM71-1</f>
        <v>-0.12145162352631234</v>
      </c>
      <c r="EO105" s="29"/>
      <c r="EP105" s="29"/>
      <c r="EQ105" s="29"/>
      <c r="ER105" s="29"/>
      <c r="ES105" s="29"/>
      <c r="ET105" s="29"/>
      <c r="EU105" s="29"/>
      <c r="EV105" s="29"/>
      <c r="EW105" s="29"/>
      <c r="EX105" s="29"/>
      <c r="EY105" s="48"/>
      <c r="FA105" s="48"/>
      <c r="FB105" s="48"/>
    </row>
    <row r="106" spans="2:158">
      <c r="B106" s="15" t="s">
        <v>194</v>
      </c>
      <c r="C106" s="74" t="s">
        <v>12</v>
      </c>
      <c r="D106" s="74" t="s">
        <v>12</v>
      </c>
      <c r="E106" s="28">
        <v>0.5</v>
      </c>
      <c r="F106" s="28">
        <v>-0.38461538461538458</v>
      </c>
      <c r="G106" s="74" t="s">
        <v>12</v>
      </c>
      <c r="H106" s="74" t="s">
        <v>12</v>
      </c>
      <c r="I106" s="28" t="s">
        <v>22</v>
      </c>
      <c r="J106" s="28">
        <v>0</v>
      </c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EE106" s="28"/>
      <c r="EF106" s="28"/>
      <c r="EG106" s="28">
        <v>0.18918918918918926</v>
      </c>
      <c r="EH106" s="28"/>
      <c r="EI106" s="28">
        <v>-0.62790697674418605</v>
      </c>
      <c r="EJ106" s="28">
        <v>0</v>
      </c>
      <c r="EK106" s="28">
        <v>0</v>
      </c>
      <c r="EL106" s="28">
        <v>0</v>
      </c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</row>
    <row r="107" spans="2:158">
      <c r="B107" s="15" t="s">
        <v>14</v>
      </c>
      <c r="C107" s="74" t="s">
        <v>12</v>
      </c>
      <c r="D107" s="74" t="s">
        <v>12</v>
      </c>
      <c r="E107" s="28">
        <v>-0.31908831908831914</v>
      </c>
      <c r="F107" s="28">
        <v>-0.64157706093189959</v>
      </c>
      <c r="G107" s="74" t="s">
        <v>12</v>
      </c>
      <c r="H107" s="74" t="s">
        <v>12</v>
      </c>
      <c r="I107" s="28" t="s">
        <v>12</v>
      </c>
      <c r="J107" s="28">
        <v>-0.58432078257659692</v>
      </c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EE107" s="28"/>
      <c r="EF107" s="28"/>
      <c r="EG107" s="28">
        <v>-1.7546366171712531</v>
      </c>
      <c r="EH107" s="28"/>
      <c r="EI107" s="28">
        <v>-0.77084256183093414</v>
      </c>
      <c r="EJ107" s="28">
        <v>-0.74361496486317979</v>
      </c>
      <c r="EK107" s="28">
        <v>-2.1573365350255624</v>
      </c>
      <c r="EL107" s="28">
        <v>1.8537461678109746</v>
      </c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</row>
    <row r="108" spans="2:158">
      <c r="B108" s="15" t="s">
        <v>15</v>
      </c>
      <c r="C108" s="74" t="s">
        <v>12</v>
      </c>
      <c r="D108" s="74" t="s">
        <v>12</v>
      </c>
      <c r="E108" s="28">
        <v>0.39407467532467533</v>
      </c>
      <c r="F108" s="28">
        <v>0.18003766478342742</v>
      </c>
      <c r="G108" s="74" t="s">
        <v>12</v>
      </c>
      <c r="H108" s="74" t="s">
        <v>12</v>
      </c>
      <c r="I108" s="28">
        <v>0.32942942942942932</v>
      </c>
      <c r="J108" s="28">
        <v>0.13307229097301021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EE108" s="28"/>
      <c r="EF108" s="28"/>
      <c r="EG108" s="28">
        <v>-0.1497862525757121</v>
      </c>
      <c r="EH108" s="28"/>
      <c r="EI108" s="28">
        <v>0.27706643758613492</v>
      </c>
      <c r="EJ108" s="28">
        <v>0.2896293957283107</v>
      </c>
      <c r="EK108" s="28">
        <v>0.33935179791748182</v>
      </c>
      <c r="EL108" s="28">
        <v>0.22525526811705765</v>
      </c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</row>
    <row r="109" spans="2:158">
      <c r="B109" s="15" t="s">
        <v>4</v>
      </c>
      <c r="C109" s="74" t="s">
        <v>12</v>
      </c>
      <c r="D109" s="74" t="s">
        <v>12</v>
      </c>
      <c r="E109" s="28">
        <v>0.47708894878706198</v>
      </c>
      <c r="F109" s="28">
        <v>0.25667351129363447</v>
      </c>
      <c r="G109" s="74" t="s">
        <v>12</v>
      </c>
      <c r="H109" s="74" t="s">
        <v>12</v>
      </c>
      <c r="I109" s="28">
        <v>0.69465648854961826</v>
      </c>
      <c r="J109" s="28">
        <v>-0.10639136046998865</v>
      </c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EE109" s="28"/>
      <c r="EF109" s="28"/>
      <c r="EG109" s="28">
        <v>-13.617647058823529</v>
      </c>
      <c r="EH109" s="28"/>
      <c r="EI109" s="28">
        <v>0.75939385108773849</v>
      </c>
      <c r="EJ109" s="28">
        <v>0.35668583556657008</v>
      </c>
      <c r="EK109" s="28">
        <v>0.5843113747061166</v>
      </c>
      <c r="EL109" s="28">
        <v>0.29449709369533661</v>
      </c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</row>
    <row r="110" spans="2:158" s="17" customFormat="1">
      <c r="B110" s="17" t="s">
        <v>20</v>
      </c>
      <c r="C110" s="74" t="s">
        <v>12</v>
      </c>
      <c r="D110" s="74" t="s">
        <v>12</v>
      </c>
      <c r="E110" s="29">
        <v>0.42595419847328242</v>
      </c>
      <c r="F110" s="29">
        <v>0.14625176803394635</v>
      </c>
      <c r="G110" s="74" t="s">
        <v>12</v>
      </c>
      <c r="H110" s="74" t="s">
        <v>12</v>
      </c>
      <c r="I110" s="29">
        <v>0.26964560862865938</v>
      </c>
      <c r="J110" s="29">
        <v>0.14267721422019086</v>
      </c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29"/>
      <c r="AQ110" s="29"/>
      <c r="AR110" s="29"/>
      <c r="AS110" s="29"/>
      <c r="AT110" s="29"/>
      <c r="AU110" s="29"/>
      <c r="AV110" s="29"/>
      <c r="AW110" s="93"/>
      <c r="AX110" s="93"/>
      <c r="AY110" s="93"/>
      <c r="AZ110" s="93"/>
      <c r="BA110" s="93"/>
      <c r="BB110" s="93"/>
      <c r="BC110" s="93"/>
      <c r="BD110" s="93"/>
      <c r="BE110" s="93"/>
      <c r="BF110" s="93"/>
      <c r="BG110" s="93"/>
      <c r="BH110" s="93"/>
      <c r="BI110" s="93"/>
      <c r="BJ110" s="93"/>
      <c r="BK110" s="93"/>
      <c r="BL110" s="93"/>
      <c r="BM110" s="93"/>
      <c r="BN110" s="93"/>
      <c r="BO110" s="93"/>
      <c r="BP110" s="93"/>
      <c r="BQ110" s="93"/>
      <c r="BR110" s="93"/>
      <c r="BS110" s="93"/>
      <c r="BT110" s="93"/>
      <c r="BU110" s="93"/>
      <c r="BV110" s="93"/>
      <c r="BW110" s="93"/>
      <c r="BX110" s="93"/>
      <c r="BY110" s="93"/>
      <c r="BZ110" s="93"/>
      <c r="CA110" s="93"/>
      <c r="CB110" s="93"/>
      <c r="CC110" s="93"/>
      <c r="CD110" s="93"/>
      <c r="CE110" s="93"/>
      <c r="CF110" s="93"/>
      <c r="CG110" s="93"/>
      <c r="CH110" s="93"/>
      <c r="CI110" s="93"/>
      <c r="CJ110" s="93"/>
      <c r="CK110" s="93"/>
      <c r="CL110" s="93"/>
      <c r="CM110" s="93"/>
      <c r="CN110" s="93"/>
      <c r="CO110" s="93"/>
      <c r="CP110" s="93"/>
      <c r="CQ110" s="93"/>
      <c r="CR110" s="93"/>
      <c r="CS110" s="93"/>
      <c r="CT110" s="93"/>
      <c r="CU110" s="93"/>
      <c r="CV110" s="93"/>
      <c r="CW110" s="93"/>
      <c r="CX110" s="93"/>
      <c r="CY110" s="93"/>
      <c r="CZ110" s="93"/>
      <c r="DA110" s="93"/>
      <c r="DB110" s="93"/>
      <c r="DC110" s="93"/>
      <c r="DD110" s="93"/>
      <c r="DE110" s="93"/>
      <c r="DF110" s="93"/>
      <c r="DG110" s="93"/>
      <c r="DH110" s="93"/>
      <c r="DI110" s="93"/>
      <c r="DJ110" s="93"/>
      <c r="DK110" s="93"/>
      <c r="DL110" s="93"/>
      <c r="DM110" s="93"/>
      <c r="DN110" s="93"/>
      <c r="DO110" s="93"/>
      <c r="DP110" s="93"/>
      <c r="DQ110" s="93"/>
      <c r="DR110" s="93"/>
      <c r="DS110" s="93"/>
      <c r="DT110" s="93"/>
      <c r="DU110" s="93"/>
      <c r="DV110" s="93"/>
      <c r="DW110" s="93"/>
      <c r="DX110" s="93"/>
      <c r="DY110" s="93"/>
      <c r="DZ110" s="93"/>
      <c r="EA110" s="93"/>
      <c r="EB110" s="93"/>
      <c r="EC110" s="93"/>
      <c r="ED110" s="5"/>
      <c r="EE110" s="29"/>
      <c r="EF110" s="29"/>
      <c r="EG110" s="29">
        <v>-0.23651950669819721</v>
      </c>
      <c r="EH110" s="29"/>
      <c r="EI110" s="29">
        <v>0.20618920887528391</v>
      </c>
      <c r="EJ110" s="29">
        <v>0.23617416138624936</v>
      </c>
      <c r="EK110" s="29">
        <v>0.27283796353628231</v>
      </c>
      <c r="EL110" s="29">
        <v>0.19103888723838436</v>
      </c>
      <c r="EM110" s="29"/>
      <c r="EN110" s="29"/>
      <c r="EO110" s="29"/>
      <c r="EP110" s="29"/>
      <c r="EQ110" s="29"/>
      <c r="ER110" s="29"/>
      <c r="ES110" s="29"/>
      <c r="ET110" s="29"/>
      <c r="EU110" s="29"/>
      <c r="EV110" s="29"/>
      <c r="EW110" s="29"/>
      <c r="EX110" s="29"/>
      <c r="EY110" s="48"/>
      <c r="FA110" s="48"/>
      <c r="FB110" s="48"/>
    </row>
    <row r="111" spans="2:158">
      <c r="B111" s="15" t="s">
        <v>16</v>
      </c>
      <c r="C111" s="74" t="s">
        <v>12</v>
      </c>
      <c r="D111" s="74" t="s">
        <v>12</v>
      </c>
      <c r="E111" s="28">
        <v>0.95570934256055362</v>
      </c>
      <c r="F111" s="28">
        <v>-7.1209330877839205E-2</v>
      </c>
      <c r="G111" s="74" t="s">
        <v>12</v>
      </c>
      <c r="H111" s="74" t="s">
        <v>12</v>
      </c>
      <c r="I111" s="28">
        <v>2.8687017285766725E-2</v>
      </c>
      <c r="J111" s="28">
        <v>0.15407772178764811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EE111" s="28"/>
      <c r="EF111" s="28"/>
      <c r="EG111" s="28">
        <v>-3.9229948572900177</v>
      </c>
      <c r="EH111" s="28"/>
      <c r="EI111" s="28">
        <v>0.25816885401752154</v>
      </c>
      <c r="EJ111" s="28">
        <v>0.22355666613924408</v>
      </c>
      <c r="EK111" s="28">
        <v>0.27306999762332884</v>
      </c>
      <c r="EL111" s="28">
        <v>0.19116650657623802</v>
      </c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</row>
    <row r="112" spans="2:158" s="17" customFormat="1">
      <c r="B112" s="17" t="s">
        <v>21</v>
      </c>
      <c r="C112" s="74" t="s">
        <v>12</v>
      </c>
      <c r="D112" s="74" t="s">
        <v>12</v>
      </c>
      <c r="E112" s="29">
        <v>0.43022323214667901</v>
      </c>
      <c r="F112" s="29">
        <v>0.14014903871339501</v>
      </c>
      <c r="G112" s="74" t="s">
        <v>12</v>
      </c>
      <c r="H112" s="74" t="s">
        <v>12</v>
      </c>
      <c r="I112" s="29">
        <v>0.27343782401471151</v>
      </c>
      <c r="J112" s="29">
        <v>0.14267721422019086</v>
      </c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29"/>
      <c r="AQ112" s="29"/>
      <c r="AR112" s="29"/>
      <c r="AS112" s="29"/>
      <c r="AT112" s="29"/>
      <c r="AU112" s="29"/>
      <c r="AV112" s="29"/>
      <c r="AW112" s="93"/>
      <c r="AX112" s="93"/>
      <c r="AY112" s="93"/>
      <c r="AZ112" s="93"/>
      <c r="BA112" s="93"/>
      <c r="BB112" s="93"/>
      <c r="BC112" s="93"/>
      <c r="BD112" s="93"/>
      <c r="BE112" s="93"/>
      <c r="BF112" s="93"/>
      <c r="BG112" s="93"/>
      <c r="BH112" s="93"/>
      <c r="BI112" s="93"/>
      <c r="BJ112" s="93"/>
      <c r="BK112" s="93"/>
      <c r="BL112" s="93"/>
      <c r="BM112" s="93"/>
      <c r="BN112" s="93"/>
      <c r="BO112" s="93"/>
      <c r="BP112" s="93"/>
      <c r="BQ112" s="93"/>
      <c r="BR112" s="93"/>
      <c r="BS112" s="93"/>
      <c r="BT112" s="93"/>
      <c r="BU112" s="93"/>
      <c r="BV112" s="93"/>
      <c r="BW112" s="93"/>
      <c r="BX112" s="93"/>
      <c r="BY112" s="93"/>
      <c r="BZ112" s="93"/>
      <c r="CA112" s="93"/>
      <c r="CB112" s="93"/>
      <c r="CC112" s="93"/>
      <c r="CD112" s="93"/>
      <c r="CE112" s="93"/>
      <c r="CF112" s="93"/>
      <c r="CG112" s="93"/>
      <c r="CH112" s="93"/>
      <c r="CI112" s="93"/>
      <c r="CJ112" s="93"/>
      <c r="CK112" s="93"/>
      <c r="CL112" s="93"/>
      <c r="CM112" s="93"/>
      <c r="CN112" s="93"/>
      <c r="CO112" s="93"/>
      <c r="CP112" s="93"/>
      <c r="CQ112" s="93"/>
      <c r="CR112" s="93"/>
      <c r="CS112" s="93"/>
      <c r="CT112" s="93"/>
      <c r="CU112" s="93"/>
      <c r="CV112" s="93"/>
      <c r="CW112" s="93"/>
      <c r="CX112" s="93"/>
      <c r="CY112" s="93"/>
      <c r="CZ112" s="93"/>
      <c r="DA112" s="93"/>
      <c r="DB112" s="93"/>
      <c r="DC112" s="93"/>
      <c r="DD112" s="93"/>
      <c r="DE112" s="93"/>
      <c r="DF112" s="93"/>
      <c r="DG112" s="93"/>
      <c r="DH112" s="93"/>
      <c r="DI112" s="93"/>
      <c r="DJ112" s="93"/>
      <c r="DK112" s="93"/>
      <c r="DL112" s="93"/>
      <c r="DM112" s="93"/>
      <c r="DN112" s="93"/>
      <c r="DO112" s="93"/>
      <c r="DP112" s="93"/>
      <c r="DQ112" s="93"/>
      <c r="DR112" s="93"/>
      <c r="DS112" s="93"/>
      <c r="DT112" s="93"/>
      <c r="DU112" s="93"/>
      <c r="DV112" s="93"/>
      <c r="DW112" s="93"/>
      <c r="DX112" s="93"/>
      <c r="DY112" s="93"/>
      <c r="DZ112" s="93"/>
      <c r="EA112" s="93"/>
      <c r="EB112" s="93"/>
      <c r="EC112" s="93"/>
      <c r="ED112" s="5"/>
      <c r="EE112" s="29"/>
      <c r="EF112" s="29"/>
      <c r="EG112" s="29">
        <v>-0.25468420970839167</v>
      </c>
      <c r="EH112" s="29"/>
      <c r="EI112" s="29">
        <v>0.20838607586445579</v>
      </c>
      <c r="EJ112" s="29">
        <v>0.23617416138624936</v>
      </c>
      <c r="EK112" s="29">
        <v>0.27283796353628231</v>
      </c>
      <c r="EL112" s="29">
        <f>EL79/EK79-1</f>
        <v>-0.13535960417034809</v>
      </c>
      <c r="EM112" s="29">
        <f>EM79/EL79-1</f>
        <v>1.3590844062947083E-2</v>
      </c>
      <c r="EN112" s="29">
        <f>EN79/EM79-1</f>
        <v>-0.14114326040931557</v>
      </c>
      <c r="EO112" s="29"/>
      <c r="EP112" s="29"/>
      <c r="EQ112" s="29"/>
      <c r="ER112" s="29"/>
      <c r="ES112" s="29"/>
      <c r="ET112" s="29"/>
      <c r="EU112" s="29"/>
      <c r="EV112" s="29"/>
      <c r="EW112" s="29"/>
      <c r="EX112" s="29"/>
      <c r="EY112" s="48"/>
      <c r="FA112" s="48"/>
      <c r="FB112" s="48"/>
    </row>
    <row r="113" spans="2:158">
      <c r="B113" s="15" t="s">
        <v>42</v>
      </c>
      <c r="C113" s="74" t="s">
        <v>12</v>
      </c>
      <c r="D113" s="74" t="s">
        <v>12</v>
      </c>
      <c r="E113" s="28"/>
      <c r="F113" s="28"/>
      <c r="G113" s="74" t="s">
        <v>12</v>
      </c>
      <c r="H113" s="74" t="s">
        <v>12</v>
      </c>
      <c r="I113" s="28">
        <v>0.30643115658155562</v>
      </c>
      <c r="J113" s="28">
        <v>0.17124789823043063</v>
      </c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EE113" s="28"/>
      <c r="EF113" s="28"/>
      <c r="EG113" s="28"/>
      <c r="EH113" s="28"/>
      <c r="EI113" s="28">
        <v>0.24010160092268173</v>
      </c>
      <c r="EJ113" s="28">
        <v>0.22959823690009884</v>
      </c>
      <c r="EK113" s="28">
        <v>0.26006430673578218</v>
      </c>
      <c r="EL113" s="28">
        <v>0.18389813893782847</v>
      </c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</row>
    <row r="114" spans="2:158">
      <c r="B114" s="15" t="s">
        <v>17</v>
      </c>
      <c r="C114" s="74" t="s">
        <v>12</v>
      </c>
      <c r="D114" s="74" t="s">
        <v>12</v>
      </c>
      <c r="E114" s="28">
        <v>0.94492985420368969</v>
      </c>
      <c r="F114" s="28">
        <v>-8.0257132892308958E-2</v>
      </c>
      <c r="G114" s="74" t="s">
        <v>12</v>
      </c>
      <c r="H114" s="74" t="s">
        <v>12</v>
      </c>
      <c r="I114" s="28">
        <v>2.6696798876403083E-2</v>
      </c>
      <c r="J114" s="28">
        <v>0.15339148720865947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EE114" s="28"/>
      <c r="EF114" s="28"/>
      <c r="EG114" s="28">
        <v>-3.885011675710488</v>
      </c>
      <c r="EH114" s="28"/>
      <c r="EI114" s="28">
        <v>0.25609102568827624</v>
      </c>
      <c r="EJ114" s="28">
        <v>0.22332428171071594</v>
      </c>
      <c r="EK114" s="28">
        <v>0.27283796353628231</v>
      </c>
      <c r="EL114" s="28">
        <v>0.19103888723838436</v>
      </c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</row>
    <row r="115" spans="2:158">
      <c r="C115" s="44"/>
      <c r="D115" s="44"/>
      <c r="E115" s="44"/>
      <c r="F115" s="44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</row>
    <row r="116" spans="2:158">
      <c r="B116" s="3" t="s">
        <v>483</v>
      </c>
      <c r="E116" s="44"/>
      <c r="F116" s="44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</row>
    <row r="117" spans="2:158" s="26" customFormat="1">
      <c r="B117" s="17" t="s">
        <v>138</v>
      </c>
      <c r="C117" s="24"/>
      <c r="D117" s="24"/>
      <c r="E117" s="24"/>
      <c r="F117" s="24"/>
      <c r="G117" s="24"/>
      <c r="H117" s="24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48"/>
      <c r="AX117" s="48"/>
      <c r="AY117" s="48"/>
      <c r="AZ117" s="48"/>
      <c r="BA117" s="48"/>
      <c r="BB117" s="79">
        <f t="shared" ref="BB117:BK118" si="159">BB15/AX15-1</f>
        <v>0.18797953964194369</v>
      </c>
      <c r="BC117" s="79">
        <f t="shared" si="159"/>
        <v>0.20546318289786214</v>
      </c>
      <c r="BD117" s="79">
        <f t="shared" si="159"/>
        <v>0.20113636363636367</v>
      </c>
      <c r="BE117" s="79">
        <f t="shared" si="159"/>
        <v>0.31922196796338675</v>
      </c>
      <c r="BF117" s="79">
        <f t="shared" si="159"/>
        <v>0.23358449946178683</v>
      </c>
      <c r="BG117" s="79">
        <f t="shared" si="159"/>
        <v>0.18423645320197046</v>
      </c>
      <c r="BH117" s="79">
        <f t="shared" si="159"/>
        <v>0.11352885525070966</v>
      </c>
      <c r="BI117" s="79">
        <f t="shared" si="159"/>
        <v>0.1396357328707718</v>
      </c>
      <c r="BJ117" s="79">
        <f t="shared" si="159"/>
        <v>0.14223385689354284</v>
      </c>
      <c r="BK117" s="79">
        <f t="shared" si="159"/>
        <v>0.16056572379367728</v>
      </c>
      <c r="BL117" s="79">
        <f t="shared" ref="BL117:BU118" si="160">BL15/BH15-1</f>
        <v>0.1724723874256584</v>
      </c>
      <c r="BM117" s="79">
        <f t="shared" si="160"/>
        <v>8.9802130898021248E-2</v>
      </c>
      <c r="BN117" s="79">
        <f t="shared" si="160"/>
        <v>7.4866310160427885E-2</v>
      </c>
      <c r="BO117" s="79">
        <f t="shared" si="160"/>
        <v>4.6594982078853153E-2</v>
      </c>
      <c r="BP117" s="79">
        <f t="shared" si="160"/>
        <v>6.6666666666666652E-2</v>
      </c>
      <c r="BQ117" s="79">
        <f t="shared" si="160"/>
        <v>0.1061452513966481</v>
      </c>
      <c r="BR117" s="79">
        <f t="shared" si="160"/>
        <v>5.2594171997156991E-2</v>
      </c>
      <c r="BS117" s="79">
        <f t="shared" si="160"/>
        <v>0.10753424657534238</v>
      </c>
      <c r="BT117" s="79">
        <f t="shared" si="160"/>
        <v>2.4456521739130377E-2</v>
      </c>
      <c r="BU117" s="79">
        <f t="shared" si="160"/>
        <v>-6.5025252525252486E-2</v>
      </c>
      <c r="BV117" s="79">
        <f t="shared" ref="BV117:CC118" si="161">BV15/BR15-1</f>
        <v>8.4402430790006644E-2</v>
      </c>
      <c r="BW117" s="79">
        <f t="shared" si="161"/>
        <v>4.8237476808905333E-2</v>
      </c>
      <c r="BX117" s="79">
        <f t="shared" si="161"/>
        <v>7.9575596816976457E-3</v>
      </c>
      <c r="BY117" s="79">
        <f t="shared" si="161"/>
        <v>3.6461850101283E-2</v>
      </c>
      <c r="BZ117" s="79">
        <f t="shared" si="161"/>
        <v>-3.1133250311332517E-2</v>
      </c>
      <c r="CA117" s="79">
        <f t="shared" si="161"/>
        <v>-0.11504424778761058</v>
      </c>
      <c r="CB117" s="79">
        <f t="shared" si="161"/>
        <v>-0.10460526315789476</v>
      </c>
      <c r="CC117" s="79">
        <f t="shared" si="161"/>
        <v>3.4527687296416865E-2</v>
      </c>
      <c r="CD117" s="79"/>
      <c r="CE117" s="79"/>
      <c r="CF117" s="79"/>
      <c r="CG117" s="79"/>
      <c r="CH117" s="79"/>
      <c r="CI117" s="79"/>
      <c r="CJ117" s="79"/>
      <c r="CK117" s="79"/>
      <c r="CL117" s="79"/>
      <c r="CM117" s="79"/>
      <c r="CN117" s="79"/>
      <c r="CO117" s="79"/>
      <c r="CP117" s="79"/>
      <c r="CQ117" s="79"/>
      <c r="CR117" s="79"/>
      <c r="CS117" s="79"/>
      <c r="CT117" s="79"/>
      <c r="CU117" s="79"/>
      <c r="CV117" s="79"/>
      <c r="CW117" s="79"/>
      <c r="CX117" s="79"/>
      <c r="CY117" s="79"/>
      <c r="CZ117" s="79"/>
      <c r="DA117" s="79"/>
      <c r="DB117" s="79"/>
      <c r="DC117" s="79"/>
      <c r="DD117" s="79"/>
      <c r="DE117" s="79"/>
      <c r="DF117" s="79"/>
      <c r="DG117" s="79"/>
      <c r="DH117" s="79"/>
      <c r="DI117" s="79"/>
      <c r="DJ117" s="79"/>
      <c r="DK117" s="79"/>
      <c r="DL117" s="79"/>
      <c r="DM117" s="79"/>
      <c r="DN117" s="79"/>
      <c r="DO117" s="79"/>
      <c r="DP117" s="79"/>
      <c r="DQ117" s="79"/>
      <c r="DR117" s="79"/>
      <c r="DS117" s="79"/>
      <c r="DT117" s="79"/>
      <c r="DU117" s="79"/>
      <c r="DV117" s="79"/>
      <c r="DW117" s="79"/>
      <c r="DX117" s="79"/>
      <c r="DY117" s="79"/>
      <c r="DZ117" s="79"/>
      <c r="EA117" s="79"/>
      <c r="EB117" s="79"/>
      <c r="EC117" s="79"/>
      <c r="ED117" s="17"/>
      <c r="EE117" s="47"/>
      <c r="EF117" s="47"/>
      <c r="EG117" s="47"/>
      <c r="EH117" s="47"/>
      <c r="EI117" s="47"/>
      <c r="EJ117" s="47"/>
      <c r="EK117" s="47"/>
      <c r="EL117" s="47"/>
      <c r="EM117" s="47"/>
      <c r="EN117" s="47"/>
      <c r="EO117" s="47"/>
      <c r="EP117" s="47"/>
      <c r="EQ117" s="47"/>
      <c r="ER117" s="47"/>
      <c r="ES117" s="47"/>
      <c r="ET117" s="47"/>
      <c r="EU117" s="47"/>
      <c r="EV117" s="47"/>
      <c r="EW117" s="47"/>
      <c r="EX117" s="47"/>
      <c r="EY117" s="46"/>
      <c r="EZ117" s="16"/>
      <c r="FA117" s="46"/>
      <c r="FB117" s="46"/>
    </row>
    <row r="118" spans="2:158" s="26" customFormat="1">
      <c r="B118" s="17" t="s">
        <v>24</v>
      </c>
      <c r="C118" s="24"/>
      <c r="D118" s="24"/>
      <c r="E118" s="24"/>
      <c r="F118" s="24"/>
      <c r="G118" s="24"/>
      <c r="H118" s="24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48"/>
      <c r="AX118" s="48"/>
      <c r="AY118" s="48"/>
      <c r="AZ118" s="48"/>
      <c r="BA118" s="48"/>
      <c r="BB118" s="79">
        <f t="shared" si="159"/>
        <v>0.19207317073170738</v>
      </c>
      <c r="BC118" s="79">
        <f t="shared" si="159"/>
        <v>0.2921348314606742</v>
      </c>
      <c r="BD118" s="79">
        <f t="shared" si="159"/>
        <v>0.58445040214477206</v>
      </c>
      <c r="BE118" s="79">
        <f t="shared" si="159"/>
        <v>0.86387535984716535</v>
      </c>
      <c r="BF118" s="79">
        <f t="shared" si="159"/>
        <v>1.2020460358056266</v>
      </c>
      <c r="BG118" s="79">
        <f t="shared" si="159"/>
        <v>1.0695652173913044</v>
      </c>
      <c r="BH118" s="79">
        <f t="shared" si="159"/>
        <v>0.7072758037225042</v>
      </c>
      <c r="BI118" s="79">
        <f t="shared" si="159"/>
        <v>0.56960227272727271</v>
      </c>
      <c r="BJ118" s="79">
        <f t="shared" si="159"/>
        <v>0.35656213704994189</v>
      </c>
      <c r="BK118" s="79">
        <f t="shared" si="159"/>
        <v>0.27521008403361336</v>
      </c>
      <c r="BL118" s="79">
        <f t="shared" si="160"/>
        <v>0.19821605550049548</v>
      </c>
      <c r="BM118" s="79">
        <f t="shared" si="160"/>
        <v>0.14117647058823524</v>
      </c>
      <c r="BN118" s="79">
        <f t="shared" si="160"/>
        <v>4.8801369863013644E-2</v>
      </c>
      <c r="BO118" s="79">
        <f t="shared" si="160"/>
        <v>2.883031301482708E-2</v>
      </c>
      <c r="BP118" s="79">
        <f t="shared" si="160"/>
        <v>7.1133167907361461E-2</v>
      </c>
      <c r="BQ118" s="79">
        <f t="shared" si="160"/>
        <v>4.9167327517843029E-2</v>
      </c>
      <c r="BR118" s="79">
        <f t="shared" si="160"/>
        <v>6.6938775510203996E-2</v>
      </c>
      <c r="BS118" s="79">
        <f t="shared" si="160"/>
        <v>7.125700560448367E-2</v>
      </c>
      <c r="BT118" s="79">
        <f t="shared" si="160"/>
        <v>2.4710424710424617E-2</v>
      </c>
      <c r="BU118" s="79">
        <f t="shared" si="160"/>
        <v>-2.1919879062736181E-2</v>
      </c>
      <c r="BV118" s="79">
        <f t="shared" si="161"/>
        <v>8.4162203519510426E-2</v>
      </c>
      <c r="BW118" s="79">
        <f t="shared" si="161"/>
        <v>3.811659192825112E-2</v>
      </c>
      <c r="BX118" s="79">
        <f t="shared" si="161"/>
        <v>2.2607385079125741E-2</v>
      </c>
      <c r="BY118" s="79">
        <f t="shared" si="161"/>
        <v>-2.1638330757341562E-2</v>
      </c>
      <c r="BZ118" s="79">
        <f t="shared" si="161"/>
        <v>-2.1877205363443841E-2</v>
      </c>
      <c r="CA118" s="79">
        <f t="shared" si="161"/>
        <v>-4.2476601871850206E-2</v>
      </c>
      <c r="CB118" s="79">
        <f t="shared" si="161"/>
        <v>-0.12380250552689753</v>
      </c>
      <c r="CC118" s="79">
        <f t="shared" si="161"/>
        <v>6.4770932069510234E-2</v>
      </c>
      <c r="CD118" s="79"/>
      <c r="CE118" s="79"/>
      <c r="CF118" s="79"/>
      <c r="CG118" s="79"/>
      <c r="CH118" s="79"/>
      <c r="CI118" s="79"/>
      <c r="CJ118" s="79"/>
      <c r="CK118" s="79"/>
      <c r="CL118" s="79"/>
      <c r="CM118" s="79"/>
      <c r="CN118" s="79"/>
      <c r="CO118" s="79"/>
      <c r="CP118" s="79"/>
      <c r="CQ118" s="79"/>
      <c r="CR118" s="79"/>
      <c r="CS118" s="79"/>
      <c r="CT118" s="79"/>
      <c r="CU118" s="79"/>
      <c r="CV118" s="79"/>
      <c r="CW118" s="79"/>
      <c r="CX118" s="79"/>
      <c r="CY118" s="79"/>
      <c r="CZ118" s="79"/>
      <c r="DA118" s="79"/>
      <c r="DB118" s="79"/>
      <c r="DC118" s="79"/>
      <c r="DD118" s="79"/>
      <c r="DE118" s="79"/>
      <c r="DF118" s="79"/>
      <c r="DG118" s="79"/>
      <c r="DH118" s="79"/>
      <c r="DI118" s="79"/>
      <c r="DJ118" s="79"/>
      <c r="DK118" s="79"/>
      <c r="DL118" s="79"/>
      <c r="DM118" s="79"/>
      <c r="DN118" s="79"/>
      <c r="DO118" s="79"/>
      <c r="DP118" s="79"/>
      <c r="DQ118" s="79"/>
      <c r="DR118" s="79"/>
      <c r="DS118" s="79"/>
      <c r="DT118" s="79"/>
      <c r="DU118" s="79"/>
      <c r="DV118" s="79"/>
      <c r="DW118" s="79"/>
      <c r="DX118" s="79"/>
      <c r="DY118" s="79"/>
      <c r="DZ118" s="79"/>
      <c r="EA118" s="79"/>
      <c r="EB118" s="79"/>
      <c r="EC118" s="79"/>
      <c r="ED118" s="17"/>
      <c r="EE118" s="47"/>
      <c r="EF118" s="47"/>
      <c r="EG118" s="47"/>
      <c r="EH118" s="47"/>
      <c r="EI118" s="47"/>
      <c r="EJ118" s="47"/>
      <c r="EK118" s="47"/>
      <c r="EL118" s="47"/>
      <c r="EM118" s="47"/>
      <c r="EN118" s="47"/>
      <c r="EO118" s="47"/>
      <c r="EP118" s="47"/>
      <c r="EQ118" s="47"/>
      <c r="ER118" s="47"/>
      <c r="ES118" s="47"/>
      <c r="ET118" s="47"/>
      <c r="EU118" s="47"/>
      <c r="EV118" s="47"/>
      <c r="EW118" s="47"/>
      <c r="EX118" s="47"/>
      <c r="EY118" s="46"/>
      <c r="EZ118" s="16"/>
      <c r="FA118" s="46"/>
      <c r="FB118" s="46"/>
    </row>
    <row r="119" spans="2:158" s="26" customFormat="1">
      <c r="B119" s="17" t="s">
        <v>23</v>
      </c>
      <c r="C119" s="24"/>
      <c r="D119" s="24"/>
      <c r="E119" s="24"/>
      <c r="F119" s="24"/>
      <c r="G119" s="24"/>
      <c r="H119" s="24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48"/>
      <c r="AX119" s="48"/>
      <c r="AY119" s="48"/>
      <c r="AZ119" s="48"/>
      <c r="BA119" s="48"/>
      <c r="BB119" s="79">
        <f t="shared" ref="BB119:CC119" si="162">BB14/AX14-1</f>
        <v>4.416666666666667</v>
      </c>
      <c r="BC119" s="79">
        <f t="shared" si="162"/>
        <v>1.0532544378698225</v>
      </c>
      <c r="BD119" s="79">
        <f t="shared" si="162"/>
        <v>1.0680851063829788</v>
      </c>
      <c r="BE119" s="79">
        <f t="shared" si="162"/>
        <v>1.403361344537815</v>
      </c>
      <c r="BF119" s="79">
        <f t="shared" si="162"/>
        <v>1.6</v>
      </c>
      <c r="BG119" s="79">
        <f t="shared" si="162"/>
        <v>1.0547550432276656</v>
      </c>
      <c r="BH119" s="79">
        <f t="shared" si="162"/>
        <v>0.52469135802469147</v>
      </c>
      <c r="BI119" s="79">
        <f t="shared" si="162"/>
        <v>0.45454545454545459</v>
      </c>
      <c r="BJ119" s="79">
        <f t="shared" si="162"/>
        <v>0.36538461538461542</v>
      </c>
      <c r="BK119" s="79">
        <f t="shared" si="162"/>
        <v>0.38288920056100983</v>
      </c>
      <c r="BL119" s="79">
        <f t="shared" si="162"/>
        <v>0.4331983805668016</v>
      </c>
      <c r="BM119" s="79">
        <f t="shared" si="162"/>
        <v>0.36418269230769229</v>
      </c>
      <c r="BN119" s="79">
        <f t="shared" si="162"/>
        <v>0.22535211267605626</v>
      </c>
      <c r="BO119" s="79">
        <f t="shared" si="162"/>
        <v>0.23732251521298164</v>
      </c>
      <c r="BP119" s="79">
        <f t="shared" si="162"/>
        <v>0.27212806026365355</v>
      </c>
      <c r="BQ119" s="79">
        <f t="shared" si="162"/>
        <v>0.32599118942731287</v>
      </c>
      <c r="BR119" s="79">
        <f t="shared" si="162"/>
        <v>0.31299734748010599</v>
      </c>
      <c r="BS119" s="79">
        <f t="shared" si="162"/>
        <v>0.31557377049180335</v>
      </c>
      <c r="BT119" s="79">
        <f t="shared" si="162"/>
        <v>0.17986676535899337</v>
      </c>
      <c r="BU119" s="79">
        <f t="shared" si="162"/>
        <v>2.1926910299003399E-2</v>
      </c>
      <c r="BV119" s="79">
        <f t="shared" si="162"/>
        <v>0.12188552188552193</v>
      </c>
      <c r="BW119" s="79">
        <f t="shared" si="162"/>
        <v>7.6012461059190128E-2</v>
      </c>
      <c r="BX119" s="79">
        <f t="shared" si="162"/>
        <v>8.7829360100375453E-3</v>
      </c>
      <c r="BY119" s="79">
        <f t="shared" si="162"/>
        <v>-5.0715214564369338E-2</v>
      </c>
      <c r="BZ119" s="79">
        <f t="shared" si="162"/>
        <v>-0.1494597839135654</v>
      </c>
      <c r="CA119" s="79">
        <f t="shared" si="162"/>
        <v>-0.2420382165605095</v>
      </c>
      <c r="CB119" s="79">
        <f t="shared" si="162"/>
        <v>-0.24378109452736318</v>
      </c>
      <c r="CC119" s="79">
        <f t="shared" si="162"/>
        <v>-7.5342465753424626E-2</v>
      </c>
      <c r="CD119" s="79"/>
      <c r="CE119" s="79"/>
      <c r="CF119" s="79"/>
      <c r="CG119" s="79"/>
      <c r="CH119" s="79"/>
      <c r="CI119" s="79"/>
      <c r="CJ119" s="79"/>
      <c r="CK119" s="79"/>
      <c r="CL119" s="79"/>
      <c r="CM119" s="79"/>
      <c r="CN119" s="79"/>
      <c r="CO119" s="79"/>
      <c r="CP119" s="79"/>
      <c r="CQ119" s="79"/>
      <c r="CR119" s="79"/>
      <c r="CS119" s="79"/>
      <c r="CT119" s="79"/>
      <c r="CU119" s="79"/>
      <c r="CV119" s="79"/>
      <c r="CW119" s="79"/>
      <c r="CX119" s="79"/>
      <c r="CY119" s="79"/>
      <c r="CZ119" s="79"/>
      <c r="DA119" s="79"/>
      <c r="DB119" s="79"/>
      <c r="DC119" s="79"/>
      <c r="DD119" s="79"/>
      <c r="DE119" s="79"/>
      <c r="DF119" s="79"/>
      <c r="DG119" s="79"/>
      <c r="DH119" s="79"/>
      <c r="DI119" s="79"/>
      <c r="DJ119" s="79"/>
      <c r="DK119" s="79"/>
      <c r="DL119" s="79"/>
      <c r="DM119" s="79"/>
      <c r="DN119" s="79"/>
      <c r="DO119" s="79"/>
      <c r="DP119" s="79"/>
      <c r="DQ119" s="79"/>
      <c r="DR119" s="79"/>
      <c r="DS119" s="79"/>
      <c r="DT119" s="79"/>
      <c r="DU119" s="79"/>
      <c r="DV119" s="79"/>
      <c r="DW119" s="79"/>
      <c r="DX119" s="79"/>
      <c r="DY119" s="79"/>
      <c r="DZ119" s="79"/>
      <c r="EA119" s="79"/>
      <c r="EB119" s="79"/>
      <c r="EC119" s="79"/>
      <c r="ED119" s="17"/>
      <c r="EE119" s="47"/>
      <c r="EF119" s="47"/>
      <c r="EG119" s="47"/>
      <c r="EH119" s="47"/>
      <c r="EI119" s="47"/>
      <c r="EJ119" s="47"/>
      <c r="EK119" s="47"/>
      <c r="EL119" s="47"/>
      <c r="EM119" s="47"/>
      <c r="EN119" s="47"/>
      <c r="EO119" s="47"/>
      <c r="EP119" s="47"/>
      <c r="EQ119" s="47"/>
      <c r="ER119" s="47"/>
      <c r="ES119" s="47"/>
      <c r="ET119" s="47"/>
      <c r="EU119" s="47"/>
      <c r="EV119" s="47"/>
      <c r="EW119" s="47"/>
      <c r="EX119" s="47"/>
      <c r="EY119" s="46"/>
      <c r="EZ119" s="16"/>
      <c r="FA119" s="46"/>
      <c r="FB119" s="46"/>
    </row>
    <row r="120" spans="2:158" s="26" customFormat="1">
      <c r="B120" s="15" t="s">
        <v>139</v>
      </c>
      <c r="C120" s="23"/>
      <c r="D120" s="23"/>
      <c r="E120" s="23"/>
      <c r="F120" s="23"/>
      <c r="G120" s="23"/>
      <c r="H120" s="23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  <c r="AL120" s="25"/>
      <c r="AM120" s="25"/>
      <c r="AN120" s="25"/>
      <c r="AO120" s="25"/>
      <c r="AP120" s="25"/>
      <c r="AQ120" s="25"/>
      <c r="AR120" s="25"/>
      <c r="AS120" s="25"/>
      <c r="AT120" s="25"/>
      <c r="AU120" s="25"/>
      <c r="AV120" s="25"/>
      <c r="AW120" s="93"/>
      <c r="AX120" s="93"/>
      <c r="AY120" s="93"/>
      <c r="AZ120" s="93"/>
      <c r="BA120" s="93"/>
      <c r="BB120" s="94">
        <f t="shared" ref="BB120:BV120" si="163">BB38/AX38-1</f>
        <v>5.5214723926380271E-2</v>
      </c>
      <c r="BC120" s="94">
        <f t="shared" si="163"/>
        <v>7.344632768361592E-2</v>
      </c>
      <c r="BD120" s="94">
        <f t="shared" si="163"/>
        <v>6.8181818181818121E-2</v>
      </c>
      <c r="BE120" s="94">
        <f t="shared" si="163"/>
        <v>0.12734082397003754</v>
      </c>
      <c r="BF120" s="94">
        <f t="shared" si="163"/>
        <v>3.6821705426356655E-2</v>
      </c>
      <c r="BG120" s="94">
        <f t="shared" si="163"/>
        <v>-8.7719298245614308E-3</v>
      </c>
      <c r="BH120" s="94">
        <f t="shared" si="163"/>
        <v>-5.1418439716312103E-2</v>
      </c>
      <c r="BI120" s="94">
        <f t="shared" si="163"/>
        <v>-1.6611295681063121E-2</v>
      </c>
      <c r="BJ120" s="94">
        <f t="shared" si="163"/>
        <v>-2.4299065420560706E-2</v>
      </c>
      <c r="BK120" s="94">
        <f t="shared" si="163"/>
        <v>-3.7168141592920367E-2</v>
      </c>
      <c r="BL120" s="94">
        <f t="shared" si="163"/>
        <v>-3.1775700934579487E-2</v>
      </c>
      <c r="BM120" s="94">
        <f t="shared" si="163"/>
        <v>-0.13851351351351349</v>
      </c>
      <c r="BN120" s="94">
        <f t="shared" si="163"/>
        <v>-0.15325670498084287</v>
      </c>
      <c r="BO120" s="94">
        <f t="shared" si="163"/>
        <v>-0.17279411764705888</v>
      </c>
      <c r="BP120" s="94">
        <f t="shared" si="163"/>
        <v>-0.17567567567567566</v>
      </c>
      <c r="BQ120" s="94">
        <f t="shared" si="163"/>
        <v>-0.10784313725490191</v>
      </c>
      <c r="BR120" s="94">
        <f t="shared" si="163"/>
        <v>-0.14479638009049778</v>
      </c>
      <c r="BS120" s="94">
        <f t="shared" si="163"/>
        <v>-8.666666666666667E-2</v>
      </c>
      <c r="BT120" s="94">
        <f t="shared" si="163"/>
        <v>-8.4309133489461341E-2</v>
      </c>
      <c r="BU120" s="94">
        <f t="shared" si="163"/>
        <v>-0.1648351648351648</v>
      </c>
      <c r="BV120" s="94">
        <f t="shared" si="163"/>
        <v>-0.10317460317460314</v>
      </c>
      <c r="BW120" s="94"/>
      <c r="BX120" s="94"/>
      <c r="BY120" s="94"/>
      <c r="BZ120" s="94"/>
      <c r="CA120" s="94"/>
      <c r="CB120" s="94"/>
      <c r="CC120" s="94"/>
      <c r="CD120" s="94"/>
      <c r="CE120" s="94"/>
      <c r="CF120" s="94"/>
      <c r="CG120" s="94"/>
      <c r="CH120" s="94"/>
      <c r="CI120" s="94"/>
      <c r="CJ120" s="94"/>
      <c r="CK120" s="94"/>
      <c r="CL120" s="94"/>
      <c r="CM120" s="94"/>
      <c r="CN120" s="94"/>
      <c r="CO120" s="94"/>
      <c r="CP120" s="94"/>
      <c r="CQ120" s="94"/>
      <c r="CR120" s="94"/>
      <c r="CS120" s="94"/>
      <c r="CT120" s="94"/>
      <c r="CU120" s="94"/>
      <c r="CV120" s="94"/>
      <c r="CW120" s="94"/>
      <c r="CX120" s="94"/>
      <c r="CY120" s="94"/>
      <c r="CZ120" s="94"/>
      <c r="DA120" s="94"/>
      <c r="DB120" s="94"/>
      <c r="DC120" s="94"/>
      <c r="DD120" s="94"/>
      <c r="DE120" s="94"/>
      <c r="DF120" s="94"/>
      <c r="DG120" s="94"/>
      <c r="DH120" s="94"/>
      <c r="DI120" s="94"/>
      <c r="DJ120" s="94"/>
      <c r="DK120" s="94"/>
      <c r="DL120" s="94"/>
      <c r="DM120" s="94"/>
      <c r="DN120" s="94"/>
      <c r="DO120" s="94"/>
      <c r="DP120" s="94"/>
      <c r="DQ120" s="94"/>
      <c r="DR120" s="94"/>
      <c r="DS120" s="94"/>
      <c r="DT120" s="94"/>
      <c r="DU120" s="94"/>
      <c r="DV120" s="94"/>
      <c r="DW120" s="94"/>
      <c r="DX120" s="94"/>
      <c r="DY120" s="94"/>
      <c r="DZ120" s="94"/>
      <c r="EA120" s="94"/>
      <c r="EB120" s="94"/>
      <c r="EC120" s="94"/>
      <c r="ED120" s="5"/>
      <c r="EE120" s="47"/>
      <c r="EF120" s="47"/>
      <c r="EG120" s="47"/>
      <c r="EH120" s="47"/>
      <c r="EI120" s="47"/>
      <c r="EJ120" s="47"/>
      <c r="EK120" s="47"/>
      <c r="EL120" s="47"/>
      <c r="EM120" s="47"/>
      <c r="EN120" s="47"/>
      <c r="EO120" s="47"/>
      <c r="EP120" s="47"/>
      <c r="EQ120" s="47"/>
      <c r="ER120" s="47"/>
      <c r="ES120" s="47"/>
      <c r="ET120" s="47"/>
      <c r="EU120" s="47"/>
      <c r="EV120" s="47"/>
      <c r="EW120" s="47"/>
      <c r="EX120" s="47"/>
      <c r="EY120" s="46"/>
      <c r="EZ120" s="16"/>
      <c r="FA120" s="46"/>
      <c r="FB120" s="46"/>
    </row>
    <row r="121" spans="2:158" s="26" customFormat="1">
      <c r="B121" s="15" t="s">
        <v>33</v>
      </c>
      <c r="C121" s="23"/>
      <c r="D121" s="23"/>
      <c r="E121" s="23"/>
      <c r="F121" s="23"/>
      <c r="G121" s="23"/>
      <c r="H121" s="23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  <c r="AL121" s="25"/>
      <c r="AM121" s="25"/>
      <c r="AN121" s="25"/>
      <c r="AO121" s="25"/>
      <c r="AP121" s="25"/>
      <c r="AQ121" s="25"/>
      <c r="AR121" s="25"/>
      <c r="AS121" s="25"/>
      <c r="AT121" s="25"/>
      <c r="AU121" s="25"/>
      <c r="AV121" s="25"/>
      <c r="AW121" s="93"/>
      <c r="AX121" s="93"/>
      <c r="AY121" s="93"/>
      <c r="AZ121" s="93"/>
      <c r="BA121" s="93"/>
      <c r="BB121" s="94">
        <f t="shared" ref="BB121:BV121" si="164">BB43/AX43-1</f>
        <v>2.925925925925926</v>
      </c>
      <c r="BC121" s="94">
        <f t="shared" si="164"/>
        <v>7.2105263157894743</v>
      </c>
      <c r="BD121" s="94">
        <f t="shared" si="164"/>
        <v>1.5363636363636362</v>
      </c>
      <c r="BE121" s="94">
        <f t="shared" si="164"/>
        <v>6.5161290322580649</v>
      </c>
      <c r="BF121" s="94">
        <f t="shared" si="164"/>
        <v>0.41745283018867929</v>
      </c>
      <c r="BG121" s="94">
        <f t="shared" si="164"/>
        <v>1.3076923076923075</v>
      </c>
      <c r="BH121" s="94">
        <f t="shared" si="164"/>
        <v>1.3978494623655915</v>
      </c>
      <c r="BI121" s="94">
        <f t="shared" si="164"/>
        <v>0.42632331902718179</v>
      </c>
      <c r="BJ121" s="94">
        <f t="shared" si="164"/>
        <v>0.43926788685524132</v>
      </c>
      <c r="BK121" s="94">
        <f t="shared" si="164"/>
        <v>0.25277777777777777</v>
      </c>
      <c r="BL121" s="94">
        <f t="shared" si="164"/>
        <v>-0.61584454409566525</v>
      </c>
      <c r="BM121" s="94">
        <f t="shared" si="164"/>
        <v>-0.48645937813440321</v>
      </c>
      <c r="BN121" s="94">
        <f t="shared" si="164"/>
        <v>-0.67861271676300583</v>
      </c>
      <c r="BO121" s="94">
        <f t="shared" si="164"/>
        <v>-0.89135254988913526</v>
      </c>
      <c r="BP121" s="94">
        <f t="shared" si="164"/>
        <v>-0.60700389105058372</v>
      </c>
      <c r="BQ121" s="94">
        <f t="shared" si="164"/>
        <v>-0.646484375</v>
      </c>
      <c r="BR121" s="94">
        <f t="shared" si="164"/>
        <v>0.44244604316546754</v>
      </c>
      <c r="BS121" s="94">
        <f t="shared" si="164"/>
        <v>11.428571428571429</v>
      </c>
      <c r="BT121" s="94">
        <f t="shared" si="164"/>
        <v>8.8415841584158414</v>
      </c>
      <c r="BU121" s="94">
        <f t="shared" si="164"/>
        <v>5.6077348066298338</v>
      </c>
      <c r="BV121" s="94">
        <f t="shared" si="164"/>
        <v>0.28927680798004984</v>
      </c>
      <c r="BW121" s="94"/>
      <c r="BX121" s="94"/>
      <c r="BY121" s="94"/>
      <c r="BZ121" s="94"/>
      <c r="CA121" s="94"/>
      <c r="CB121" s="94"/>
      <c r="CC121" s="94"/>
      <c r="CD121" s="94"/>
      <c r="CE121" s="94"/>
      <c r="CF121" s="94"/>
      <c r="CG121" s="94"/>
      <c r="CH121" s="94"/>
      <c r="CI121" s="94"/>
      <c r="CJ121" s="94"/>
      <c r="CK121" s="94"/>
      <c r="CL121" s="94"/>
      <c r="CM121" s="94"/>
      <c r="CN121" s="94"/>
      <c r="CO121" s="94"/>
      <c r="CP121" s="94"/>
      <c r="CQ121" s="94"/>
      <c r="CR121" s="94"/>
      <c r="CS121" s="94"/>
      <c r="CT121" s="94"/>
      <c r="CU121" s="94"/>
      <c r="CV121" s="94"/>
      <c r="CW121" s="94"/>
      <c r="CX121" s="94"/>
      <c r="CY121" s="94"/>
      <c r="CZ121" s="94"/>
      <c r="DA121" s="94"/>
      <c r="DB121" s="94"/>
      <c r="DC121" s="94"/>
      <c r="DD121" s="94"/>
      <c r="DE121" s="94"/>
      <c r="DF121" s="94"/>
      <c r="DG121" s="94"/>
      <c r="DH121" s="94"/>
      <c r="DI121" s="94"/>
      <c r="DJ121" s="94"/>
      <c r="DK121" s="94"/>
      <c r="DL121" s="94"/>
      <c r="DM121" s="94"/>
      <c r="DN121" s="94"/>
      <c r="DO121" s="94"/>
      <c r="DP121" s="94"/>
      <c r="DQ121" s="94"/>
      <c r="DR121" s="94"/>
      <c r="DS121" s="94"/>
      <c r="DT121" s="94"/>
      <c r="DU121" s="94"/>
      <c r="DV121" s="94"/>
      <c r="DW121" s="94"/>
      <c r="DX121" s="94"/>
      <c r="DY121" s="94"/>
      <c r="DZ121" s="94"/>
      <c r="EA121" s="94"/>
      <c r="EB121" s="94"/>
      <c r="EC121" s="94"/>
      <c r="ED121" s="5"/>
      <c r="EE121" s="47"/>
      <c r="EF121" s="47"/>
      <c r="EG121" s="47"/>
      <c r="EH121" s="47"/>
      <c r="EI121" s="47"/>
      <c r="EJ121" s="47"/>
      <c r="EK121" s="47"/>
      <c r="EL121" s="47"/>
      <c r="EM121" s="47"/>
      <c r="EN121" s="47"/>
      <c r="EO121" s="47"/>
      <c r="EP121" s="47"/>
      <c r="EQ121" s="47"/>
      <c r="ER121" s="47"/>
      <c r="ES121" s="47"/>
      <c r="ET121" s="47"/>
      <c r="EU121" s="47"/>
      <c r="EV121" s="47"/>
      <c r="EW121" s="47"/>
      <c r="EX121" s="47"/>
      <c r="EY121" s="46"/>
      <c r="EZ121" s="16"/>
      <c r="FA121" s="46"/>
      <c r="FB121" s="46"/>
    </row>
    <row r="122" spans="2:158" s="26" customFormat="1">
      <c r="B122" s="15" t="s">
        <v>40</v>
      </c>
      <c r="C122" s="23"/>
      <c r="D122" s="23"/>
      <c r="E122" s="23"/>
      <c r="F122" s="23"/>
      <c r="G122" s="23"/>
      <c r="H122" s="23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  <c r="AL122" s="25"/>
      <c r="AM122" s="25"/>
      <c r="AN122" s="25"/>
      <c r="AO122" s="25"/>
      <c r="AP122" s="25"/>
      <c r="AQ122" s="25"/>
      <c r="AR122" s="25"/>
      <c r="AS122" s="25"/>
      <c r="AT122" s="25"/>
      <c r="AU122" s="25"/>
      <c r="AV122" s="25"/>
      <c r="AW122" s="93"/>
      <c r="AX122" s="93"/>
      <c r="AY122" s="93"/>
      <c r="AZ122" s="93"/>
      <c r="BA122" s="93"/>
      <c r="BB122" s="94">
        <f t="shared" ref="BB122:BV122" si="165">BB28/AX28-1</f>
        <v>2.7100271002709064E-3</v>
      </c>
      <c r="BC122" s="94">
        <f t="shared" si="165"/>
        <v>0.22857142857142865</v>
      </c>
      <c r="BD122" s="94">
        <f t="shared" si="165"/>
        <v>0.3086053412462908</v>
      </c>
      <c r="BE122" s="94">
        <f t="shared" si="165"/>
        <v>0.33717579250720453</v>
      </c>
      <c r="BF122" s="94">
        <f t="shared" si="165"/>
        <v>0.22702702702702693</v>
      </c>
      <c r="BG122" s="94">
        <f t="shared" si="165"/>
        <v>1.6279069767441756E-2</v>
      </c>
      <c r="BH122" s="94">
        <f t="shared" si="165"/>
        <v>5.6689342403628107E-2</v>
      </c>
      <c r="BI122" s="94">
        <f t="shared" si="165"/>
        <v>4.5258620689655249E-2</v>
      </c>
      <c r="BJ122" s="94">
        <f t="shared" si="165"/>
        <v>4.8458149779735615E-2</v>
      </c>
      <c r="BK122" s="94">
        <f t="shared" si="165"/>
        <v>0.15102974828375282</v>
      </c>
      <c r="BL122" s="94">
        <f t="shared" si="165"/>
        <v>4.0772532188841248E-2</v>
      </c>
      <c r="BM122" s="94">
        <f t="shared" si="165"/>
        <v>0.12989690721649483</v>
      </c>
      <c r="BN122" s="94">
        <f t="shared" si="165"/>
        <v>2.3109243697478909E-2</v>
      </c>
      <c r="BO122" s="94">
        <f t="shared" si="165"/>
        <v>3.9761431411530879E-2</v>
      </c>
      <c r="BP122" s="94">
        <f t="shared" si="165"/>
        <v>5.7731958762886615E-2</v>
      </c>
      <c r="BQ122" s="94">
        <f t="shared" si="165"/>
        <v>5.1094890510948954E-2</v>
      </c>
      <c r="BR122" s="94">
        <f t="shared" si="165"/>
        <v>6.1601642710472193E-2</v>
      </c>
      <c r="BS122" s="94">
        <f t="shared" si="165"/>
        <v>-0.21606118546845121</v>
      </c>
      <c r="BT122" s="94">
        <f t="shared" si="165"/>
        <v>-0.29434697855750491</v>
      </c>
      <c r="BU122" s="94">
        <f t="shared" si="165"/>
        <v>-0.50173611111111116</v>
      </c>
      <c r="BV122" s="94">
        <f t="shared" si="165"/>
        <v>-0.30947775628626695</v>
      </c>
      <c r="BW122" s="94"/>
      <c r="BX122" s="94"/>
      <c r="BY122" s="94"/>
      <c r="BZ122" s="94"/>
      <c r="CA122" s="94"/>
      <c r="CB122" s="94"/>
      <c r="CC122" s="94"/>
      <c r="CD122" s="94"/>
      <c r="CE122" s="94"/>
      <c r="CF122" s="94"/>
      <c r="CG122" s="94"/>
      <c r="CH122" s="94"/>
      <c r="CI122" s="94"/>
      <c r="CJ122" s="94"/>
      <c r="CK122" s="94"/>
      <c r="CL122" s="94"/>
      <c r="CM122" s="94"/>
      <c r="CN122" s="94"/>
      <c r="CO122" s="94"/>
      <c r="CP122" s="94"/>
      <c r="CQ122" s="94"/>
      <c r="CR122" s="94"/>
      <c r="CS122" s="94"/>
      <c r="CT122" s="94"/>
      <c r="CU122" s="94"/>
      <c r="CV122" s="94"/>
      <c r="CW122" s="94"/>
      <c r="CX122" s="94"/>
      <c r="CY122" s="94"/>
      <c r="CZ122" s="94"/>
      <c r="DA122" s="94"/>
      <c r="DB122" s="94"/>
      <c r="DC122" s="94"/>
      <c r="DD122" s="94"/>
      <c r="DE122" s="94"/>
      <c r="DF122" s="94"/>
      <c r="DG122" s="94"/>
      <c r="DH122" s="94"/>
      <c r="DI122" s="94"/>
      <c r="DJ122" s="94"/>
      <c r="DK122" s="94"/>
      <c r="DL122" s="94"/>
      <c r="DM122" s="94"/>
      <c r="DN122" s="94"/>
      <c r="DO122" s="94"/>
      <c r="DP122" s="94"/>
      <c r="DQ122" s="94"/>
      <c r="DR122" s="94"/>
      <c r="DS122" s="94"/>
      <c r="DT122" s="94"/>
      <c r="DU122" s="94"/>
      <c r="DV122" s="94"/>
      <c r="DW122" s="94"/>
      <c r="DX122" s="94"/>
      <c r="DY122" s="94"/>
      <c r="DZ122" s="94"/>
      <c r="EA122" s="94"/>
      <c r="EB122" s="94"/>
      <c r="EC122" s="94"/>
      <c r="ED122" s="5"/>
      <c r="EE122" s="47"/>
      <c r="EF122" s="47"/>
      <c r="EG122" s="47"/>
      <c r="EH122" s="47"/>
      <c r="EI122" s="47"/>
      <c r="EJ122" s="47"/>
      <c r="EK122" s="47"/>
      <c r="EL122" s="47"/>
      <c r="EM122" s="47"/>
      <c r="EN122" s="47"/>
      <c r="EO122" s="47"/>
      <c r="EP122" s="47"/>
      <c r="EQ122" s="47"/>
      <c r="ER122" s="47"/>
      <c r="ES122" s="47"/>
      <c r="ET122" s="47"/>
      <c r="EU122" s="47"/>
      <c r="EV122" s="47"/>
      <c r="EW122" s="47"/>
      <c r="EX122" s="47"/>
      <c r="EY122" s="46"/>
      <c r="EZ122" s="16"/>
      <c r="FA122" s="46"/>
      <c r="FB122" s="46"/>
    </row>
    <row r="123" spans="2:158" s="26" customFormat="1">
      <c r="B123" s="15" t="s">
        <v>34</v>
      </c>
      <c r="C123" s="23"/>
      <c r="D123" s="23"/>
      <c r="E123" s="23"/>
      <c r="F123" s="23"/>
      <c r="G123" s="23"/>
      <c r="H123" s="23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  <c r="AL123" s="25"/>
      <c r="AM123" s="25"/>
      <c r="AN123" s="25"/>
      <c r="AO123" s="25"/>
      <c r="AP123" s="25"/>
      <c r="AQ123" s="25"/>
      <c r="AR123" s="25"/>
      <c r="AS123" s="25"/>
      <c r="AT123" s="25"/>
      <c r="AU123" s="25"/>
      <c r="AV123" s="25"/>
      <c r="AW123" s="93"/>
      <c r="AX123" s="93"/>
      <c r="AY123" s="93"/>
      <c r="AZ123" s="93"/>
      <c r="BA123" s="93"/>
      <c r="BB123" s="94">
        <f t="shared" ref="BB123:BK124" si="166">BB39/AX39-1</f>
        <v>0.12456747404844282</v>
      </c>
      <c r="BC123" s="94">
        <f t="shared" si="166"/>
        <v>0.20338983050847448</v>
      </c>
      <c r="BD123" s="94">
        <f t="shared" si="166"/>
        <v>0.18243243243243246</v>
      </c>
      <c r="BE123" s="94">
        <f t="shared" si="166"/>
        <v>0.24749163879598668</v>
      </c>
      <c r="BF123" s="94">
        <f t="shared" si="166"/>
        <v>7.6923076923076872E-2</v>
      </c>
      <c r="BG123" s="94">
        <f t="shared" si="166"/>
        <v>5.3521126760563309E-2</v>
      </c>
      <c r="BH123" s="94">
        <f t="shared" si="166"/>
        <v>0</v>
      </c>
      <c r="BI123" s="94">
        <f t="shared" si="166"/>
        <v>5.3619302949061698E-2</v>
      </c>
      <c r="BJ123" s="94">
        <f t="shared" si="166"/>
        <v>0.14285714285714279</v>
      </c>
      <c r="BK123" s="94">
        <f t="shared" si="166"/>
        <v>8.8235294117646967E-2</v>
      </c>
      <c r="BL123" s="94">
        <f t="shared" ref="BL123:BU124" si="167">BL39/BH39-1</f>
        <v>9.4285714285714306E-2</v>
      </c>
      <c r="BM123" s="94">
        <f t="shared" si="167"/>
        <v>0.13740458015267176</v>
      </c>
      <c r="BN123" s="94">
        <f t="shared" si="167"/>
        <v>-7.7500000000000013E-2</v>
      </c>
      <c r="BO123" s="94">
        <f t="shared" si="167"/>
        <v>2.2113022113022129E-2</v>
      </c>
      <c r="BP123" s="94">
        <f t="shared" si="167"/>
        <v>5.7441253263707637E-2</v>
      </c>
      <c r="BQ123" s="94">
        <f t="shared" si="167"/>
        <v>-4.4742729306487261E-3</v>
      </c>
      <c r="BR123" s="94">
        <f t="shared" si="167"/>
        <v>6.5040650406503975E-2</v>
      </c>
      <c r="BS123" s="94">
        <f t="shared" si="167"/>
        <v>7.9326923076923128E-2</v>
      </c>
      <c r="BT123" s="94">
        <f t="shared" si="167"/>
        <v>8.1481481481481488E-2</v>
      </c>
      <c r="BU123" s="94">
        <f t="shared" si="167"/>
        <v>-0.15730337078651691</v>
      </c>
      <c r="BV123" s="94">
        <f t="shared" ref="BV123:BV124" si="168">BV39/BR39-1</f>
        <v>0.12213740458015265</v>
      </c>
      <c r="BW123" s="94"/>
      <c r="BX123" s="94"/>
      <c r="BY123" s="94"/>
      <c r="BZ123" s="94"/>
      <c r="CA123" s="94"/>
      <c r="CB123" s="94"/>
      <c r="CC123" s="94"/>
      <c r="CD123" s="94"/>
      <c r="CE123" s="94"/>
      <c r="CF123" s="94"/>
      <c r="CG123" s="94"/>
      <c r="CH123" s="94"/>
      <c r="CI123" s="94"/>
      <c r="CJ123" s="94"/>
      <c r="CK123" s="94"/>
      <c r="CL123" s="94"/>
      <c r="CM123" s="94"/>
      <c r="CN123" s="94"/>
      <c r="CO123" s="94"/>
      <c r="CP123" s="94"/>
      <c r="CQ123" s="94"/>
      <c r="CR123" s="94"/>
      <c r="CS123" s="94"/>
      <c r="CT123" s="94"/>
      <c r="CU123" s="94"/>
      <c r="CV123" s="94"/>
      <c r="CW123" s="94"/>
      <c r="CX123" s="94"/>
      <c r="CY123" s="94"/>
      <c r="CZ123" s="94"/>
      <c r="DA123" s="94"/>
      <c r="DB123" s="94"/>
      <c r="DC123" s="94"/>
      <c r="DD123" s="94"/>
      <c r="DE123" s="94"/>
      <c r="DF123" s="94"/>
      <c r="DG123" s="94"/>
      <c r="DH123" s="94"/>
      <c r="DI123" s="94"/>
      <c r="DJ123" s="94"/>
      <c r="DK123" s="94"/>
      <c r="DL123" s="94"/>
      <c r="DM123" s="94"/>
      <c r="DN123" s="94"/>
      <c r="DO123" s="94"/>
      <c r="DP123" s="94"/>
      <c r="DQ123" s="94"/>
      <c r="DR123" s="94"/>
      <c r="DS123" s="94"/>
      <c r="DT123" s="94"/>
      <c r="DU123" s="94"/>
      <c r="DV123" s="94"/>
      <c r="DW123" s="94"/>
      <c r="DX123" s="94"/>
      <c r="DY123" s="94"/>
      <c r="DZ123" s="94"/>
      <c r="EA123" s="94"/>
      <c r="EB123" s="94"/>
      <c r="EC123" s="94"/>
      <c r="ED123" s="5"/>
      <c r="EE123" s="47"/>
      <c r="EF123" s="47"/>
      <c r="EG123" s="47"/>
      <c r="EH123" s="47"/>
      <c r="EI123" s="47"/>
      <c r="EJ123" s="47"/>
      <c r="EK123" s="47"/>
      <c r="EL123" s="47"/>
      <c r="EM123" s="47"/>
      <c r="EN123" s="47"/>
      <c r="EO123" s="47"/>
      <c r="EP123" s="47"/>
      <c r="EQ123" s="47"/>
      <c r="ER123" s="47"/>
      <c r="ES123" s="47"/>
      <c r="ET123" s="47"/>
      <c r="EU123" s="47"/>
      <c r="EV123" s="47"/>
      <c r="EW123" s="47"/>
      <c r="EX123" s="47"/>
      <c r="EY123" s="46"/>
      <c r="EZ123" s="16"/>
      <c r="FA123" s="46"/>
      <c r="FB123" s="46"/>
    </row>
    <row r="124" spans="2:158" s="26" customFormat="1">
      <c r="B124" s="15" t="s">
        <v>31</v>
      </c>
      <c r="C124" s="23"/>
      <c r="D124" s="23"/>
      <c r="E124" s="23"/>
      <c r="F124" s="23"/>
      <c r="G124" s="23"/>
      <c r="H124" s="23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  <c r="AL124" s="25"/>
      <c r="AM124" s="25"/>
      <c r="AN124" s="25"/>
      <c r="AO124" s="25"/>
      <c r="AP124" s="25"/>
      <c r="AQ124" s="25"/>
      <c r="AR124" s="25"/>
      <c r="AS124" s="25"/>
      <c r="AT124" s="25"/>
      <c r="AU124" s="25"/>
      <c r="AV124" s="25"/>
      <c r="AW124" s="93"/>
      <c r="AX124" s="93"/>
      <c r="AY124" s="93"/>
      <c r="AZ124" s="93"/>
      <c r="BA124" s="93"/>
      <c r="BB124" s="94">
        <f t="shared" si="166"/>
        <v>0.43478260869565211</v>
      </c>
      <c r="BC124" s="94">
        <f t="shared" si="166"/>
        <v>0.484375</v>
      </c>
      <c r="BD124" s="94">
        <f t="shared" si="166"/>
        <v>0.46896551724137936</v>
      </c>
      <c r="BE124" s="94">
        <f t="shared" si="166"/>
        <v>0.56164383561643838</v>
      </c>
      <c r="BF124" s="94">
        <f t="shared" si="166"/>
        <v>0.44242424242424239</v>
      </c>
      <c r="BG124" s="94">
        <f t="shared" si="166"/>
        <v>0.23157894736842111</v>
      </c>
      <c r="BH124" s="94">
        <f t="shared" si="166"/>
        <v>0.1220657276995305</v>
      </c>
      <c r="BI124" s="94">
        <f t="shared" si="166"/>
        <v>0.14035087719298245</v>
      </c>
      <c r="BJ124" s="94">
        <f t="shared" si="166"/>
        <v>0.12184873949579833</v>
      </c>
      <c r="BK124" s="94">
        <f t="shared" si="166"/>
        <v>0.20512820512820507</v>
      </c>
      <c r="BL124" s="94">
        <f t="shared" si="167"/>
        <v>0.21338912133891208</v>
      </c>
      <c r="BM124" s="94">
        <f t="shared" si="167"/>
        <v>0.19999999999999996</v>
      </c>
      <c r="BN124" s="94">
        <f t="shared" si="167"/>
        <v>5.2434456928838857E-2</v>
      </c>
      <c r="BO124" s="94">
        <f t="shared" si="167"/>
        <v>3.5460992907801359E-2</v>
      </c>
      <c r="BP124" s="94">
        <f t="shared" si="167"/>
        <v>5.862068965517242E-2</v>
      </c>
      <c r="BQ124" s="94">
        <f t="shared" si="167"/>
        <v>6.0897435897435903E-2</v>
      </c>
      <c r="BR124" s="94">
        <f t="shared" si="167"/>
        <v>5.3380782918149405E-2</v>
      </c>
      <c r="BS124" s="94">
        <f t="shared" si="167"/>
        <v>0.13013698630136994</v>
      </c>
      <c r="BT124" s="94">
        <f t="shared" si="167"/>
        <v>6.1889250814332275E-2</v>
      </c>
      <c r="BU124" s="94">
        <f t="shared" si="167"/>
        <v>-6.9486404833836835E-2</v>
      </c>
      <c r="BV124" s="94">
        <f t="shared" si="168"/>
        <v>0.18918918918918926</v>
      </c>
      <c r="BW124" s="94"/>
      <c r="BX124" s="94"/>
      <c r="BY124" s="94"/>
      <c r="BZ124" s="94"/>
      <c r="CA124" s="94"/>
      <c r="CB124" s="94"/>
      <c r="CC124" s="94"/>
      <c r="CD124" s="94"/>
      <c r="CE124" s="94"/>
      <c r="CF124" s="94"/>
      <c r="CG124" s="94"/>
      <c r="CH124" s="94"/>
      <c r="CI124" s="94"/>
      <c r="CJ124" s="94"/>
      <c r="CK124" s="94"/>
      <c r="CL124" s="94"/>
      <c r="CM124" s="94"/>
      <c r="CN124" s="94"/>
      <c r="CO124" s="94"/>
      <c r="CP124" s="94"/>
      <c r="CQ124" s="94"/>
      <c r="CR124" s="94"/>
      <c r="CS124" s="94"/>
      <c r="CT124" s="94"/>
      <c r="CU124" s="94"/>
      <c r="CV124" s="94"/>
      <c r="CW124" s="94"/>
      <c r="CX124" s="94"/>
      <c r="CY124" s="94"/>
      <c r="CZ124" s="94"/>
      <c r="DA124" s="94"/>
      <c r="DB124" s="94"/>
      <c r="DC124" s="94"/>
      <c r="DD124" s="94"/>
      <c r="DE124" s="94"/>
      <c r="DF124" s="94"/>
      <c r="DG124" s="94"/>
      <c r="DH124" s="94"/>
      <c r="DI124" s="94"/>
      <c r="DJ124" s="94"/>
      <c r="DK124" s="94"/>
      <c r="DL124" s="94"/>
      <c r="DM124" s="94"/>
      <c r="DN124" s="94"/>
      <c r="DO124" s="94"/>
      <c r="DP124" s="94"/>
      <c r="DQ124" s="94"/>
      <c r="DR124" s="94"/>
      <c r="DS124" s="94"/>
      <c r="DT124" s="94"/>
      <c r="DU124" s="94"/>
      <c r="DV124" s="94"/>
      <c r="DW124" s="94"/>
      <c r="DX124" s="94"/>
      <c r="DY124" s="94"/>
      <c r="DZ124" s="94"/>
      <c r="EA124" s="94"/>
      <c r="EB124" s="94"/>
      <c r="EC124" s="94"/>
      <c r="ED124" s="5"/>
      <c r="EE124" s="47"/>
      <c r="EF124" s="47"/>
      <c r="EG124" s="47"/>
      <c r="EH124" s="47"/>
      <c r="EI124" s="47"/>
      <c r="EJ124" s="47"/>
      <c r="EK124" s="47"/>
      <c r="EL124" s="47"/>
      <c r="EM124" s="47"/>
      <c r="EN124" s="47"/>
      <c r="EO124" s="47"/>
      <c r="EP124" s="47"/>
      <c r="EQ124" s="47"/>
      <c r="ER124" s="47"/>
      <c r="ES124" s="47"/>
      <c r="ET124" s="47"/>
      <c r="EU124" s="47"/>
      <c r="EV124" s="47"/>
      <c r="EW124" s="47"/>
      <c r="EX124" s="47"/>
      <c r="EY124" s="46"/>
      <c r="EZ124" s="16"/>
      <c r="FA124" s="46"/>
      <c r="FB124" s="46"/>
    </row>
    <row r="125" spans="2:158" s="26" customFormat="1">
      <c r="B125" s="15" t="s">
        <v>25</v>
      </c>
      <c r="C125" s="23"/>
      <c r="D125" s="23"/>
      <c r="E125" s="23"/>
      <c r="F125" s="23"/>
      <c r="G125" s="23"/>
      <c r="H125" s="23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  <c r="AL125" s="25"/>
      <c r="AM125" s="25"/>
      <c r="AN125" s="25"/>
      <c r="AO125" s="25"/>
      <c r="AP125" s="25"/>
      <c r="AQ125" s="25"/>
      <c r="AR125" s="25"/>
      <c r="AS125" s="25"/>
      <c r="AT125" s="25"/>
      <c r="AU125" s="25"/>
      <c r="AV125" s="25"/>
      <c r="AW125" s="93"/>
      <c r="AX125" s="93"/>
      <c r="AY125" s="93"/>
      <c r="AZ125" s="93"/>
      <c r="BA125" s="93"/>
      <c r="BB125" s="94"/>
      <c r="BC125" s="94"/>
      <c r="BD125" s="94"/>
      <c r="BE125" s="94">
        <f t="shared" ref="BE125:BV125" si="169">BE41/BA41-1</f>
        <v>7.2941176470588243</v>
      </c>
      <c r="BF125" s="94">
        <f t="shared" si="169"/>
        <v>2.0175438596491229</v>
      </c>
      <c r="BG125" s="94">
        <f t="shared" si="169"/>
        <v>1.2159090909090908</v>
      </c>
      <c r="BH125" s="94">
        <f t="shared" si="169"/>
        <v>1.0891089108910892</v>
      </c>
      <c r="BI125" s="94">
        <f t="shared" si="169"/>
        <v>0.66666666666666674</v>
      </c>
      <c r="BJ125" s="94">
        <f t="shared" si="169"/>
        <v>0.41279069767441867</v>
      </c>
      <c r="BK125" s="94">
        <f t="shared" si="169"/>
        <v>0.33333333333333326</v>
      </c>
      <c r="BL125" s="94">
        <f t="shared" si="169"/>
        <v>0.28436018957345977</v>
      </c>
      <c r="BM125" s="94">
        <f t="shared" si="169"/>
        <v>0.22553191489361701</v>
      </c>
      <c r="BN125" s="94">
        <f t="shared" si="169"/>
        <v>0.17695473251028804</v>
      </c>
      <c r="BO125" s="94">
        <f t="shared" si="169"/>
        <v>0.1576923076923078</v>
      </c>
      <c r="BP125" s="94">
        <f t="shared" si="169"/>
        <v>9.9630996309963082E-2</v>
      </c>
      <c r="BQ125" s="94">
        <f t="shared" si="169"/>
        <v>0.14583333333333326</v>
      </c>
      <c r="BR125" s="94">
        <f t="shared" si="169"/>
        <v>0.11888111888111896</v>
      </c>
      <c r="BS125" s="94">
        <f t="shared" si="169"/>
        <v>7.3089700996677776E-2</v>
      </c>
      <c r="BT125" s="94">
        <f t="shared" si="169"/>
        <v>7.0469798657718075E-2</v>
      </c>
      <c r="BU125" s="94">
        <f t="shared" si="169"/>
        <v>3.6363636363636376E-2</v>
      </c>
      <c r="BV125" s="94">
        <f t="shared" si="169"/>
        <v>1.8750000000000044E-2</v>
      </c>
      <c r="BW125" s="94"/>
      <c r="BX125" s="94"/>
      <c r="BY125" s="94"/>
      <c r="BZ125" s="94"/>
      <c r="CA125" s="94"/>
      <c r="CB125" s="94"/>
      <c r="CC125" s="94"/>
      <c r="CD125" s="94"/>
      <c r="CE125" s="94"/>
      <c r="CF125" s="94"/>
      <c r="CG125" s="94"/>
      <c r="CH125" s="94"/>
      <c r="CI125" s="94"/>
      <c r="CJ125" s="94"/>
      <c r="CK125" s="94"/>
      <c r="CL125" s="94"/>
      <c r="CM125" s="94"/>
      <c r="CN125" s="94"/>
      <c r="CO125" s="94"/>
      <c r="CP125" s="94"/>
      <c r="CQ125" s="94"/>
      <c r="CR125" s="94"/>
      <c r="CS125" s="94"/>
      <c r="CT125" s="94"/>
      <c r="CU125" s="94"/>
      <c r="CV125" s="94"/>
      <c r="CW125" s="94"/>
      <c r="CX125" s="94"/>
      <c r="CY125" s="94"/>
      <c r="CZ125" s="94"/>
      <c r="DA125" s="94"/>
      <c r="DB125" s="94"/>
      <c r="DC125" s="94"/>
      <c r="DD125" s="94"/>
      <c r="DE125" s="94"/>
      <c r="DF125" s="94"/>
      <c r="DG125" s="94"/>
      <c r="DH125" s="94"/>
      <c r="DI125" s="94"/>
      <c r="DJ125" s="94"/>
      <c r="DK125" s="94"/>
      <c r="DL125" s="94"/>
      <c r="DM125" s="94"/>
      <c r="DN125" s="94"/>
      <c r="DO125" s="94"/>
      <c r="DP125" s="94"/>
      <c r="DQ125" s="94"/>
      <c r="DR125" s="94"/>
      <c r="DS125" s="94"/>
      <c r="DT125" s="94"/>
      <c r="DU125" s="94"/>
      <c r="DV125" s="94"/>
      <c r="DW125" s="94"/>
      <c r="DX125" s="94"/>
      <c r="DY125" s="94"/>
      <c r="DZ125" s="94"/>
      <c r="EA125" s="94"/>
      <c r="EB125" s="94"/>
      <c r="EC125" s="94"/>
      <c r="ED125" s="5"/>
      <c r="EE125" s="47"/>
      <c r="EF125" s="47"/>
      <c r="EG125" s="47"/>
      <c r="EH125" s="47"/>
      <c r="EI125" s="47"/>
      <c r="EJ125" s="47"/>
      <c r="EK125" s="47"/>
      <c r="EL125" s="47"/>
      <c r="EM125" s="47"/>
      <c r="EN125" s="47"/>
      <c r="EO125" s="47"/>
      <c r="EP125" s="47"/>
      <c r="EQ125" s="47"/>
      <c r="ER125" s="47"/>
      <c r="ES125" s="47"/>
      <c r="ET125" s="47"/>
      <c r="EU125" s="47"/>
      <c r="EV125" s="47"/>
      <c r="EW125" s="47"/>
      <c r="EX125" s="47"/>
      <c r="EY125" s="46"/>
      <c r="EZ125" s="16"/>
      <c r="FA125" s="46"/>
      <c r="FB125" s="46"/>
    </row>
    <row r="126" spans="2:158" s="26" customFormat="1">
      <c r="B126" s="15" t="s">
        <v>29</v>
      </c>
      <c r="C126" s="23"/>
      <c r="D126" s="23"/>
      <c r="E126" s="23"/>
      <c r="F126" s="23"/>
      <c r="G126" s="23"/>
      <c r="H126" s="23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  <c r="AL126" s="25"/>
      <c r="AM126" s="25"/>
      <c r="AN126" s="25"/>
      <c r="AO126" s="25"/>
      <c r="AP126" s="25"/>
      <c r="AQ126" s="25"/>
      <c r="AR126" s="25"/>
      <c r="AS126" s="25"/>
      <c r="AT126" s="25"/>
      <c r="AU126" s="25"/>
      <c r="AV126" s="25"/>
      <c r="AW126" s="93"/>
      <c r="AX126" s="93"/>
      <c r="AY126" s="93"/>
      <c r="AZ126" s="93"/>
      <c r="BA126" s="93"/>
      <c r="BB126" s="93"/>
      <c r="BC126" s="93"/>
      <c r="BD126" s="93"/>
      <c r="BE126" s="93"/>
      <c r="BF126" s="93"/>
      <c r="BG126" s="93"/>
      <c r="BH126" s="66"/>
      <c r="BI126" s="66"/>
      <c r="BJ126" s="66"/>
      <c r="BK126" s="66"/>
      <c r="BL126" s="94">
        <f t="shared" ref="BL126:BV126" si="170">BL21/BH21-1</f>
        <v>0.24479166666666674</v>
      </c>
      <c r="BM126" s="94">
        <f t="shared" si="170"/>
        <v>-0.1648351648351648</v>
      </c>
      <c r="BN126" s="94">
        <f t="shared" si="170"/>
        <v>-0.18250950570342206</v>
      </c>
      <c r="BO126" s="94">
        <f t="shared" si="170"/>
        <v>-0.13793103448275867</v>
      </c>
      <c r="BP126" s="94">
        <f t="shared" si="170"/>
        <v>2.9288702928870203E-2</v>
      </c>
      <c r="BQ126" s="94">
        <f t="shared" si="170"/>
        <v>0.20175438596491224</v>
      </c>
      <c r="BR126" s="94">
        <f t="shared" si="170"/>
        <v>0.29767441860465116</v>
      </c>
      <c r="BS126" s="94">
        <f t="shared" si="170"/>
        <v>0.30666666666666664</v>
      </c>
      <c r="BT126" s="94">
        <f t="shared" si="170"/>
        <v>0.20325203252032531</v>
      </c>
      <c r="BU126" s="94">
        <f t="shared" si="170"/>
        <v>0.2007299270072993</v>
      </c>
      <c r="BV126" s="94">
        <f t="shared" si="170"/>
        <v>0.17204301075268824</v>
      </c>
      <c r="BW126" s="94"/>
      <c r="BX126" s="94"/>
      <c r="BY126" s="94"/>
      <c r="BZ126" s="94"/>
      <c r="CA126" s="94"/>
      <c r="CB126" s="94"/>
      <c r="CC126" s="94"/>
      <c r="CD126" s="94"/>
      <c r="CE126" s="94"/>
      <c r="CF126" s="94"/>
      <c r="CG126" s="94"/>
      <c r="CH126" s="94"/>
      <c r="CI126" s="94"/>
      <c r="CJ126" s="94"/>
      <c r="CK126" s="94"/>
      <c r="CL126" s="94"/>
      <c r="CM126" s="94"/>
      <c r="CN126" s="94"/>
      <c r="CO126" s="94"/>
      <c r="CP126" s="94"/>
      <c r="CQ126" s="94"/>
      <c r="CR126" s="94"/>
      <c r="CS126" s="94"/>
      <c r="CT126" s="94"/>
      <c r="CU126" s="94"/>
      <c r="CV126" s="94"/>
      <c r="CW126" s="94"/>
      <c r="CX126" s="94"/>
      <c r="CY126" s="94"/>
      <c r="CZ126" s="94"/>
      <c r="DA126" s="94"/>
      <c r="DB126" s="94"/>
      <c r="DC126" s="94"/>
      <c r="DD126" s="94"/>
      <c r="DE126" s="94"/>
      <c r="DF126" s="94"/>
      <c r="DG126" s="94"/>
      <c r="DH126" s="94"/>
      <c r="DI126" s="94"/>
      <c r="DJ126" s="94"/>
      <c r="DK126" s="94"/>
      <c r="DL126" s="94"/>
      <c r="DM126" s="94"/>
      <c r="DN126" s="94"/>
      <c r="DO126" s="94"/>
      <c r="DP126" s="94"/>
      <c r="DQ126" s="94"/>
      <c r="DR126" s="94"/>
      <c r="DS126" s="94"/>
      <c r="DT126" s="94"/>
      <c r="DU126" s="94"/>
      <c r="DV126" s="94"/>
      <c r="DW126" s="94"/>
      <c r="DX126" s="94"/>
      <c r="DY126" s="94"/>
      <c r="DZ126" s="94"/>
      <c r="EA126" s="94"/>
      <c r="EB126" s="94"/>
      <c r="EC126" s="94"/>
      <c r="ED126" s="5"/>
      <c r="EE126" s="47"/>
      <c r="EF126" s="47"/>
      <c r="EG126" s="47"/>
      <c r="EH126" s="47"/>
      <c r="EI126" s="47"/>
      <c r="EJ126" s="47"/>
      <c r="EK126" s="47"/>
      <c r="EL126" s="47"/>
      <c r="EM126" s="47"/>
      <c r="EN126" s="47"/>
      <c r="EO126" s="47"/>
      <c r="EP126" s="47"/>
      <c r="EQ126" s="47"/>
      <c r="ER126" s="47"/>
      <c r="ES126" s="47"/>
      <c r="ET126" s="47"/>
      <c r="EU126" s="47"/>
      <c r="EV126" s="47"/>
      <c r="EW126" s="47"/>
      <c r="EX126" s="47"/>
      <c r="EY126" s="46"/>
      <c r="EZ126" s="16"/>
      <c r="FA126" s="46"/>
      <c r="FB126" s="46"/>
    </row>
    <row r="127" spans="2:158" s="26" customFormat="1">
      <c r="B127" s="15" t="s">
        <v>140</v>
      </c>
      <c r="C127" s="23"/>
      <c r="D127" s="23"/>
      <c r="E127" s="23"/>
      <c r="F127" s="23"/>
      <c r="G127" s="23"/>
      <c r="H127" s="23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  <c r="AL127" s="25"/>
      <c r="AM127" s="25"/>
      <c r="AN127" s="25"/>
      <c r="AO127" s="25"/>
      <c r="AP127" s="25"/>
      <c r="AQ127" s="25"/>
      <c r="AR127" s="25"/>
      <c r="AS127" s="25"/>
      <c r="AT127" s="25"/>
      <c r="AU127" s="25"/>
      <c r="AV127" s="25"/>
      <c r="AW127" s="93"/>
      <c r="AX127" s="93"/>
      <c r="AY127" s="93"/>
      <c r="AZ127" s="93"/>
      <c r="BA127" s="93"/>
      <c r="BB127" s="94"/>
      <c r="BC127" s="94"/>
      <c r="BD127" s="94"/>
      <c r="BE127" s="94"/>
      <c r="BF127" s="94"/>
      <c r="BG127" s="94">
        <f t="shared" ref="BG127:BV127" si="171">BG42/BC42-1</f>
        <v>3.3809523809523814</v>
      </c>
      <c r="BH127" s="94">
        <f t="shared" si="171"/>
        <v>9.1428571428571423</v>
      </c>
      <c r="BI127" s="94">
        <f t="shared" si="171"/>
        <v>2.5098039215686274</v>
      </c>
      <c r="BJ127" s="94">
        <f t="shared" si="171"/>
        <v>1.2666666666666666</v>
      </c>
      <c r="BK127" s="94">
        <f t="shared" si="171"/>
        <v>1.2173913043478262</v>
      </c>
      <c r="BL127" s="94">
        <f t="shared" si="171"/>
        <v>0.61971830985915499</v>
      </c>
      <c r="BM127" s="94">
        <f t="shared" si="171"/>
        <v>0.58100558659217882</v>
      </c>
      <c r="BN127" s="94">
        <f t="shared" si="171"/>
        <v>0.41764705882352948</v>
      </c>
      <c r="BO127" s="94">
        <f t="shared" si="171"/>
        <v>0.30392156862745101</v>
      </c>
      <c r="BP127" s="94">
        <f t="shared" si="171"/>
        <v>0.16521739130434776</v>
      </c>
      <c r="BQ127" s="94">
        <f t="shared" si="171"/>
        <v>0.1766784452296819</v>
      </c>
      <c r="BR127" s="94">
        <f t="shared" si="171"/>
        <v>3.3195020746888071E-2</v>
      </c>
      <c r="BS127" s="94">
        <f t="shared" si="171"/>
        <v>3.7593984962406068E-2</v>
      </c>
      <c r="BT127" s="94">
        <f t="shared" si="171"/>
        <v>-4.8507462686567138E-2</v>
      </c>
      <c r="BU127" s="94">
        <f t="shared" si="171"/>
        <v>-0.16516516516516522</v>
      </c>
      <c r="BV127" s="94">
        <f t="shared" si="171"/>
        <v>0.11244979919678721</v>
      </c>
      <c r="BW127" s="94"/>
      <c r="BX127" s="94"/>
      <c r="BY127" s="94"/>
      <c r="BZ127" s="94"/>
      <c r="CA127" s="94"/>
      <c r="CB127" s="94"/>
      <c r="CC127" s="94"/>
      <c r="CD127" s="94"/>
      <c r="CE127" s="94"/>
      <c r="CF127" s="94"/>
      <c r="CG127" s="94"/>
      <c r="CH127" s="94"/>
      <c r="CI127" s="94"/>
      <c r="CJ127" s="94"/>
      <c r="CK127" s="94"/>
      <c r="CL127" s="94"/>
      <c r="CM127" s="94"/>
      <c r="CN127" s="94"/>
      <c r="CO127" s="94"/>
      <c r="CP127" s="94"/>
      <c r="CQ127" s="94"/>
      <c r="CR127" s="94"/>
      <c r="CS127" s="94"/>
      <c r="CT127" s="94"/>
      <c r="CU127" s="94"/>
      <c r="CV127" s="94"/>
      <c r="CW127" s="94"/>
      <c r="CX127" s="94"/>
      <c r="CY127" s="94"/>
      <c r="CZ127" s="94"/>
      <c r="DA127" s="94"/>
      <c r="DB127" s="94"/>
      <c r="DC127" s="94"/>
      <c r="DD127" s="94"/>
      <c r="DE127" s="94"/>
      <c r="DF127" s="94"/>
      <c r="DG127" s="94"/>
      <c r="DH127" s="94"/>
      <c r="DI127" s="94"/>
      <c r="DJ127" s="94"/>
      <c r="DK127" s="94"/>
      <c r="DL127" s="94"/>
      <c r="DM127" s="94"/>
      <c r="DN127" s="94"/>
      <c r="DO127" s="94"/>
      <c r="DP127" s="94"/>
      <c r="DQ127" s="94"/>
      <c r="DR127" s="94"/>
      <c r="DS127" s="94"/>
      <c r="DT127" s="94"/>
      <c r="DU127" s="94"/>
      <c r="DV127" s="94"/>
      <c r="DW127" s="94"/>
      <c r="DX127" s="94"/>
      <c r="DY127" s="94"/>
      <c r="DZ127" s="94"/>
      <c r="EA127" s="94"/>
      <c r="EB127" s="94"/>
      <c r="EC127" s="94"/>
      <c r="ED127" s="5"/>
      <c r="EE127" s="47"/>
      <c r="EF127" s="47"/>
      <c r="EG127" s="47"/>
      <c r="EH127" s="47"/>
      <c r="EI127" s="47"/>
      <c r="EJ127" s="47"/>
      <c r="EK127" s="47"/>
      <c r="EL127" s="47"/>
      <c r="EM127" s="47"/>
      <c r="EN127" s="47"/>
      <c r="EO127" s="47"/>
      <c r="EP127" s="47"/>
      <c r="EQ127" s="47"/>
      <c r="ER127" s="47"/>
      <c r="ES127" s="47"/>
      <c r="ET127" s="47"/>
      <c r="EU127" s="47"/>
      <c r="EV127" s="47"/>
      <c r="EW127" s="47"/>
      <c r="EX127" s="47"/>
      <c r="EY127" s="46"/>
      <c r="EZ127" s="16"/>
      <c r="FA127" s="46"/>
      <c r="FB127" s="46"/>
    </row>
    <row r="128" spans="2:158" s="26" customFormat="1">
      <c r="B128" s="15" t="s">
        <v>39</v>
      </c>
      <c r="C128" s="23"/>
      <c r="D128" s="23"/>
      <c r="E128" s="23"/>
      <c r="F128" s="23"/>
      <c r="G128" s="23"/>
      <c r="H128" s="23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  <c r="AL128" s="25"/>
      <c r="AM128" s="25"/>
      <c r="AN128" s="25"/>
      <c r="AO128" s="25"/>
      <c r="AP128" s="25"/>
      <c r="AQ128" s="25"/>
      <c r="AR128" s="25"/>
      <c r="AS128" s="25"/>
      <c r="AT128" s="25"/>
      <c r="AU128" s="25"/>
      <c r="AV128" s="25"/>
      <c r="AW128" s="93"/>
      <c r="AX128" s="93"/>
      <c r="AY128" s="93"/>
      <c r="AZ128" s="93"/>
      <c r="BA128" s="93"/>
      <c r="BB128" s="94">
        <f t="shared" ref="BB128:BV128" si="172">BB49/AX49-1</f>
        <v>6.8493150684931781E-3</v>
      </c>
      <c r="BC128" s="94">
        <f t="shared" si="172"/>
        <v>0</v>
      </c>
      <c r="BD128" s="94">
        <f t="shared" si="172"/>
        <v>0.11724137931034484</v>
      </c>
      <c r="BE128" s="94">
        <f t="shared" si="172"/>
        <v>0.17518248175182483</v>
      </c>
      <c r="BF128" s="94">
        <f t="shared" si="172"/>
        <v>0.23129251700680276</v>
      </c>
      <c r="BG128" s="94">
        <f t="shared" si="172"/>
        <v>0.10303030303030303</v>
      </c>
      <c r="BH128" s="94">
        <f t="shared" si="172"/>
        <v>-1.2345679012345734E-2</v>
      </c>
      <c r="BI128" s="94">
        <f t="shared" si="172"/>
        <v>5.5900621118012417E-2</v>
      </c>
      <c r="BJ128" s="94">
        <f t="shared" si="172"/>
        <v>-9.9447513812154664E-2</v>
      </c>
      <c r="BK128" s="94">
        <f t="shared" si="172"/>
        <v>-3.2967032967032961E-2</v>
      </c>
      <c r="BL128" s="94">
        <f t="shared" si="172"/>
        <v>-5.6250000000000022E-2</v>
      </c>
      <c r="BM128" s="94">
        <f t="shared" si="172"/>
        <v>-0.16470588235294115</v>
      </c>
      <c r="BN128" s="94">
        <f t="shared" si="172"/>
        <v>-0.16564417177914115</v>
      </c>
      <c r="BO128" s="94">
        <f t="shared" si="172"/>
        <v>-0.27272727272727271</v>
      </c>
      <c r="BP128" s="94">
        <f t="shared" si="172"/>
        <v>-0.16556291390728473</v>
      </c>
      <c r="BQ128" s="94">
        <f t="shared" si="172"/>
        <v>-0.21126760563380287</v>
      </c>
      <c r="BR128" s="94">
        <f t="shared" si="172"/>
        <v>-0.24264705882352944</v>
      </c>
      <c r="BS128" s="94">
        <f t="shared" si="172"/>
        <v>-0.171875</v>
      </c>
      <c r="BT128" s="94">
        <f t="shared" si="172"/>
        <v>-0.22222222222222221</v>
      </c>
      <c r="BU128" s="94">
        <f t="shared" si="172"/>
        <v>-0.1964285714285714</v>
      </c>
      <c r="BV128" s="94">
        <f t="shared" si="172"/>
        <v>-0.11650485436893199</v>
      </c>
      <c r="BW128" s="94"/>
      <c r="BX128" s="94"/>
      <c r="BY128" s="94"/>
      <c r="BZ128" s="94"/>
      <c r="CA128" s="94"/>
      <c r="CB128" s="94"/>
      <c r="CC128" s="94"/>
      <c r="CD128" s="94"/>
      <c r="CE128" s="94"/>
      <c r="CF128" s="94"/>
      <c r="CG128" s="94"/>
      <c r="CH128" s="94"/>
      <c r="CI128" s="94"/>
      <c r="CJ128" s="94"/>
      <c r="CK128" s="94"/>
      <c r="CL128" s="94"/>
      <c r="CM128" s="94"/>
      <c r="CN128" s="94"/>
      <c r="CO128" s="94"/>
      <c r="CP128" s="94"/>
      <c r="CQ128" s="94"/>
      <c r="CR128" s="94"/>
      <c r="CS128" s="94"/>
      <c r="CT128" s="94"/>
      <c r="CU128" s="94"/>
      <c r="CV128" s="94"/>
      <c r="CW128" s="94"/>
      <c r="CX128" s="94"/>
      <c r="CY128" s="94"/>
      <c r="CZ128" s="94"/>
      <c r="DA128" s="94"/>
      <c r="DB128" s="94"/>
      <c r="DC128" s="94"/>
      <c r="DD128" s="94"/>
      <c r="DE128" s="94"/>
      <c r="DF128" s="94"/>
      <c r="DG128" s="94"/>
      <c r="DH128" s="94"/>
      <c r="DI128" s="94"/>
      <c r="DJ128" s="94"/>
      <c r="DK128" s="94"/>
      <c r="DL128" s="94"/>
      <c r="DM128" s="94"/>
      <c r="DN128" s="94"/>
      <c r="DO128" s="94"/>
      <c r="DP128" s="94"/>
      <c r="DQ128" s="94"/>
      <c r="DR128" s="94"/>
      <c r="DS128" s="94"/>
      <c r="DT128" s="94"/>
      <c r="DU128" s="94"/>
      <c r="DV128" s="94"/>
      <c r="DW128" s="94"/>
      <c r="DX128" s="94"/>
      <c r="DY128" s="94"/>
      <c r="DZ128" s="94"/>
      <c r="EA128" s="94"/>
      <c r="EB128" s="94"/>
      <c r="EC128" s="94"/>
      <c r="ED128" s="5"/>
      <c r="EE128" s="47"/>
      <c r="EF128" s="47"/>
      <c r="EG128" s="47"/>
      <c r="EH128" s="47"/>
      <c r="EI128" s="47"/>
      <c r="EJ128" s="47"/>
      <c r="EK128" s="47"/>
      <c r="EL128" s="47"/>
      <c r="EM128" s="47"/>
      <c r="EN128" s="47"/>
      <c r="EO128" s="47"/>
      <c r="EP128" s="47"/>
      <c r="EQ128" s="47"/>
      <c r="ER128" s="47"/>
      <c r="ES128" s="47"/>
      <c r="ET128" s="47"/>
      <c r="EU128" s="47"/>
      <c r="EV128" s="47"/>
      <c r="EW128" s="47"/>
      <c r="EX128" s="47"/>
      <c r="EY128" s="46"/>
      <c r="EZ128" s="16"/>
      <c r="FA128" s="46"/>
      <c r="FB128" s="46"/>
    </row>
    <row r="129" spans="2:158" s="26" customFormat="1">
      <c r="B129" s="15" t="s">
        <v>28</v>
      </c>
      <c r="C129" s="23"/>
      <c r="D129" s="23"/>
      <c r="E129" s="23"/>
      <c r="F129" s="23"/>
      <c r="G129" s="23"/>
      <c r="H129" s="23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  <c r="AL129" s="25"/>
      <c r="AM129" s="25"/>
      <c r="AN129" s="25"/>
      <c r="AO129" s="25"/>
      <c r="AP129" s="25"/>
      <c r="AQ129" s="25"/>
      <c r="AR129" s="25"/>
      <c r="AS129" s="25"/>
      <c r="AT129" s="25"/>
      <c r="AU129" s="25"/>
      <c r="AV129" s="25"/>
      <c r="AW129" s="93"/>
      <c r="AX129" s="93"/>
      <c r="AY129" s="93"/>
      <c r="AZ129" s="93"/>
      <c r="BA129" s="93"/>
      <c r="BB129" s="94">
        <f t="shared" ref="BB129:BV129" si="173">BB19/AX19-1</f>
        <v>1.1315789473684212</v>
      </c>
      <c r="BC129" s="94">
        <f t="shared" si="173"/>
        <v>0.81818181818181812</v>
      </c>
      <c r="BD129" s="94">
        <f t="shared" si="173"/>
        <v>0.52941176470588225</v>
      </c>
      <c r="BE129" s="94">
        <f t="shared" si="173"/>
        <v>0.68493150684931514</v>
      </c>
      <c r="BF129" s="94">
        <f t="shared" si="173"/>
        <v>0.53086419753086411</v>
      </c>
      <c r="BG129" s="94">
        <f t="shared" si="173"/>
        <v>0.33000000000000007</v>
      </c>
      <c r="BH129" s="94">
        <f t="shared" si="173"/>
        <v>0.29807692307692313</v>
      </c>
      <c r="BI129" s="94">
        <f t="shared" si="173"/>
        <v>0.17886178861788626</v>
      </c>
      <c r="BJ129" s="94">
        <f t="shared" si="173"/>
        <v>9.6774193548387011E-2</v>
      </c>
      <c r="BK129" s="94">
        <f t="shared" si="173"/>
        <v>0.11278195488721798</v>
      </c>
      <c r="BL129" s="94">
        <f t="shared" si="173"/>
        <v>7.4074074074074181E-2</v>
      </c>
      <c r="BM129" s="94">
        <f t="shared" si="173"/>
        <v>-4.8275862068965503E-2</v>
      </c>
      <c r="BN129" s="94">
        <f t="shared" si="173"/>
        <v>-8.0882352941176516E-2</v>
      </c>
      <c r="BO129" s="94">
        <f t="shared" si="173"/>
        <v>-9.4594594594594628E-2</v>
      </c>
      <c r="BP129" s="94">
        <f t="shared" si="173"/>
        <v>0</v>
      </c>
      <c r="BQ129" s="94">
        <f t="shared" si="173"/>
        <v>0.13043478260869557</v>
      </c>
      <c r="BR129" s="94">
        <f t="shared" si="173"/>
        <v>0.21599999999999997</v>
      </c>
      <c r="BS129" s="94">
        <f t="shared" si="173"/>
        <v>0.20149253731343286</v>
      </c>
      <c r="BT129" s="94">
        <f t="shared" si="173"/>
        <v>8.2758620689655116E-2</v>
      </c>
      <c r="BU129" s="94">
        <f t="shared" si="173"/>
        <v>-3.8461538461538436E-2</v>
      </c>
      <c r="BV129" s="94">
        <f t="shared" si="173"/>
        <v>-2.6315789473684181E-2</v>
      </c>
      <c r="BW129" s="94"/>
      <c r="BX129" s="94"/>
      <c r="BY129" s="94"/>
      <c r="BZ129" s="94"/>
      <c r="CA129" s="94"/>
      <c r="CB129" s="94"/>
      <c r="CC129" s="94"/>
      <c r="CD129" s="94"/>
      <c r="CE129" s="94"/>
      <c r="CF129" s="94"/>
      <c r="CG129" s="94"/>
      <c r="CH129" s="94"/>
      <c r="CI129" s="94"/>
      <c r="CJ129" s="94"/>
      <c r="CK129" s="94"/>
      <c r="CL129" s="94"/>
      <c r="CM129" s="94"/>
      <c r="CN129" s="94"/>
      <c r="CO129" s="94"/>
      <c r="CP129" s="94"/>
      <c r="CQ129" s="94"/>
      <c r="CR129" s="94"/>
      <c r="CS129" s="94"/>
      <c r="CT129" s="94"/>
      <c r="CU129" s="94"/>
      <c r="CV129" s="94"/>
      <c r="CW129" s="94"/>
      <c r="CX129" s="94"/>
      <c r="CY129" s="94"/>
      <c r="CZ129" s="94"/>
      <c r="DA129" s="94"/>
      <c r="DB129" s="94"/>
      <c r="DC129" s="94"/>
      <c r="DD129" s="94"/>
      <c r="DE129" s="94"/>
      <c r="DF129" s="94"/>
      <c r="DG129" s="94"/>
      <c r="DH129" s="94"/>
      <c r="DI129" s="94"/>
      <c r="DJ129" s="94"/>
      <c r="DK129" s="94"/>
      <c r="DL129" s="94"/>
      <c r="DM129" s="94"/>
      <c r="DN129" s="94"/>
      <c r="DO129" s="94"/>
      <c r="DP129" s="94"/>
      <c r="DQ129" s="94"/>
      <c r="DR129" s="94"/>
      <c r="DS129" s="94"/>
      <c r="DT129" s="94"/>
      <c r="DU129" s="94"/>
      <c r="DV129" s="94"/>
      <c r="DW129" s="94"/>
      <c r="DX129" s="94"/>
      <c r="DY129" s="94"/>
      <c r="DZ129" s="94"/>
      <c r="EA129" s="94"/>
      <c r="EB129" s="94"/>
      <c r="EC129" s="94"/>
      <c r="ED129" s="5"/>
      <c r="EE129" s="47"/>
      <c r="EF129" s="47"/>
      <c r="EG129" s="47"/>
      <c r="EH129" s="47"/>
      <c r="EI129" s="47"/>
      <c r="EJ129" s="47"/>
      <c r="EK129" s="47"/>
      <c r="EL129" s="47"/>
      <c r="EM129" s="47"/>
      <c r="EN129" s="47"/>
      <c r="EO129" s="47"/>
      <c r="EP129" s="47"/>
      <c r="EQ129" s="47"/>
      <c r="ER129" s="47"/>
      <c r="ES129" s="47"/>
      <c r="ET129" s="47"/>
      <c r="EU129" s="47"/>
      <c r="EV129" s="47"/>
      <c r="EW129" s="47"/>
      <c r="EX129" s="47"/>
      <c r="EY129" s="46"/>
      <c r="EZ129" s="16"/>
      <c r="FA129" s="46"/>
      <c r="FB129" s="46"/>
    </row>
    <row r="130" spans="2:158" s="26" customFormat="1">
      <c r="B130" s="15" t="s">
        <v>141</v>
      </c>
      <c r="C130" s="23"/>
      <c r="D130" s="23"/>
      <c r="E130" s="23"/>
      <c r="F130" s="23"/>
      <c r="G130" s="23"/>
      <c r="H130" s="23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  <c r="AD130" s="25"/>
      <c r="AE130" s="25"/>
      <c r="AF130" s="25"/>
      <c r="AG130" s="25"/>
      <c r="AH130" s="25"/>
      <c r="AI130" s="25"/>
      <c r="AJ130" s="25"/>
      <c r="AK130" s="25"/>
      <c r="AL130" s="25"/>
      <c r="AM130" s="25"/>
      <c r="AN130" s="25"/>
      <c r="AO130" s="25"/>
      <c r="AP130" s="25"/>
      <c r="AQ130" s="25"/>
      <c r="AR130" s="25"/>
      <c r="AS130" s="25"/>
      <c r="AT130" s="25"/>
      <c r="AU130" s="25"/>
      <c r="AV130" s="25"/>
      <c r="AW130" s="93"/>
      <c r="AX130" s="93"/>
      <c r="AY130" s="93"/>
      <c r="AZ130" s="93"/>
      <c r="BA130" s="93"/>
      <c r="BB130" s="94">
        <f t="shared" ref="BB130:BK131" si="174">BB44/AX44-1</f>
        <v>0</v>
      </c>
      <c r="BC130" s="94">
        <f t="shared" si="174"/>
        <v>0.25316455696202533</v>
      </c>
      <c r="BD130" s="94">
        <f t="shared" si="174"/>
        <v>0.23456790123456783</v>
      </c>
      <c r="BE130" s="94">
        <f t="shared" si="174"/>
        <v>0.31325301204819267</v>
      </c>
      <c r="BF130" s="94">
        <f t="shared" si="174"/>
        <v>0.27906976744186052</v>
      </c>
      <c r="BG130" s="94">
        <f t="shared" si="174"/>
        <v>0.14141414141414144</v>
      </c>
      <c r="BH130" s="94">
        <f t="shared" si="174"/>
        <v>0.26</v>
      </c>
      <c r="BI130" s="94">
        <f t="shared" si="174"/>
        <v>0.27522935779816504</v>
      </c>
      <c r="BJ130" s="94">
        <f t="shared" si="174"/>
        <v>0.1272727272727272</v>
      </c>
      <c r="BK130" s="94">
        <f t="shared" si="174"/>
        <v>0.21238938053097356</v>
      </c>
      <c r="BL130" s="94">
        <f t="shared" ref="BL130:BU131" si="175">BL44/BH44-1</f>
        <v>8.7301587301587213E-2</v>
      </c>
      <c r="BM130" s="94">
        <f t="shared" si="175"/>
        <v>3.5971223021582732E-2</v>
      </c>
      <c r="BN130" s="94">
        <f t="shared" si="175"/>
        <v>3.2258064516129004E-2</v>
      </c>
      <c r="BO130" s="94">
        <f t="shared" si="175"/>
        <v>-7.2992700729926918E-3</v>
      </c>
      <c r="BP130" s="94">
        <f t="shared" si="175"/>
        <v>4.3795620437956151E-2</v>
      </c>
      <c r="BQ130" s="94">
        <f t="shared" si="175"/>
        <v>3.4722222222222321E-2</v>
      </c>
      <c r="BR130" s="94">
        <f t="shared" si="175"/>
        <v>2.34375E-2</v>
      </c>
      <c r="BS130" s="94">
        <f t="shared" si="175"/>
        <v>5.1470588235294157E-2</v>
      </c>
      <c r="BT130" s="94">
        <f t="shared" si="175"/>
        <v>3.4965034965035002E-2</v>
      </c>
      <c r="BU130" s="94">
        <f t="shared" si="175"/>
        <v>-4.6979865771812124E-2</v>
      </c>
      <c r="BV130" s="94">
        <f t="shared" ref="BV130:BV131" si="176">BV44/BR44-1</f>
        <v>0.13740458015267176</v>
      </c>
      <c r="BW130" s="94"/>
      <c r="BX130" s="94"/>
      <c r="BY130" s="94"/>
      <c r="BZ130" s="94"/>
      <c r="CA130" s="94"/>
      <c r="CB130" s="94"/>
      <c r="CC130" s="94"/>
      <c r="CD130" s="94"/>
      <c r="CE130" s="94"/>
      <c r="CF130" s="94"/>
      <c r="CG130" s="94"/>
      <c r="CH130" s="94"/>
      <c r="CI130" s="94"/>
      <c r="CJ130" s="94"/>
      <c r="CK130" s="94"/>
      <c r="CL130" s="94"/>
      <c r="CM130" s="94"/>
      <c r="CN130" s="94"/>
      <c r="CO130" s="94"/>
      <c r="CP130" s="94"/>
      <c r="CQ130" s="94"/>
      <c r="CR130" s="94"/>
      <c r="CS130" s="94"/>
      <c r="CT130" s="94"/>
      <c r="CU130" s="94"/>
      <c r="CV130" s="94"/>
      <c r="CW130" s="94"/>
      <c r="CX130" s="94"/>
      <c r="CY130" s="94"/>
      <c r="CZ130" s="94"/>
      <c r="DA130" s="94"/>
      <c r="DB130" s="94"/>
      <c r="DC130" s="94"/>
      <c r="DD130" s="94"/>
      <c r="DE130" s="94"/>
      <c r="DF130" s="94"/>
      <c r="DG130" s="94"/>
      <c r="DH130" s="94"/>
      <c r="DI130" s="94"/>
      <c r="DJ130" s="94"/>
      <c r="DK130" s="94"/>
      <c r="DL130" s="94"/>
      <c r="DM130" s="94"/>
      <c r="DN130" s="94"/>
      <c r="DO130" s="94"/>
      <c r="DP130" s="94"/>
      <c r="DQ130" s="94"/>
      <c r="DR130" s="94"/>
      <c r="DS130" s="94"/>
      <c r="DT130" s="94"/>
      <c r="DU130" s="94"/>
      <c r="DV130" s="94"/>
      <c r="DW130" s="94"/>
      <c r="DX130" s="94"/>
      <c r="DY130" s="94"/>
      <c r="DZ130" s="94"/>
      <c r="EA130" s="94"/>
      <c r="EB130" s="94"/>
      <c r="EC130" s="94"/>
      <c r="ED130" s="5"/>
      <c r="EE130" s="47"/>
      <c r="EF130" s="47"/>
      <c r="EG130" s="47"/>
      <c r="EH130" s="47"/>
      <c r="EI130" s="47"/>
      <c r="EJ130" s="47"/>
      <c r="EK130" s="47"/>
      <c r="EL130" s="47"/>
      <c r="EM130" s="47"/>
      <c r="EN130" s="47"/>
      <c r="EO130" s="47"/>
      <c r="EP130" s="47"/>
      <c r="EQ130" s="47"/>
      <c r="ER130" s="47"/>
      <c r="ES130" s="47"/>
      <c r="ET130" s="47"/>
      <c r="EU130" s="47"/>
      <c r="EV130" s="47"/>
      <c r="EW130" s="47"/>
      <c r="EX130" s="47"/>
      <c r="EY130" s="46"/>
      <c r="EZ130" s="16"/>
      <c r="FA130" s="46"/>
      <c r="FB130" s="46"/>
    </row>
    <row r="131" spans="2:158" s="26" customFormat="1">
      <c r="B131" s="15" t="s">
        <v>142</v>
      </c>
      <c r="C131" s="23"/>
      <c r="D131" s="23"/>
      <c r="E131" s="23"/>
      <c r="F131" s="23"/>
      <c r="G131" s="23"/>
      <c r="H131" s="23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  <c r="AL131" s="25"/>
      <c r="AM131" s="25"/>
      <c r="AN131" s="25"/>
      <c r="AO131" s="25"/>
      <c r="AP131" s="25"/>
      <c r="AQ131" s="25"/>
      <c r="AR131" s="25"/>
      <c r="AS131" s="25"/>
      <c r="AT131" s="25"/>
      <c r="AU131" s="25"/>
      <c r="AV131" s="25"/>
      <c r="AW131" s="93"/>
      <c r="AX131" s="93"/>
      <c r="AY131" s="93"/>
      <c r="AZ131" s="93"/>
      <c r="BA131" s="93"/>
      <c r="BB131" s="94">
        <f t="shared" si="174"/>
        <v>9.1743119266054496E-3</v>
      </c>
      <c r="BC131" s="94">
        <f t="shared" si="174"/>
        <v>5.1724137931034475E-2</v>
      </c>
      <c r="BD131" s="94">
        <f t="shared" si="174"/>
        <v>5.4545454545454453E-2</v>
      </c>
      <c r="BE131" s="94">
        <f t="shared" si="174"/>
        <v>0.12280701754385959</v>
      </c>
      <c r="BF131" s="94">
        <f t="shared" si="174"/>
        <v>7.2727272727272751E-2</v>
      </c>
      <c r="BG131" s="94">
        <f t="shared" si="174"/>
        <v>3.2786885245901676E-2</v>
      </c>
      <c r="BH131" s="94">
        <f t="shared" si="174"/>
        <v>1.7241379310344751E-2</v>
      </c>
      <c r="BI131" s="94">
        <f t="shared" si="174"/>
        <v>3.125E-2</v>
      </c>
      <c r="BJ131" s="94">
        <f t="shared" si="174"/>
        <v>-8.4745762711864181E-3</v>
      </c>
      <c r="BK131" s="94">
        <f t="shared" si="174"/>
        <v>-3.1746031746031744E-2</v>
      </c>
      <c r="BL131" s="94">
        <f t="shared" si="175"/>
        <v>0</v>
      </c>
      <c r="BM131" s="94">
        <f t="shared" si="175"/>
        <v>-0.14393939393939392</v>
      </c>
      <c r="BN131" s="94">
        <f t="shared" si="175"/>
        <v>-0.17094017094017089</v>
      </c>
      <c r="BO131" s="94">
        <f t="shared" si="175"/>
        <v>-0.19672131147540983</v>
      </c>
      <c r="BP131" s="94">
        <f t="shared" si="175"/>
        <v>-0.10169491525423724</v>
      </c>
      <c r="BQ131" s="94">
        <f t="shared" si="175"/>
        <v>-8.8495575221239076E-3</v>
      </c>
      <c r="BR131" s="94">
        <f t="shared" si="175"/>
        <v>7.2164948453608213E-2</v>
      </c>
      <c r="BS131" s="94">
        <f t="shared" si="175"/>
        <v>9.1836734693877542E-2</v>
      </c>
      <c r="BT131" s="94">
        <f t="shared" si="175"/>
        <v>-5.6603773584905648E-2</v>
      </c>
      <c r="BU131" s="94">
        <f t="shared" si="175"/>
        <v>-0.2053571428571429</v>
      </c>
      <c r="BV131" s="94">
        <f t="shared" si="176"/>
        <v>-0.125</v>
      </c>
      <c r="BW131" s="94"/>
      <c r="BX131" s="94"/>
      <c r="BY131" s="94"/>
      <c r="BZ131" s="94"/>
      <c r="CA131" s="94"/>
      <c r="CB131" s="94"/>
      <c r="CC131" s="94"/>
      <c r="CD131" s="94"/>
      <c r="CE131" s="94"/>
      <c r="CF131" s="94"/>
      <c r="CG131" s="94"/>
      <c r="CH131" s="94"/>
      <c r="CI131" s="94"/>
      <c r="CJ131" s="94"/>
      <c r="CK131" s="94"/>
      <c r="CL131" s="94"/>
      <c r="CM131" s="94"/>
      <c r="CN131" s="94"/>
      <c r="CO131" s="94"/>
      <c r="CP131" s="94"/>
      <c r="CQ131" s="94"/>
      <c r="CR131" s="94"/>
      <c r="CS131" s="94"/>
      <c r="CT131" s="94"/>
      <c r="CU131" s="94"/>
      <c r="CV131" s="94"/>
      <c r="CW131" s="94"/>
      <c r="CX131" s="94"/>
      <c r="CY131" s="94"/>
      <c r="CZ131" s="94"/>
      <c r="DA131" s="94"/>
      <c r="DB131" s="94"/>
      <c r="DC131" s="94"/>
      <c r="DD131" s="94"/>
      <c r="DE131" s="94"/>
      <c r="DF131" s="94"/>
      <c r="DG131" s="94"/>
      <c r="DH131" s="94"/>
      <c r="DI131" s="94"/>
      <c r="DJ131" s="94"/>
      <c r="DK131" s="94"/>
      <c r="DL131" s="94"/>
      <c r="DM131" s="94"/>
      <c r="DN131" s="94"/>
      <c r="DO131" s="94"/>
      <c r="DP131" s="94"/>
      <c r="DQ131" s="94"/>
      <c r="DR131" s="94"/>
      <c r="DS131" s="94"/>
      <c r="DT131" s="94"/>
      <c r="DU131" s="94"/>
      <c r="DV131" s="94"/>
      <c r="DW131" s="94"/>
      <c r="DX131" s="94"/>
      <c r="DY131" s="94"/>
      <c r="DZ131" s="94"/>
      <c r="EA131" s="94"/>
      <c r="EB131" s="94"/>
      <c r="EC131" s="94"/>
      <c r="ED131" s="5"/>
      <c r="EE131" s="47"/>
      <c r="EF131" s="47"/>
      <c r="EG131" s="47"/>
      <c r="EH131" s="47"/>
      <c r="EI131" s="47"/>
      <c r="EJ131" s="47"/>
      <c r="EK131" s="47"/>
      <c r="EL131" s="47"/>
      <c r="EM131" s="47"/>
      <c r="EN131" s="47"/>
      <c r="EO131" s="47"/>
      <c r="EP131" s="47"/>
      <c r="EQ131" s="47"/>
      <c r="ER131" s="47"/>
      <c r="ES131" s="47"/>
      <c r="ET131" s="47"/>
      <c r="EU131" s="47"/>
      <c r="EV131" s="47"/>
      <c r="EW131" s="47"/>
      <c r="EX131" s="47"/>
      <c r="EY131" s="46"/>
      <c r="EZ131" s="16"/>
      <c r="FA131" s="46"/>
      <c r="FB131" s="46"/>
    </row>
    <row r="132" spans="2:158" s="26" customFormat="1">
      <c r="B132" s="15" t="s">
        <v>27</v>
      </c>
      <c r="C132" s="23"/>
      <c r="D132" s="23"/>
      <c r="E132" s="23"/>
      <c r="F132" s="23"/>
      <c r="G132" s="23"/>
      <c r="H132" s="23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  <c r="AL132" s="25"/>
      <c r="AM132" s="25"/>
      <c r="AN132" s="25"/>
      <c r="AO132" s="25"/>
      <c r="AP132" s="25"/>
      <c r="AQ132" s="25"/>
      <c r="AR132" s="25"/>
      <c r="AS132" s="25"/>
      <c r="AT132" s="25"/>
      <c r="AU132" s="25"/>
      <c r="AV132" s="25"/>
      <c r="AW132" s="93"/>
      <c r="AX132" s="93"/>
      <c r="AY132" s="93"/>
      <c r="AZ132" s="93"/>
      <c r="BA132" s="93"/>
      <c r="BB132" s="94">
        <f t="shared" ref="BB132:BV132" si="177">BB27/AX27-1</f>
        <v>5.9523809523809534E-2</v>
      </c>
      <c r="BC132" s="94">
        <f t="shared" si="177"/>
        <v>0.18586636397103939</v>
      </c>
      <c r="BD132" s="94">
        <f t="shared" si="177"/>
        <v>0.16279069767441867</v>
      </c>
      <c r="BE132" s="94">
        <f t="shared" si="177"/>
        <v>0.2441860465116279</v>
      </c>
      <c r="BF132" s="94">
        <f t="shared" si="177"/>
        <v>0.22471910112359561</v>
      </c>
      <c r="BG132" s="94">
        <f t="shared" si="177"/>
        <v>6.1855670103092786E-2</v>
      </c>
      <c r="BH132" s="94">
        <f t="shared" si="177"/>
        <v>8.0000000000000071E-2</v>
      </c>
      <c r="BI132" s="94">
        <f t="shared" si="177"/>
        <v>8.4112149532710179E-2</v>
      </c>
      <c r="BJ132" s="94">
        <f t="shared" si="177"/>
        <v>1.8348623853210899E-2</v>
      </c>
      <c r="BK132" s="94">
        <f t="shared" si="177"/>
        <v>0.16504854368932032</v>
      </c>
      <c r="BL132" s="94">
        <f t="shared" si="177"/>
        <v>0.14814814814814814</v>
      </c>
      <c r="BM132" s="94">
        <f t="shared" si="177"/>
        <v>0.10344827586206895</v>
      </c>
      <c r="BN132" s="94">
        <f t="shared" si="177"/>
        <v>5.4054054054053946E-2</v>
      </c>
      <c r="BO132" s="94">
        <f t="shared" si="177"/>
        <v>0</v>
      </c>
      <c r="BP132" s="94">
        <f t="shared" si="177"/>
        <v>-3.2258064516129004E-2</v>
      </c>
      <c r="BQ132" s="94">
        <f t="shared" si="177"/>
        <v>8.59375E-2</v>
      </c>
      <c r="BR132" s="94">
        <f t="shared" si="177"/>
        <v>2.564102564102555E-2</v>
      </c>
      <c r="BS132" s="94">
        <f t="shared" si="177"/>
        <v>6.6666666666666652E-2</v>
      </c>
      <c r="BT132" s="94">
        <f t="shared" si="177"/>
        <v>4.1666666666666741E-2</v>
      </c>
      <c r="BU132" s="94">
        <f t="shared" si="177"/>
        <v>-7.9136690647481966E-2</v>
      </c>
      <c r="BV132" s="94">
        <f t="shared" si="177"/>
        <v>0.125</v>
      </c>
      <c r="BW132" s="94"/>
      <c r="BX132" s="94"/>
      <c r="BY132" s="94"/>
      <c r="BZ132" s="94"/>
      <c r="CA132" s="94"/>
      <c r="CB132" s="94"/>
      <c r="CC132" s="94"/>
      <c r="CD132" s="94"/>
      <c r="CE132" s="94"/>
      <c r="CF132" s="94"/>
      <c r="CG132" s="94"/>
      <c r="CH132" s="94"/>
      <c r="CI132" s="94"/>
      <c r="CJ132" s="94"/>
      <c r="CK132" s="94"/>
      <c r="CL132" s="94"/>
      <c r="CM132" s="94"/>
      <c r="CN132" s="94"/>
      <c r="CO132" s="94"/>
      <c r="CP132" s="94"/>
      <c r="CQ132" s="94"/>
      <c r="CR132" s="94"/>
      <c r="CS132" s="94"/>
      <c r="CT132" s="94"/>
      <c r="CU132" s="94"/>
      <c r="CV132" s="94"/>
      <c r="CW132" s="94"/>
      <c r="CX132" s="94"/>
      <c r="CY132" s="94"/>
      <c r="CZ132" s="94"/>
      <c r="DA132" s="94"/>
      <c r="DB132" s="94"/>
      <c r="DC132" s="94"/>
      <c r="DD132" s="94"/>
      <c r="DE132" s="94"/>
      <c r="DF132" s="94"/>
      <c r="DG132" s="94"/>
      <c r="DH132" s="94"/>
      <c r="DI132" s="94"/>
      <c r="DJ132" s="94"/>
      <c r="DK132" s="94"/>
      <c r="DL132" s="94"/>
      <c r="DM132" s="94"/>
      <c r="DN132" s="94"/>
      <c r="DO132" s="94"/>
      <c r="DP132" s="94"/>
      <c r="DQ132" s="94"/>
      <c r="DR132" s="94"/>
      <c r="DS132" s="94"/>
      <c r="DT132" s="94"/>
      <c r="DU132" s="94"/>
      <c r="DV132" s="94"/>
      <c r="DW132" s="94"/>
      <c r="DX132" s="94"/>
      <c r="DY132" s="94"/>
      <c r="DZ132" s="94"/>
      <c r="EA132" s="94"/>
      <c r="EB132" s="94"/>
      <c r="EC132" s="94"/>
      <c r="ED132" s="5"/>
      <c r="EE132" s="47"/>
      <c r="EF132" s="47"/>
      <c r="EG132" s="47"/>
      <c r="EH132" s="47"/>
      <c r="EI132" s="47"/>
      <c r="EJ132" s="47"/>
      <c r="EK132" s="47"/>
      <c r="EL132" s="47"/>
      <c r="EM132" s="47"/>
      <c r="EN132" s="47"/>
      <c r="EO132" s="47"/>
      <c r="EP132" s="47"/>
      <c r="EQ132" s="47"/>
      <c r="ER132" s="47"/>
      <c r="ES132" s="47"/>
      <c r="ET132" s="47"/>
      <c r="EU132" s="47"/>
      <c r="EV132" s="47"/>
      <c r="EW132" s="47"/>
      <c r="EX132" s="47"/>
      <c r="EY132" s="46"/>
      <c r="EZ132" s="16"/>
      <c r="FA132" s="46"/>
      <c r="FB132" s="46"/>
    </row>
    <row r="133" spans="2:158" s="26" customFormat="1">
      <c r="B133" s="15" t="s">
        <v>37</v>
      </c>
      <c r="C133" s="23"/>
      <c r="D133" s="23"/>
      <c r="E133" s="23"/>
      <c r="F133" s="23"/>
      <c r="G133" s="23"/>
      <c r="H133" s="23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  <c r="AL133" s="25"/>
      <c r="AM133" s="25"/>
      <c r="AN133" s="25"/>
      <c r="AO133" s="25"/>
      <c r="AP133" s="25"/>
      <c r="AQ133" s="25"/>
      <c r="AR133" s="25"/>
      <c r="AS133" s="25"/>
      <c r="AT133" s="25"/>
      <c r="AU133" s="25"/>
      <c r="AV133" s="25"/>
      <c r="AW133" s="93"/>
      <c r="AX133" s="93"/>
      <c r="AY133" s="93"/>
      <c r="AZ133" s="93"/>
      <c r="BA133" s="93"/>
      <c r="BB133" s="93"/>
      <c r="BC133" s="93"/>
      <c r="BD133" s="93"/>
      <c r="BE133" s="93"/>
      <c r="BF133" s="93"/>
      <c r="BG133" s="93"/>
      <c r="BH133" s="66"/>
      <c r="BI133" s="66"/>
      <c r="BJ133" s="66"/>
      <c r="BK133" s="66"/>
      <c r="BL133" s="93"/>
      <c r="BM133" s="93"/>
      <c r="BN133" s="93"/>
      <c r="BO133" s="93"/>
      <c r="BP133" s="93"/>
      <c r="BQ133" s="93"/>
      <c r="BR133" s="93"/>
      <c r="BS133" s="93"/>
      <c r="BT133" s="93"/>
      <c r="BU133" s="93"/>
      <c r="BV133" s="93"/>
      <c r="BW133" s="93"/>
      <c r="BX133" s="93"/>
      <c r="BY133" s="93"/>
      <c r="BZ133" s="93"/>
      <c r="CA133" s="93"/>
      <c r="CB133" s="93"/>
      <c r="CC133" s="93"/>
      <c r="CD133" s="93"/>
      <c r="CE133" s="93"/>
      <c r="CF133" s="93"/>
      <c r="CG133" s="93"/>
      <c r="CH133" s="93"/>
      <c r="CI133" s="93"/>
      <c r="CJ133" s="93"/>
      <c r="CK133" s="93"/>
      <c r="CL133" s="93"/>
      <c r="CM133" s="93"/>
      <c r="CN133" s="93"/>
      <c r="CO133" s="93"/>
      <c r="CP133" s="93"/>
      <c r="CQ133" s="93"/>
      <c r="CR133" s="93"/>
      <c r="CS133" s="93"/>
      <c r="CT133" s="93"/>
      <c r="CU133" s="93"/>
      <c r="CV133" s="93"/>
      <c r="CW133" s="93"/>
      <c r="CX133" s="93"/>
      <c r="CY133" s="93"/>
      <c r="CZ133" s="93"/>
      <c r="DA133" s="93"/>
      <c r="DB133" s="93"/>
      <c r="DC133" s="93"/>
      <c r="DD133" s="93"/>
      <c r="DE133" s="93"/>
      <c r="DF133" s="93"/>
      <c r="DG133" s="93"/>
      <c r="DH133" s="93"/>
      <c r="DI133" s="93"/>
      <c r="DJ133" s="93"/>
      <c r="DK133" s="93"/>
      <c r="DL133" s="93"/>
      <c r="DM133" s="93"/>
      <c r="DN133" s="93"/>
      <c r="DO133" s="93"/>
      <c r="DP133" s="93"/>
      <c r="DQ133" s="93"/>
      <c r="DR133" s="93"/>
      <c r="DS133" s="93"/>
      <c r="DT133" s="93"/>
      <c r="DU133" s="93"/>
      <c r="DV133" s="93"/>
      <c r="DW133" s="93"/>
      <c r="DX133" s="93"/>
      <c r="DY133" s="93"/>
      <c r="DZ133" s="93"/>
      <c r="EA133" s="93"/>
      <c r="EB133" s="93"/>
      <c r="EC133" s="93"/>
      <c r="ED133" s="5"/>
      <c r="EE133" s="47"/>
      <c r="EF133" s="47"/>
      <c r="EG133" s="47"/>
      <c r="EH133" s="47"/>
      <c r="EI133" s="47"/>
      <c r="EJ133" s="47"/>
      <c r="EK133" s="47"/>
      <c r="EL133" s="47"/>
      <c r="EM133" s="47"/>
      <c r="EN133" s="47"/>
      <c r="EO133" s="47"/>
      <c r="EP133" s="47"/>
      <c r="EQ133" s="47"/>
      <c r="ER133" s="47"/>
      <c r="ES133" s="47"/>
      <c r="ET133" s="47"/>
      <c r="EU133" s="47"/>
      <c r="EV133" s="47"/>
      <c r="EW133" s="47"/>
      <c r="EX133" s="47"/>
      <c r="EY133" s="46"/>
      <c r="EZ133" s="16"/>
      <c r="FA133" s="46"/>
      <c r="FB133" s="46"/>
    </row>
    <row r="134" spans="2:158" s="26" customFormat="1">
      <c r="B134" s="15" t="s">
        <v>30</v>
      </c>
      <c r="C134" s="23"/>
      <c r="D134" s="23"/>
      <c r="E134" s="23"/>
      <c r="F134" s="23"/>
      <c r="G134" s="23"/>
      <c r="H134" s="23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  <c r="AL134" s="25"/>
      <c r="AM134" s="25"/>
      <c r="AN134" s="25"/>
      <c r="AO134" s="25"/>
      <c r="AP134" s="25"/>
      <c r="AQ134" s="25"/>
      <c r="AR134" s="25"/>
      <c r="AS134" s="25"/>
      <c r="AT134" s="25"/>
      <c r="AU134" s="25"/>
      <c r="AV134" s="25"/>
      <c r="AW134" s="93"/>
      <c r="AX134" s="93"/>
      <c r="AY134" s="93"/>
      <c r="AZ134" s="93"/>
      <c r="BA134" s="93"/>
      <c r="BB134" s="93"/>
      <c r="BC134" s="93"/>
      <c r="BD134" s="93"/>
      <c r="BE134" s="93"/>
      <c r="BF134" s="93"/>
      <c r="BG134" s="93"/>
      <c r="BH134" s="66"/>
      <c r="BI134" s="66"/>
      <c r="BJ134" s="66"/>
      <c r="BK134" s="66"/>
      <c r="BL134" s="93"/>
      <c r="BM134" s="93"/>
      <c r="BN134" s="93"/>
      <c r="BO134" s="93"/>
      <c r="BP134" s="93"/>
      <c r="BQ134" s="93"/>
      <c r="BR134" s="93"/>
      <c r="BS134" s="93"/>
      <c r="BT134" s="93"/>
      <c r="BU134" s="93"/>
      <c r="BV134" s="93"/>
      <c r="BW134" s="93"/>
      <c r="BX134" s="93"/>
      <c r="BY134" s="93"/>
      <c r="BZ134" s="93"/>
      <c r="CA134" s="93"/>
      <c r="CB134" s="93"/>
      <c r="CC134" s="93"/>
      <c r="CD134" s="93"/>
      <c r="CE134" s="93"/>
      <c r="CF134" s="93"/>
      <c r="CG134" s="93"/>
      <c r="CH134" s="93"/>
      <c r="CI134" s="93"/>
      <c r="CJ134" s="93"/>
      <c r="CK134" s="93"/>
      <c r="CL134" s="93"/>
      <c r="CM134" s="93"/>
      <c r="CN134" s="93"/>
      <c r="CO134" s="93"/>
      <c r="CP134" s="93"/>
      <c r="CQ134" s="93"/>
      <c r="CR134" s="93"/>
      <c r="CS134" s="93"/>
      <c r="CT134" s="93"/>
      <c r="CU134" s="93"/>
      <c r="CV134" s="93"/>
      <c r="CW134" s="93"/>
      <c r="CX134" s="93"/>
      <c r="CY134" s="93"/>
      <c r="CZ134" s="93"/>
      <c r="DA134" s="93"/>
      <c r="DB134" s="93"/>
      <c r="DC134" s="93"/>
      <c r="DD134" s="93"/>
      <c r="DE134" s="93"/>
      <c r="DF134" s="93"/>
      <c r="DG134" s="93"/>
      <c r="DH134" s="93"/>
      <c r="DI134" s="93"/>
      <c r="DJ134" s="93"/>
      <c r="DK134" s="93"/>
      <c r="DL134" s="93"/>
      <c r="DM134" s="93"/>
      <c r="DN134" s="93"/>
      <c r="DO134" s="93"/>
      <c r="DP134" s="93"/>
      <c r="DQ134" s="93"/>
      <c r="DR134" s="93"/>
      <c r="DS134" s="93"/>
      <c r="DT134" s="93"/>
      <c r="DU134" s="93"/>
      <c r="DV134" s="93"/>
      <c r="DW134" s="93"/>
      <c r="DX134" s="93"/>
      <c r="DY134" s="93"/>
      <c r="DZ134" s="93"/>
      <c r="EA134" s="93"/>
      <c r="EB134" s="93"/>
      <c r="EC134" s="93"/>
      <c r="ED134" s="5"/>
      <c r="EE134" s="47"/>
      <c r="EF134" s="47"/>
      <c r="EG134" s="47"/>
      <c r="EH134" s="47"/>
      <c r="EI134" s="47"/>
      <c r="EJ134" s="47"/>
      <c r="EK134" s="47"/>
      <c r="EL134" s="47"/>
      <c r="EM134" s="47"/>
      <c r="EN134" s="47"/>
      <c r="EO134" s="47"/>
      <c r="EP134" s="47"/>
      <c r="EQ134" s="47"/>
      <c r="ER134" s="47"/>
      <c r="ES134" s="47"/>
      <c r="ET134" s="47"/>
      <c r="EU134" s="47"/>
      <c r="EV134" s="47"/>
      <c r="EW134" s="47"/>
      <c r="EX134" s="47"/>
      <c r="EY134" s="46"/>
      <c r="EZ134" s="16"/>
      <c r="FA134" s="46"/>
      <c r="FB134" s="46"/>
    </row>
    <row r="135" spans="2:158" s="26" customFormat="1">
      <c r="B135" s="15" t="s">
        <v>26</v>
      </c>
      <c r="C135" s="23"/>
      <c r="D135" s="23"/>
      <c r="E135" s="23"/>
      <c r="F135" s="23"/>
      <c r="G135" s="23"/>
      <c r="H135" s="23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  <c r="AL135" s="25"/>
      <c r="AM135" s="25"/>
      <c r="AN135" s="25"/>
      <c r="AO135" s="25"/>
      <c r="AP135" s="25"/>
      <c r="AQ135" s="25"/>
      <c r="AR135" s="25"/>
      <c r="AS135" s="25"/>
      <c r="AT135" s="25"/>
      <c r="AU135" s="25"/>
      <c r="AV135" s="25"/>
      <c r="AW135" s="93"/>
      <c r="AX135" s="93"/>
      <c r="AY135" s="93"/>
      <c r="AZ135" s="93"/>
      <c r="BA135" s="93"/>
      <c r="BB135" s="93"/>
      <c r="BC135" s="93"/>
      <c r="BD135" s="93"/>
      <c r="BE135" s="93"/>
      <c r="BF135" s="93"/>
      <c r="BG135" s="93"/>
      <c r="BH135" s="66"/>
      <c r="BI135" s="66"/>
      <c r="BJ135" s="66"/>
      <c r="BK135" s="66"/>
      <c r="BL135" s="93"/>
      <c r="BM135" s="93"/>
      <c r="BN135" s="93"/>
      <c r="BO135" s="93"/>
      <c r="BP135" s="93"/>
      <c r="BQ135" s="93"/>
      <c r="BR135" s="93"/>
      <c r="BS135" s="93"/>
      <c r="BT135" s="93"/>
      <c r="BU135" s="93"/>
      <c r="BV135" s="93"/>
      <c r="BW135" s="93"/>
      <c r="BX135" s="93"/>
      <c r="BY135" s="93"/>
      <c r="BZ135" s="93"/>
      <c r="CA135" s="93"/>
      <c r="CB135" s="93"/>
      <c r="CC135" s="93"/>
      <c r="CD135" s="93"/>
      <c r="CE135" s="93"/>
      <c r="CF135" s="93"/>
      <c r="CG135" s="93"/>
      <c r="CH135" s="93"/>
      <c r="CI135" s="93"/>
      <c r="CJ135" s="93"/>
      <c r="CK135" s="93"/>
      <c r="CL135" s="93"/>
      <c r="CM135" s="93"/>
      <c r="CN135" s="93"/>
      <c r="CO135" s="93"/>
      <c r="CP135" s="93"/>
      <c r="CQ135" s="93"/>
      <c r="CR135" s="93"/>
      <c r="CS135" s="93"/>
      <c r="CT135" s="93"/>
      <c r="CU135" s="93"/>
      <c r="CV135" s="93"/>
      <c r="CW135" s="93"/>
      <c r="CX135" s="93"/>
      <c r="CY135" s="93"/>
      <c r="CZ135" s="93"/>
      <c r="DA135" s="93"/>
      <c r="DB135" s="93"/>
      <c r="DC135" s="93"/>
      <c r="DD135" s="93"/>
      <c r="DE135" s="93"/>
      <c r="DF135" s="93"/>
      <c r="DG135" s="93"/>
      <c r="DH135" s="93"/>
      <c r="DI135" s="93"/>
      <c r="DJ135" s="93"/>
      <c r="DK135" s="93"/>
      <c r="DL135" s="93"/>
      <c r="DM135" s="93"/>
      <c r="DN135" s="93"/>
      <c r="DO135" s="93"/>
      <c r="DP135" s="93"/>
      <c r="DQ135" s="93"/>
      <c r="DR135" s="93"/>
      <c r="DS135" s="93"/>
      <c r="DT135" s="93"/>
      <c r="DU135" s="93"/>
      <c r="DV135" s="93"/>
      <c r="DW135" s="93"/>
      <c r="DX135" s="93"/>
      <c r="DY135" s="93"/>
      <c r="DZ135" s="93"/>
      <c r="EA135" s="93"/>
      <c r="EB135" s="93"/>
      <c r="EC135" s="93"/>
      <c r="ED135" s="5"/>
      <c r="EE135" s="47"/>
      <c r="EF135" s="47"/>
      <c r="EG135" s="47"/>
      <c r="EH135" s="47"/>
      <c r="EI135" s="47"/>
      <c r="EJ135" s="47"/>
      <c r="EK135" s="47"/>
      <c r="EL135" s="47"/>
      <c r="EM135" s="47"/>
      <c r="EN135" s="47"/>
      <c r="EO135" s="47"/>
      <c r="EP135" s="47"/>
      <c r="EQ135" s="47"/>
      <c r="ER135" s="47"/>
      <c r="ES135" s="47"/>
      <c r="ET135" s="47"/>
      <c r="EU135" s="47"/>
      <c r="EV135" s="47"/>
      <c r="EW135" s="47"/>
      <c r="EX135" s="47"/>
      <c r="EY135" s="46"/>
      <c r="EZ135" s="16"/>
      <c r="FA135" s="46"/>
      <c r="FB135" s="46"/>
    </row>
    <row r="136" spans="2:158" s="26" customFormat="1">
      <c r="C136" s="23"/>
      <c r="D136" s="23"/>
      <c r="E136" s="23"/>
      <c r="F136" s="23"/>
      <c r="G136" s="23"/>
      <c r="H136" s="23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93"/>
      <c r="AX136" s="93"/>
      <c r="AY136" s="93"/>
      <c r="AZ136" s="93"/>
      <c r="BA136" s="93"/>
      <c r="BB136" s="93"/>
      <c r="BC136" s="93"/>
      <c r="BD136" s="93"/>
      <c r="BE136" s="93"/>
      <c r="BF136" s="93"/>
      <c r="BG136" s="93"/>
      <c r="BH136" s="66"/>
      <c r="BI136" s="66"/>
      <c r="BJ136" s="66"/>
      <c r="BK136" s="66"/>
      <c r="BL136" s="93"/>
      <c r="BM136" s="93"/>
      <c r="BN136" s="93"/>
      <c r="BO136" s="93"/>
      <c r="BP136" s="93"/>
      <c r="BQ136" s="93"/>
      <c r="BR136" s="93"/>
      <c r="BS136" s="93"/>
      <c r="BT136" s="93"/>
      <c r="BU136" s="93"/>
      <c r="BV136" s="93"/>
      <c r="BW136" s="93"/>
      <c r="BX136" s="93"/>
      <c r="BY136" s="93"/>
      <c r="BZ136" s="93"/>
      <c r="CA136" s="93"/>
      <c r="CB136" s="93"/>
      <c r="CC136" s="93"/>
      <c r="CD136" s="93"/>
      <c r="CE136" s="93"/>
      <c r="CF136" s="93"/>
      <c r="CG136" s="93"/>
      <c r="CH136" s="93"/>
      <c r="CI136" s="93"/>
      <c r="CJ136" s="93"/>
      <c r="CK136" s="93"/>
      <c r="CL136" s="93"/>
      <c r="CM136" s="93"/>
      <c r="CN136" s="93"/>
      <c r="CO136" s="93"/>
      <c r="CP136" s="93"/>
      <c r="CQ136" s="93"/>
      <c r="CR136" s="93"/>
      <c r="CS136" s="93"/>
      <c r="CT136" s="93"/>
      <c r="CU136" s="93"/>
      <c r="CV136" s="93"/>
      <c r="CW136" s="93"/>
      <c r="CX136" s="93"/>
      <c r="CY136" s="93"/>
      <c r="CZ136" s="93"/>
      <c r="DA136" s="93"/>
      <c r="DB136" s="93"/>
      <c r="DC136" s="93"/>
      <c r="DD136" s="93"/>
      <c r="DE136" s="93"/>
      <c r="DF136" s="93"/>
      <c r="DG136" s="93"/>
      <c r="DH136" s="93"/>
      <c r="DI136" s="93"/>
      <c r="DJ136" s="93"/>
      <c r="DK136" s="93"/>
      <c r="DL136" s="93"/>
      <c r="DM136" s="93"/>
      <c r="DN136" s="93"/>
      <c r="DO136" s="93"/>
      <c r="DP136" s="93"/>
      <c r="DQ136" s="93"/>
      <c r="DR136" s="93"/>
      <c r="DS136" s="93"/>
      <c r="DT136" s="93"/>
      <c r="DU136" s="93"/>
      <c r="DV136" s="93"/>
      <c r="DW136" s="93"/>
      <c r="DX136" s="93"/>
      <c r="DY136" s="93"/>
      <c r="DZ136" s="93"/>
      <c r="EA136" s="93"/>
      <c r="EB136" s="93"/>
      <c r="EC136" s="93"/>
      <c r="ED136" s="5"/>
      <c r="EE136" s="47"/>
      <c r="EF136" s="47"/>
      <c r="EG136" s="47"/>
      <c r="EH136" s="47"/>
      <c r="EI136" s="47"/>
      <c r="EJ136" s="47"/>
      <c r="EK136" s="47"/>
      <c r="EL136" s="47"/>
      <c r="EM136" s="47"/>
      <c r="EN136" s="47"/>
      <c r="EO136" s="47"/>
      <c r="EP136" s="47"/>
      <c r="EQ136" s="47"/>
      <c r="ER136" s="47"/>
      <c r="ES136" s="47"/>
      <c r="ET136" s="47"/>
      <c r="EU136" s="47"/>
      <c r="EV136" s="47"/>
      <c r="EW136" s="47"/>
      <c r="EX136" s="47"/>
      <c r="EY136" s="46"/>
      <c r="EZ136" s="16"/>
      <c r="FA136" s="46"/>
      <c r="FB136" s="46"/>
    </row>
    <row r="137" spans="2:158" s="26" customFormat="1">
      <c r="B137" s="3" t="s">
        <v>604</v>
      </c>
      <c r="C137" s="23"/>
      <c r="D137" s="23"/>
      <c r="E137" s="23"/>
      <c r="F137" s="23"/>
      <c r="G137" s="23"/>
      <c r="H137" s="23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  <c r="AL137" s="25"/>
      <c r="AM137" s="25"/>
      <c r="AN137" s="25"/>
      <c r="AO137" s="25"/>
      <c r="AP137" s="25"/>
      <c r="AQ137" s="25"/>
      <c r="AR137" s="25"/>
      <c r="AS137" s="25"/>
      <c r="AT137" s="25"/>
      <c r="AU137" s="25"/>
      <c r="AV137" s="25"/>
      <c r="AW137" s="93"/>
      <c r="AX137" s="93"/>
      <c r="AY137" s="93"/>
      <c r="AZ137" s="93"/>
      <c r="BA137" s="93"/>
      <c r="BB137" s="93"/>
      <c r="BC137" s="93"/>
      <c r="BD137" s="93"/>
      <c r="BE137" s="93"/>
      <c r="BF137" s="93"/>
      <c r="BG137" s="93"/>
      <c r="BH137" s="66"/>
      <c r="BI137" s="66"/>
      <c r="BJ137" s="66"/>
      <c r="BK137" s="66"/>
      <c r="BL137" s="93"/>
      <c r="BM137" s="93"/>
      <c r="BN137" s="93"/>
      <c r="BO137" s="93"/>
      <c r="BP137" s="93"/>
      <c r="BQ137" s="93"/>
      <c r="BR137" s="93"/>
      <c r="BS137" s="93"/>
      <c r="BT137" s="93"/>
      <c r="BU137" s="93"/>
      <c r="BV137" s="93"/>
      <c r="BW137" s="93"/>
      <c r="BX137" s="93"/>
      <c r="BY137" s="93"/>
      <c r="BZ137" s="93"/>
      <c r="CA137" s="93"/>
      <c r="CB137" s="93"/>
      <c r="CC137" s="93"/>
      <c r="CD137" s="93"/>
      <c r="CE137" s="93"/>
      <c r="CF137" s="93"/>
      <c r="CG137" s="93"/>
      <c r="CH137" s="93"/>
      <c r="CI137" s="93"/>
      <c r="CJ137" s="93"/>
      <c r="CK137" s="93"/>
      <c r="CL137" s="93"/>
      <c r="CM137" s="93"/>
      <c r="CN137" s="93"/>
      <c r="CO137" s="93"/>
      <c r="CP137" s="93"/>
      <c r="CQ137" s="93"/>
      <c r="CR137" s="93"/>
      <c r="CS137" s="93"/>
      <c r="CT137" s="93"/>
      <c r="CU137" s="93"/>
      <c r="CV137" s="93"/>
      <c r="CW137" s="93"/>
      <c r="CX137" s="93"/>
      <c r="CY137" s="93"/>
      <c r="CZ137" s="93"/>
      <c r="DA137" s="93"/>
      <c r="DB137" s="93"/>
      <c r="DC137" s="93"/>
      <c r="DD137" s="93"/>
      <c r="DE137" s="93"/>
      <c r="DF137" s="93"/>
      <c r="DG137" s="93"/>
      <c r="DH137" s="93"/>
      <c r="DI137" s="93"/>
      <c r="DJ137" s="93"/>
      <c r="DK137" s="93"/>
      <c r="DL137" s="93"/>
      <c r="DM137" s="93"/>
      <c r="DN137" s="93"/>
      <c r="DO137" s="93"/>
      <c r="DP137" s="93"/>
      <c r="DQ137" s="93"/>
      <c r="DR137" s="93"/>
      <c r="DS137" s="93"/>
      <c r="DT137" s="93"/>
      <c r="DU137" s="93"/>
      <c r="DV137" s="93"/>
      <c r="DW137" s="93"/>
      <c r="DX137" s="93"/>
      <c r="DY137" s="93"/>
      <c r="DZ137" s="93"/>
      <c r="EA137" s="93"/>
      <c r="EB137" s="93"/>
      <c r="EC137" s="93"/>
      <c r="ED137" s="5"/>
      <c r="EE137" s="47"/>
      <c r="EF137" s="47"/>
      <c r="EG137" s="47"/>
      <c r="EH137" s="47"/>
      <c r="EI137" s="47"/>
      <c r="EJ137" s="47"/>
      <c r="EK137" s="47"/>
      <c r="EL137" s="23">
        <f>EL78</f>
        <v>9786</v>
      </c>
      <c r="EM137" s="23">
        <f t="shared" ref="EM137" si="178">EM78</f>
        <v>9919</v>
      </c>
      <c r="EN137" s="47"/>
      <c r="EO137" s="47"/>
      <c r="EP137" s="47"/>
      <c r="EQ137" s="47"/>
      <c r="ER137" s="47"/>
      <c r="ES137" s="47"/>
      <c r="ET137" s="47"/>
      <c r="EU137" s="47"/>
      <c r="EV137" s="47"/>
      <c r="EW137" s="47"/>
      <c r="EX137" s="47"/>
      <c r="EY137" s="46"/>
      <c r="EZ137" s="16"/>
      <c r="FA137" s="46"/>
      <c r="FB137" s="46"/>
    </row>
    <row r="138" spans="2:158">
      <c r="B138" s="3" t="s">
        <v>601</v>
      </c>
      <c r="E138" s="44"/>
      <c r="F138" s="44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  <c r="AL138" s="25"/>
      <c r="AM138" s="25"/>
      <c r="AN138" s="25"/>
      <c r="AO138" s="25"/>
      <c r="AP138" s="25"/>
      <c r="AQ138" s="25"/>
      <c r="AR138" s="25"/>
      <c r="AS138" s="25"/>
      <c r="AT138" s="25"/>
      <c r="AU138" s="25"/>
      <c r="AV138" s="25"/>
      <c r="EL138" s="23">
        <v>12177</v>
      </c>
      <c r="EM138" s="23">
        <v>16877</v>
      </c>
    </row>
    <row r="139" spans="2:158">
      <c r="B139" s="3" t="s">
        <v>602</v>
      </c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  <c r="AL139" s="25"/>
      <c r="AM139" s="25"/>
      <c r="AN139" s="25"/>
      <c r="AO139" s="25"/>
      <c r="AP139" s="25"/>
      <c r="AQ139" s="25"/>
      <c r="AR139" s="25"/>
      <c r="AS139" s="25"/>
      <c r="AT139" s="25"/>
      <c r="AU139" s="25"/>
      <c r="AV139" s="25"/>
      <c r="EL139" s="23">
        <v>3139</v>
      </c>
      <c r="EM139" s="23">
        <v>2984</v>
      </c>
    </row>
    <row r="140" spans="2:158">
      <c r="B140" s="3" t="s">
        <v>603</v>
      </c>
      <c r="E140" s="28"/>
      <c r="F140" s="28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  <c r="AL140" s="25"/>
      <c r="AM140" s="25"/>
      <c r="AN140" s="25"/>
      <c r="AO140" s="25"/>
      <c r="AP140" s="25"/>
      <c r="AQ140" s="25"/>
      <c r="AR140" s="25"/>
      <c r="AS140" s="25"/>
      <c r="AT140" s="25"/>
      <c r="AU140" s="25"/>
      <c r="AV140" s="25"/>
      <c r="EL140" s="23">
        <f>+EL138-EL139</f>
        <v>9038</v>
      </c>
      <c r="EM140" s="23">
        <f>+EM138-EM139</f>
        <v>13893</v>
      </c>
    </row>
    <row r="141" spans="2:158"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  <c r="AL141" s="25"/>
      <c r="AM141" s="25"/>
      <c r="AN141" s="25"/>
      <c r="AO141" s="25"/>
      <c r="AP141" s="25"/>
      <c r="AQ141" s="25"/>
      <c r="AR141" s="25"/>
      <c r="AS141" s="25"/>
      <c r="AT141" s="25"/>
      <c r="AU141" s="25"/>
      <c r="AV141" s="25"/>
    </row>
    <row r="142" spans="2:158">
      <c r="B142" s="3" t="s">
        <v>809</v>
      </c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  <c r="AL142" s="25"/>
      <c r="AM142" s="25"/>
      <c r="AN142" s="25"/>
      <c r="AO142" s="25"/>
      <c r="AP142" s="25"/>
      <c r="AQ142" s="25"/>
      <c r="AR142" s="25"/>
      <c r="AS142" s="25"/>
      <c r="AT142" s="25"/>
      <c r="AU142" s="25"/>
      <c r="AV142" s="25"/>
      <c r="EP142" s="23">
        <v>82089</v>
      </c>
      <c r="EQ142" s="23">
        <v>85080</v>
      </c>
      <c r="ER142" s="23">
        <v>88509</v>
      </c>
      <c r="ES142" s="23">
        <v>91747</v>
      </c>
      <c r="ET142" s="23">
        <v>94052</v>
      </c>
      <c r="EU142" s="23">
        <v>93734</v>
      </c>
      <c r="EV142" s="23">
        <v>94442</v>
      </c>
      <c r="EW142" s="23">
        <v>97735</v>
      </c>
      <c r="EX142" s="23">
        <v>101465</v>
      </c>
      <c r="EY142" s="23">
        <v>100920</v>
      </c>
    </row>
    <row r="143" spans="2:158"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  <c r="AL143" s="25"/>
      <c r="AM143" s="25"/>
      <c r="AN143" s="25"/>
      <c r="AO143" s="25"/>
      <c r="AP143" s="25"/>
      <c r="AQ143" s="25"/>
      <c r="AR143" s="25"/>
      <c r="AS143" s="25"/>
      <c r="AT143" s="25"/>
      <c r="AU143" s="25"/>
      <c r="AV143" s="25"/>
    </row>
    <row r="144" spans="2:158">
      <c r="B144" s="3" t="s">
        <v>810</v>
      </c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  <c r="AL144" s="25"/>
      <c r="AM144" s="25"/>
      <c r="AN144" s="25"/>
      <c r="AO144" s="25"/>
      <c r="AP144" s="25"/>
      <c r="AQ144" s="25"/>
      <c r="AR144" s="25"/>
      <c r="AS144" s="25"/>
      <c r="AT144" s="25"/>
      <c r="AU144" s="25"/>
      <c r="AV144" s="25"/>
    </row>
    <row r="145" spans="7:48"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  <c r="AL145" s="25"/>
      <c r="AM145" s="25"/>
      <c r="AN145" s="25"/>
      <c r="AO145" s="25"/>
      <c r="AP145" s="25"/>
      <c r="AQ145" s="25"/>
      <c r="AR145" s="25"/>
      <c r="AS145" s="25"/>
      <c r="AT145" s="25"/>
      <c r="AU145" s="25"/>
      <c r="AV145" s="25"/>
    </row>
    <row r="146" spans="7:48"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  <c r="AT146" s="25"/>
      <c r="AU146" s="25"/>
      <c r="AV146" s="25"/>
    </row>
    <row r="147" spans="7:48"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</row>
    <row r="148" spans="7:48"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  <c r="AT148" s="25"/>
      <c r="AU148" s="25"/>
      <c r="AV148" s="25"/>
    </row>
    <row r="149" spans="7:48"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  <c r="AL149" s="25"/>
      <c r="AM149" s="25"/>
      <c r="AN149" s="25"/>
      <c r="AO149" s="25"/>
      <c r="AP149" s="25"/>
      <c r="AQ149" s="25"/>
      <c r="AR149" s="25"/>
      <c r="AS149" s="25"/>
      <c r="AT149" s="25"/>
      <c r="AU149" s="25"/>
      <c r="AV149" s="25"/>
    </row>
    <row r="150" spans="7:48"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  <c r="AL150" s="25"/>
      <c r="AM150" s="25"/>
      <c r="AN150" s="25"/>
      <c r="AO150" s="25"/>
      <c r="AP150" s="25"/>
      <c r="AQ150" s="25"/>
      <c r="AR150" s="25"/>
      <c r="AS150" s="25"/>
      <c r="AT150" s="25"/>
      <c r="AU150" s="25"/>
      <c r="AV150" s="25"/>
    </row>
    <row r="151" spans="7:48"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  <c r="AL151" s="25"/>
      <c r="AM151" s="25"/>
      <c r="AN151" s="25"/>
      <c r="AO151" s="25"/>
      <c r="AP151" s="25"/>
      <c r="AQ151" s="25"/>
      <c r="AR151" s="25"/>
      <c r="AS151" s="25"/>
      <c r="AT151" s="25"/>
      <c r="AU151" s="25"/>
      <c r="AV151" s="25"/>
    </row>
    <row r="152" spans="7:48"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  <c r="AL152" s="25"/>
      <c r="AM152" s="25"/>
      <c r="AN152" s="25"/>
      <c r="AO152" s="25"/>
      <c r="AP152" s="25"/>
      <c r="AQ152" s="25"/>
      <c r="AR152" s="25"/>
      <c r="AS152" s="25"/>
      <c r="AT152" s="25"/>
      <c r="AU152" s="25"/>
      <c r="AV152" s="25"/>
    </row>
  </sheetData>
  <phoneticPr fontId="0" type="noConversion"/>
  <hyperlinks>
    <hyperlink ref="A1" location="Main!A1" display="Main" xr:uid="{00000000-0004-0000-0300-000000000000}"/>
  </hyperlinks>
  <printOptions horizontalCentered="1" verticalCentered="1"/>
  <pageMargins left="0.23" right="0.2" top="0.26" bottom="0.25" header="0.25" footer="0.25"/>
  <pageSetup scale="15" orientation="landscape" r:id="rId1"/>
  <headerFooter alignWithMargins="0">
    <oddHeader>&amp;A</oddHead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25B3-07FE-4EEF-84E7-5108734F64E4}">
  <dimension ref="A1:C18"/>
  <sheetViews>
    <sheetView workbookViewId="0">
      <selection activeCell="C3" sqref="C3"/>
    </sheetView>
  </sheetViews>
  <sheetFormatPr defaultRowHeight="12.75"/>
  <cols>
    <col min="1" max="1" width="5" bestFit="1" customWidth="1"/>
    <col min="2" max="2" width="12" bestFit="1" customWidth="1"/>
  </cols>
  <sheetData>
    <row r="1" spans="1:3">
      <c r="A1" s="39" t="s">
        <v>55</v>
      </c>
    </row>
    <row r="2" spans="1:3">
      <c r="B2" s="2" t="s">
        <v>814</v>
      </c>
      <c r="C2" s="2" t="s">
        <v>895</v>
      </c>
    </row>
    <row r="3" spans="1:3">
      <c r="B3" s="2" t="s">
        <v>815</v>
      </c>
      <c r="C3" s="2" t="s">
        <v>816</v>
      </c>
    </row>
    <row r="4" spans="1:3">
      <c r="B4" s="2" t="s">
        <v>44</v>
      </c>
      <c r="C4" s="2" t="s">
        <v>817</v>
      </c>
    </row>
    <row r="5" spans="1:3">
      <c r="B5" s="2"/>
      <c r="C5" s="2" t="s">
        <v>833</v>
      </c>
    </row>
    <row r="6" spans="1:3">
      <c r="B6" s="2" t="s">
        <v>818</v>
      </c>
      <c r="C6" s="2" t="s">
        <v>813</v>
      </c>
    </row>
    <row r="7" spans="1:3">
      <c r="B7" s="2" t="s">
        <v>53</v>
      </c>
    </row>
    <row r="8" spans="1:3">
      <c r="C8" s="40" t="s">
        <v>832</v>
      </c>
    </row>
    <row r="9" spans="1:3">
      <c r="C9" s="2" t="s">
        <v>829</v>
      </c>
    </row>
    <row r="10" spans="1:3">
      <c r="C10" s="2" t="s">
        <v>830</v>
      </c>
    </row>
    <row r="11" spans="1:3">
      <c r="C11" s="2" t="s">
        <v>831</v>
      </c>
    </row>
    <row r="13" spans="1:3">
      <c r="C13" s="40" t="s">
        <v>840</v>
      </c>
    </row>
    <row r="14" spans="1:3">
      <c r="C14" s="2" t="s">
        <v>839</v>
      </c>
    </row>
    <row r="15" spans="1:3">
      <c r="C15" s="2" t="s">
        <v>838</v>
      </c>
    </row>
    <row r="16" spans="1:3">
      <c r="C16" s="2" t="s">
        <v>836</v>
      </c>
    </row>
    <row r="17" spans="3:3">
      <c r="C17" s="2" t="s">
        <v>837</v>
      </c>
    </row>
    <row r="18" spans="3:3">
      <c r="C18" s="2" t="s">
        <v>841</v>
      </c>
    </row>
  </sheetData>
  <hyperlinks>
    <hyperlink ref="A1" location="Main!A1" display="Main" xr:uid="{E1C9F1F9-FCBD-44EC-A620-74140254EEE8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"/>
  <sheetViews>
    <sheetView workbookViewId="0">
      <selection activeCell="C20" sqref="C20"/>
    </sheetView>
  </sheetViews>
  <sheetFormatPr defaultRowHeight="12.75"/>
  <cols>
    <col min="1" max="1" width="5" bestFit="1" customWidth="1"/>
    <col min="2" max="2" width="22.7109375" customWidth="1"/>
    <col min="3" max="3" width="12.140625" customWidth="1"/>
  </cols>
  <sheetData>
    <row r="1" spans="1:5">
      <c r="A1" s="39" t="s">
        <v>55</v>
      </c>
    </row>
    <row r="2" spans="1:5">
      <c r="B2" s="2" t="s">
        <v>408</v>
      </c>
    </row>
    <row r="3" spans="1:5">
      <c r="B3" s="2" t="s">
        <v>504</v>
      </c>
    </row>
    <row r="4" spans="1:5">
      <c r="B4" s="2" t="s">
        <v>407</v>
      </c>
    </row>
    <row r="5" spans="1:5">
      <c r="B5" s="3" t="s">
        <v>401</v>
      </c>
    </row>
    <row r="6" spans="1:5">
      <c r="B6" s="3" t="s">
        <v>402</v>
      </c>
    </row>
    <row r="7" spans="1:5">
      <c r="B7" s="2" t="s">
        <v>410</v>
      </c>
    </row>
    <row r="8" spans="1:5">
      <c r="B8" s="2" t="s">
        <v>409</v>
      </c>
    </row>
    <row r="9" spans="1:5">
      <c r="B9" s="2" t="s">
        <v>457</v>
      </c>
    </row>
    <row r="11" spans="1:5">
      <c r="B11" s="40" t="s">
        <v>459</v>
      </c>
      <c r="C11" s="64" t="s">
        <v>482</v>
      </c>
      <c r="E11" s="40" t="s">
        <v>660</v>
      </c>
    </row>
    <row r="12" spans="1:5">
      <c r="B12" s="2" t="s">
        <v>460</v>
      </c>
      <c r="C12" s="65">
        <f>3363/7365</f>
        <v>0.4566191446028513</v>
      </c>
      <c r="E12" s="2" t="s">
        <v>663</v>
      </c>
    </row>
    <row r="13" spans="1:5">
      <c r="B13" s="2" t="s">
        <v>461</v>
      </c>
      <c r="C13" s="65">
        <f>346/7365</f>
        <v>4.6978954514596064E-2</v>
      </c>
      <c r="E13" s="2" t="s">
        <v>664</v>
      </c>
    </row>
    <row r="14" spans="1:5">
      <c r="B14" s="2" t="s">
        <v>462</v>
      </c>
      <c r="C14" s="65">
        <f>2158/7365</f>
        <v>0.29300746775288528</v>
      </c>
      <c r="E14" s="2" t="s">
        <v>661</v>
      </c>
    </row>
    <row r="15" spans="1:5">
      <c r="B15" s="2" t="s">
        <v>480</v>
      </c>
      <c r="C15" s="65">
        <f>882/7365</f>
        <v>0.11975560081466395</v>
      </c>
      <c r="E15" s="2" t="s">
        <v>662</v>
      </c>
    </row>
    <row r="16" spans="1:5">
      <c r="B16" s="2" t="s">
        <v>481</v>
      </c>
      <c r="C16" s="65">
        <f>616/7365</f>
        <v>8.3638832315003395E-2</v>
      </c>
      <c r="E16" s="2" t="s">
        <v>665</v>
      </c>
    </row>
    <row r="17" spans="2:5">
      <c r="E17" s="2"/>
    </row>
    <row r="19" spans="2:5">
      <c r="B19" s="40" t="s">
        <v>843</v>
      </c>
    </row>
    <row r="20" spans="2:5">
      <c r="B20" s="2" t="s">
        <v>844</v>
      </c>
      <c r="C20" s="2" t="s">
        <v>845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C52"/>
  <sheetViews>
    <sheetView tabSelected="1" zoomScale="295" zoomScaleNormal="295" workbookViewId="0">
      <selection activeCell="C11" sqref="C11"/>
    </sheetView>
  </sheetViews>
  <sheetFormatPr defaultRowHeight="12.75"/>
  <cols>
    <col min="1" max="1" width="5" style="5" bestFit="1" customWidth="1"/>
    <col min="2" max="2" width="13.140625" style="5" customWidth="1"/>
    <col min="3" max="3" width="19.28515625" style="5" customWidth="1"/>
    <col min="4" max="16384" width="9.140625" style="5"/>
  </cols>
  <sheetData>
    <row r="1" spans="1:3">
      <c r="A1" s="13" t="s">
        <v>55</v>
      </c>
    </row>
    <row r="2" spans="1:3">
      <c r="B2" s="5" t="s">
        <v>49</v>
      </c>
      <c r="C2" s="5" t="s">
        <v>165</v>
      </c>
    </row>
    <row r="3" spans="1:3">
      <c r="B3" s="5" t="s">
        <v>51</v>
      </c>
      <c r="C3" s="5" t="s">
        <v>166</v>
      </c>
    </row>
    <row r="4" spans="1:3">
      <c r="B4" s="5" t="s">
        <v>44</v>
      </c>
      <c r="C4" s="15" t="s">
        <v>305</v>
      </c>
    </row>
    <row r="5" spans="1:3">
      <c r="B5" s="5" t="s">
        <v>65</v>
      </c>
      <c r="C5" s="5" t="s">
        <v>208</v>
      </c>
    </row>
    <row r="6" spans="1:3">
      <c r="B6" s="5" t="s">
        <v>168</v>
      </c>
      <c r="C6" s="5" t="s">
        <v>169</v>
      </c>
    </row>
    <row r="7" spans="1:3">
      <c r="B7" s="5" t="s">
        <v>106</v>
      </c>
      <c r="C7" s="5" t="s">
        <v>286</v>
      </c>
    </row>
    <row r="8" spans="1:3">
      <c r="B8" s="5" t="s">
        <v>914</v>
      </c>
      <c r="C8" s="5" t="s">
        <v>915</v>
      </c>
    </row>
    <row r="9" spans="1:3">
      <c r="B9" s="5" t="s">
        <v>916</v>
      </c>
      <c r="C9" s="5" t="s">
        <v>917</v>
      </c>
    </row>
    <row r="10" spans="1:3">
      <c r="B10" s="5" t="s">
        <v>913</v>
      </c>
      <c r="C10" s="5" t="s">
        <v>919</v>
      </c>
    </row>
    <row r="11" spans="1:3">
      <c r="B11" s="15" t="s">
        <v>9</v>
      </c>
      <c r="C11" s="3" t="s">
        <v>918</v>
      </c>
    </row>
    <row r="12" spans="1:3">
      <c r="B12" s="3" t="s">
        <v>75</v>
      </c>
      <c r="C12" s="3" t="s">
        <v>485</v>
      </c>
    </row>
    <row r="13" spans="1:3">
      <c r="B13" s="5" t="s">
        <v>53</v>
      </c>
    </row>
    <row r="14" spans="1:3">
      <c r="C14" s="16" t="s">
        <v>167</v>
      </c>
    </row>
    <row r="15" spans="1:3">
      <c r="C15" s="5" t="s">
        <v>170</v>
      </c>
    </row>
    <row r="17" spans="3:3">
      <c r="C17" s="16" t="s">
        <v>292</v>
      </c>
    </row>
    <row r="18" spans="3:3">
      <c r="C18" s="5" t="s">
        <v>171</v>
      </c>
    </row>
    <row r="20" spans="3:3">
      <c r="C20" s="16" t="s">
        <v>218</v>
      </c>
    </row>
    <row r="21" spans="3:3">
      <c r="C21" s="5" t="s">
        <v>219</v>
      </c>
    </row>
    <row r="23" spans="3:3">
      <c r="C23" s="16" t="s">
        <v>220</v>
      </c>
    </row>
    <row r="25" spans="3:3">
      <c r="C25" s="16" t="s">
        <v>403</v>
      </c>
    </row>
    <row r="26" spans="3:3">
      <c r="C26" s="3" t="s">
        <v>396</v>
      </c>
    </row>
    <row r="27" spans="3:3">
      <c r="C27" s="3"/>
    </row>
    <row r="28" spans="3:3">
      <c r="C28" s="16" t="s">
        <v>516</v>
      </c>
    </row>
    <row r="29" spans="3:3">
      <c r="C29" s="3" t="s">
        <v>517</v>
      </c>
    </row>
    <row r="30" spans="3:3">
      <c r="C30" s="3"/>
    </row>
    <row r="31" spans="3:3">
      <c r="C31" s="16" t="s">
        <v>518</v>
      </c>
    </row>
    <row r="32" spans="3:3">
      <c r="C32" s="3" t="s">
        <v>519</v>
      </c>
    </row>
    <row r="33" spans="3:29">
      <c r="C33" s="3"/>
    </row>
    <row r="34" spans="3:29">
      <c r="C34" s="16" t="s">
        <v>513</v>
      </c>
    </row>
    <row r="35" spans="3:29">
      <c r="C35" s="3" t="s">
        <v>520</v>
      </c>
    </row>
    <row r="36" spans="3:29">
      <c r="C36" s="3"/>
    </row>
    <row r="37" spans="3:29">
      <c r="C37" s="16" t="s">
        <v>680</v>
      </c>
    </row>
    <row r="38" spans="3:29">
      <c r="C38" s="3" t="s">
        <v>681</v>
      </c>
    </row>
    <row r="39" spans="3:29">
      <c r="C39" s="3"/>
    </row>
    <row r="40" spans="3:29">
      <c r="C40" s="16" t="s">
        <v>682</v>
      </c>
    </row>
    <row r="41" spans="3:29">
      <c r="C41" s="3" t="s">
        <v>683</v>
      </c>
    </row>
    <row r="43" spans="3:29">
      <c r="C43" s="31" t="s">
        <v>56</v>
      </c>
      <c r="D43" s="48" t="s">
        <v>157</v>
      </c>
      <c r="E43" s="48" t="s">
        <v>156</v>
      </c>
      <c r="F43" s="48" t="s">
        <v>155</v>
      </c>
      <c r="G43" s="48" t="s">
        <v>154</v>
      </c>
      <c r="H43" s="48" t="s">
        <v>153</v>
      </c>
      <c r="I43" s="48" t="s">
        <v>152</v>
      </c>
      <c r="J43" s="48" t="s">
        <v>151</v>
      </c>
      <c r="K43" s="48" t="s">
        <v>150</v>
      </c>
      <c r="L43" s="48" t="s">
        <v>131</v>
      </c>
      <c r="M43" s="48" t="s">
        <v>160</v>
      </c>
      <c r="N43" s="48" t="s">
        <v>132</v>
      </c>
      <c r="O43" s="48" t="s">
        <v>133</v>
      </c>
      <c r="P43" s="48" t="s">
        <v>134</v>
      </c>
      <c r="Q43" s="48" t="s">
        <v>135</v>
      </c>
      <c r="R43" s="48" t="s">
        <v>136</v>
      </c>
      <c r="S43" s="48" t="s">
        <v>137</v>
      </c>
      <c r="T43" s="48" t="s">
        <v>195</v>
      </c>
      <c r="U43" s="93"/>
      <c r="V43" s="48" t="s">
        <v>57</v>
      </c>
      <c r="W43" s="48" t="s">
        <v>58</v>
      </c>
      <c r="X43" s="48" t="s">
        <v>59</v>
      </c>
      <c r="Y43" s="48" t="s">
        <v>60</v>
      </c>
      <c r="Z43" s="48">
        <v>2005</v>
      </c>
      <c r="AA43" s="48">
        <v>2006</v>
      </c>
      <c r="AB43" s="48">
        <f t="shared" ref="AB43:AC43" si="0">AA43+1</f>
        <v>2007</v>
      </c>
      <c r="AC43" s="48">
        <f t="shared" si="0"/>
        <v>2008</v>
      </c>
    </row>
    <row r="44" spans="3:29">
      <c r="C44" s="17" t="s">
        <v>61</v>
      </c>
      <c r="D44" s="105">
        <f>SUM(D45:D47)</f>
        <v>782</v>
      </c>
      <c r="E44" s="105">
        <f>SUM(E45:E47)</f>
        <v>842</v>
      </c>
      <c r="F44" s="105">
        <f>SUM(F45:F47)</f>
        <v>880</v>
      </c>
      <c r="G44" s="105">
        <f>SUM(G45:G47)</f>
        <v>874</v>
      </c>
      <c r="H44" s="105">
        <f>SUM(H45:H47)</f>
        <v>929</v>
      </c>
      <c r="I44" s="105">
        <f t="shared" ref="I44:T44" si="1">SUM(I45:I47)</f>
        <v>1015</v>
      </c>
      <c r="J44" s="105">
        <f t="shared" si="1"/>
        <v>1057</v>
      </c>
      <c r="K44" s="105">
        <f t="shared" si="1"/>
        <v>1153</v>
      </c>
      <c r="L44" s="105">
        <f t="shared" si="1"/>
        <v>1146</v>
      </c>
      <c r="M44" s="105">
        <f t="shared" si="1"/>
        <v>1202</v>
      </c>
      <c r="N44" s="105">
        <f t="shared" si="1"/>
        <v>1177</v>
      </c>
      <c r="O44" s="105">
        <f t="shared" si="1"/>
        <v>1314</v>
      </c>
      <c r="P44" s="105">
        <f t="shared" si="1"/>
        <v>1309</v>
      </c>
      <c r="Q44" s="105">
        <f t="shared" si="1"/>
        <v>1395</v>
      </c>
      <c r="R44" s="105">
        <f t="shared" si="1"/>
        <v>1380</v>
      </c>
      <c r="S44" s="105">
        <f t="shared" si="1"/>
        <v>1432</v>
      </c>
      <c r="T44" s="105">
        <f t="shared" si="1"/>
        <v>1407</v>
      </c>
      <c r="U44" s="93"/>
      <c r="V44" s="106">
        <v>1721.3157894736842</v>
      </c>
      <c r="W44" s="106">
        <v>2402</v>
      </c>
      <c r="X44" s="106">
        <v>2775</v>
      </c>
      <c r="Y44" s="105">
        <f>SUM(D44:G44)</f>
        <v>3378</v>
      </c>
      <c r="Z44" s="105">
        <f t="shared" ref="Z44:Z47" si="2">SUM(H44:K44)</f>
        <v>4154</v>
      </c>
      <c r="AA44" s="105">
        <f t="shared" ref="AA44:AA47" si="3">SUM(L44:O44)</f>
        <v>4839</v>
      </c>
      <c r="AB44" s="105">
        <f>SUM(P44:S44)</f>
        <v>5516</v>
      </c>
      <c r="AC44" s="105"/>
    </row>
    <row r="45" spans="3:29">
      <c r="C45" s="15" t="s">
        <v>93</v>
      </c>
      <c r="D45" s="107">
        <v>484</v>
      </c>
      <c r="E45" s="107">
        <v>514</v>
      </c>
      <c r="F45" s="107">
        <v>531</v>
      </c>
      <c r="G45" s="107">
        <v>514</v>
      </c>
      <c r="H45" s="107">
        <v>540</v>
      </c>
      <c r="I45" s="107">
        <v>573</v>
      </c>
      <c r="J45" s="107">
        <v>612</v>
      </c>
      <c r="K45" s="107">
        <v>672</v>
      </c>
      <c r="L45" s="107">
        <v>634</v>
      </c>
      <c r="M45" s="107">
        <v>675</v>
      </c>
      <c r="N45" s="107">
        <v>650</v>
      </c>
      <c r="O45" s="107">
        <v>737</v>
      </c>
      <c r="P45" s="107">
        <v>682</v>
      </c>
      <c r="Q45" s="107">
        <v>742</v>
      </c>
      <c r="R45" s="107">
        <v>718</v>
      </c>
      <c r="S45" s="107">
        <v>709</v>
      </c>
      <c r="T45" s="107">
        <v>675</v>
      </c>
      <c r="U45" s="93"/>
      <c r="V45" s="108">
        <v>1365</v>
      </c>
      <c r="W45" s="108">
        <v>1760</v>
      </c>
      <c r="X45" s="108">
        <v>1923</v>
      </c>
      <c r="Y45" s="109">
        <f>SUM(D45:G45)</f>
        <v>2043</v>
      </c>
      <c r="Z45" s="109">
        <f>SUM(H45:K45)</f>
        <v>2397</v>
      </c>
      <c r="AA45" s="109">
        <f t="shared" si="3"/>
        <v>2696</v>
      </c>
      <c r="AB45" s="107"/>
      <c r="AC45" s="107"/>
    </row>
    <row r="46" spans="3:29">
      <c r="C46" s="15" t="s">
        <v>92</v>
      </c>
      <c r="D46" s="107">
        <v>39</v>
      </c>
      <c r="E46" s="107">
        <v>48</v>
      </c>
      <c r="F46" s="107">
        <v>49</v>
      </c>
      <c r="G46" s="107">
        <v>58</v>
      </c>
      <c r="H46" s="107">
        <v>40</v>
      </c>
      <c r="I46" s="107">
        <v>52</v>
      </c>
      <c r="J46" s="107">
        <v>50</v>
      </c>
      <c r="K46" s="107">
        <v>59</v>
      </c>
      <c r="L46" s="107">
        <v>41</v>
      </c>
      <c r="M46" s="107">
        <v>48</v>
      </c>
      <c r="N46" s="107">
        <v>49</v>
      </c>
      <c r="O46" s="107">
        <v>56</v>
      </c>
      <c r="P46" s="107">
        <v>38</v>
      </c>
      <c r="Q46" s="107">
        <v>48</v>
      </c>
      <c r="R46" s="107">
        <v>49</v>
      </c>
      <c r="S46" s="107">
        <v>55</v>
      </c>
      <c r="T46" s="107">
        <v>43</v>
      </c>
      <c r="U46" s="93"/>
      <c r="V46" s="108">
        <v>26.315789473684209</v>
      </c>
      <c r="W46" s="108">
        <v>70</v>
      </c>
      <c r="X46" s="108">
        <v>109</v>
      </c>
      <c r="Y46" s="109">
        <f t="shared" ref="Y46:Y47" si="4">SUM(D46:G46)</f>
        <v>194</v>
      </c>
      <c r="Z46" s="109">
        <f t="shared" si="2"/>
        <v>201</v>
      </c>
      <c r="AA46" s="109">
        <f t="shared" si="3"/>
        <v>194</v>
      </c>
      <c r="AB46" s="107"/>
      <c r="AC46" s="107"/>
    </row>
    <row r="47" spans="3:29">
      <c r="C47" s="15" t="s">
        <v>162</v>
      </c>
      <c r="D47" s="107">
        <v>259</v>
      </c>
      <c r="E47" s="107">
        <v>280</v>
      </c>
      <c r="F47" s="107">
        <v>300</v>
      </c>
      <c r="G47" s="107">
        <v>302</v>
      </c>
      <c r="H47" s="107">
        <v>349</v>
      </c>
      <c r="I47" s="107">
        <v>390</v>
      </c>
      <c r="J47" s="107">
        <v>395</v>
      </c>
      <c r="K47" s="107">
        <v>422</v>
      </c>
      <c r="L47" s="107">
        <v>471</v>
      </c>
      <c r="M47" s="107">
        <v>479</v>
      </c>
      <c r="N47" s="66">
        <v>478</v>
      </c>
      <c r="O47" s="66">
        <v>521</v>
      </c>
      <c r="P47" s="66">
        <v>589</v>
      </c>
      <c r="Q47" s="66">
        <v>605</v>
      </c>
      <c r="R47" s="66">
        <v>613</v>
      </c>
      <c r="S47" s="107">
        <v>668</v>
      </c>
      <c r="T47" s="107">
        <v>689</v>
      </c>
      <c r="U47" s="93"/>
      <c r="V47" s="108">
        <v>330</v>
      </c>
      <c r="W47" s="108">
        <v>572</v>
      </c>
      <c r="X47" s="108">
        <v>743</v>
      </c>
      <c r="Y47" s="109">
        <f t="shared" si="4"/>
        <v>1141</v>
      </c>
      <c r="Z47" s="109">
        <f t="shared" si="2"/>
        <v>1556</v>
      </c>
      <c r="AA47" s="109">
        <f t="shared" si="3"/>
        <v>1949</v>
      </c>
      <c r="AB47" s="107"/>
      <c r="AC47" s="107"/>
    </row>
    <row r="50" spans="2:4">
      <c r="B50" s="3" t="s">
        <v>397</v>
      </c>
    </row>
    <row r="51" spans="2:4">
      <c r="C51" s="55">
        <v>39387</v>
      </c>
      <c r="D51" s="5">
        <v>197</v>
      </c>
    </row>
    <row r="52" spans="2:4">
      <c r="C52" s="55">
        <v>39356</v>
      </c>
      <c r="D52" s="5">
        <v>202</v>
      </c>
    </row>
  </sheetData>
  <phoneticPr fontId="17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2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12"/>
  <sheetViews>
    <sheetView zoomScale="145" zoomScaleNormal="145" workbookViewId="0"/>
  </sheetViews>
  <sheetFormatPr defaultRowHeight="12.75"/>
  <cols>
    <col min="1" max="1" width="5" style="5" bestFit="1" customWidth="1"/>
    <col min="2" max="2" width="14.140625" style="5" bestFit="1" customWidth="1"/>
    <col min="3" max="16384" width="9.140625" style="5"/>
  </cols>
  <sheetData>
    <row r="1" spans="1:3">
      <c r="A1" s="13" t="s">
        <v>55</v>
      </c>
    </row>
    <row r="2" spans="1:3">
      <c r="A2" s="13"/>
      <c r="B2" s="5" t="s">
        <v>49</v>
      </c>
      <c r="C2" s="5" t="s">
        <v>23</v>
      </c>
    </row>
    <row r="3" spans="1:3">
      <c r="A3" s="13"/>
      <c r="B3" s="5" t="s">
        <v>51</v>
      </c>
      <c r="C3" s="5" t="s">
        <v>190</v>
      </c>
    </row>
    <row r="4" spans="1:3">
      <c r="A4" s="13"/>
      <c r="B4" s="5" t="s">
        <v>44</v>
      </c>
      <c r="C4" s="5" t="s">
        <v>231</v>
      </c>
    </row>
    <row r="5" spans="1:3">
      <c r="A5" s="13"/>
      <c r="C5" s="3" t="s">
        <v>534</v>
      </c>
    </row>
    <row r="6" spans="1:3">
      <c r="A6" s="13"/>
      <c r="B6" s="5" t="s">
        <v>191</v>
      </c>
      <c r="C6" s="5" t="s">
        <v>192</v>
      </c>
    </row>
    <row r="7" spans="1:3">
      <c r="A7" s="13"/>
      <c r="C7" s="5" t="s">
        <v>193</v>
      </c>
    </row>
    <row r="8" spans="1:3">
      <c r="B8" s="5" t="s">
        <v>65</v>
      </c>
      <c r="C8" s="3" t="s">
        <v>532</v>
      </c>
    </row>
    <row r="9" spans="1:3">
      <c r="B9" s="5" t="s">
        <v>66</v>
      </c>
      <c r="C9" s="3" t="s">
        <v>531</v>
      </c>
    </row>
    <row r="10" spans="1:3">
      <c r="B10" s="5" t="s">
        <v>81</v>
      </c>
      <c r="C10" s="5" t="s">
        <v>526</v>
      </c>
    </row>
    <row r="11" spans="1:3">
      <c r="B11" s="3" t="s">
        <v>75</v>
      </c>
      <c r="C11" s="3" t="s">
        <v>561</v>
      </c>
    </row>
    <row r="12" spans="1:3">
      <c r="B12" s="3" t="s">
        <v>96</v>
      </c>
      <c r="C12" s="3" t="s">
        <v>533</v>
      </c>
    </row>
    <row r="13" spans="1:3">
      <c r="B13" s="3"/>
      <c r="C13" s="3" t="s">
        <v>535</v>
      </c>
    </row>
    <row r="14" spans="1:3">
      <c r="B14" s="3"/>
      <c r="C14" s="3" t="s">
        <v>538</v>
      </c>
    </row>
    <row r="15" spans="1:3">
      <c r="B15" s="3"/>
      <c r="C15" s="3" t="s">
        <v>545</v>
      </c>
    </row>
    <row r="16" spans="1:3">
      <c r="B16" s="3"/>
      <c r="C16" s="3" t="s">
        <v>554</v>
      </c>
    </row>
    <row r="17" spans="2:3">
      <c r="B17" s="3"/>
      <c r="C17" s="3" t="s">
        <v>562</v>
      </c>
    </row>
    <row r="18" spans="2:3">
      <c r="B18" s="3"/>
      <c r="C18" s="3" t="s">
        <v>568</v>
      </c>
    </row>
    <row r="19" spans="2:3">
      <c r="B19" s="5" t="s">
        <v>53</v>
      </c>
    </row>
    <row r="20" spans="2:3">
      <c r="C20" s="16" t="s">
        <v>430</v>
      </c>
    </row>
    <row r="21" spans="2:3">
      <c r="C21" s="3" t="s">
        <v>428</v>
      </c>
    </row>
    <row r="22" spans="2:3">
      <c r="C22" s="3" t="s">
        <v>429</v>
      </c>
    </row>
    <row r="23" spans="2:3">
      <c r="C23" s="3"/>
    </row>
    <row r="24" spans="2:3">
      <c r="C24" s="16" t="s">
        <v>596</v>
      </c>
    </row>
    <row r="25" spans="2:3">
      <c r="C25" s="3" t="s">
        <v>668</v>
      </c>
    </row>
    <row r="26" spans="2:3">
      <c r="C26" s="16"/>
    </row>
    <row r="27" spans="2:3">
      <c r="C27" s="16" t="s">
        <v>597</v>
      </c>
    </row>
    <row r="28" spans="2:3">
      <c r="C28" s="3" t="s">
        <v>666</v>
      </c>
    </row>
    <row r="29" spans="2:3">
      <c r="C29" s="3" t="s">
        <v>667</v>
      </c>
    </row>
    <row r="30" spans="2:3">
      <c r="C30" s="3"/>
    </row>
    <row r="31" spans="2:3">
      <c r="C31" s="16"/>
    </row>
    <row r="32" spans="2:3">
      <c r="C32" s="16" t="s">
        <v>598</v>
      </c>
    </row>
    <row r="33" spans="3:3">
      <c r="C33" s="16" t="s">
        <v>669</v>
      </c>
    </row>
    <row r="34" spans="3:3">
      <c r="C34" s="3"/>
    </row>
    <row r="35" spans="3:3">
      <c r="C35" s="16" t="s">
        <v>525</v>
      </c>
    </row>
    <row r="36" spans="3:3">
      <c r="C36" s="3" t="s">
        <v>567</v>
      </c>
    </row>
    <row r="37" spans="3:3">
      <c r="C37" s="3" t="s">
        <v>566</v>
      </c>
    </row>
    <row r="38" spans="3:3">
      <c r="C38" s="16"/>
    </row>
    <row r="39" spans="3:3">
      <c r="C39" s="16" t="s">
        <v>226</v>
      </c>
    </row>
    <row r="40" spans="3:3">
      <c r="C40" s="5" t="s">
        <v>223</v>
      </c>
    </row>
    <row r="41" spans="3:3">
      <c r="C41" s="5" t="s">
        <v>224</v>
      </c>
    </row>
    <row r="42" spans="3:3">
      <c r="C42" s="5" t="s">
        <v>225</v>
      </c>
    </row>
    <row r="43" spans="3:3">
      <c r="C43" s="3" t="s">
        <v>541</v>
      </c>
    </row>
    <row r="45" spans="3:3">
      <c r="C45" s="16" t="s">
        <v>540</v>
      </c>
    </row>
    <row r="46" spans="3:3">
      <c r="C46" s="3" t="s">
        <v>539</v>
      </c>
    </row>
    <row r="47" spans="3:3">
      <c r="C47" s="3" t="s">
        <v>542</v>
      </c>
    </row>
    <row r="48" spans="3:3">
      <c r="C48" s="3"/>
    </row>
    <row r="49" spans="3:3">
      <c r="C49" s="16" t="s">
        <v>426</v>
      </c>
    </row>
    <row r="50" spans="3:3">
      <c r="C50" s="15" t="s">
        <v>229</v>
      </c>
    </row>
    <row r="52" spans="3:3">
      <c r="C52" s="16" t="s">
        <v>227</v>
      </c>
    </row>
    <row r="53" spans="3:3">
      <c r="C53" s="5" t="s">
        <v>228</v>
      </c>
    </row>
    <row r="55" spans="3:3">
      <c r="C55" s="16" t="s">
        <v>423</v>
      </c>
    </row>
    <row r="56" spans="3:3">
      <c r="C56" s="3" t="s">
        <v>427</v>
      </c>
    </row>
    <row r="57" spans="3:3">
      <c r="C57" s="16"/>
    </row>
    <row r="58" spans="3:3">
      <c r="C58" s="3" t="s">
        <v>424</v>
      </c>
    </row>
    <row r="59" spans="3:3">
      <c r="C59" s="3" t="s">
        <v>425</v>
      </c>
    </row>
    <row r="60" spans="3:3">
      <c r="C60" s="3"/>
    </row>
    <row r="61" spans="3:3">
      <c r="C61" s="16" t="s">
        <v>536</v>
      </c>
    </row>
    <row r="62" spans="3:3">
      <c r="C62" s="3" t="s">
        <v>537</v>
      </c>
    </row>
    <row r="63" spans="3:3">
      <c r="C63" s="5" t="s">
        <v>230</v>
      </c>
    </row>
    <row r="65" spans="3:3">
      <c r="C65" s="16" t="s">
        <v>258</v>
      </c>
    </row>
    <row r="66" spans="3:3">
      <c r="C66" s="5" t="s">
        <v>259</v>
      </c>
    </row>
    <row r="68" spans="3:3">
      <c r="C68" s="16" t="s">
        <v>555</v>
      </c>
    </row>
    <row r="69" spans="3:3">
      <c r="C69" s="3" t="s">
        <v>556</v>
      </c>
    </row>
    <row r="70" spans="3:3">
      <c r="C70" s="3" t="s">
        <v>557</v>
      </c>
    </row>
    <row r="71" spans="3:3">
      <c r="C71" s="3" t="s">
        <v>558</v>
      </c>
    </row>
    <row r="73" spans="3:3">
      <c r="C73" s="16" t="s">
        <v>439</v>
      </c>
    </row>
    <row r="74" spans="3:3">
      <c r="C74" s="3" t="s">
        <v>437</v>
      </c>
    </row>
    <row r="75" spans="3:3">
      <c r="C75" s="3" t="s">
        <v>440</v>
      </c>
    </row>
    <row r="76" spans="3:3">
      <c r="C76" s="3" t="s">
        <v>441</v>
      </c>
    </row>
    <row r="77" spans="3:3">
      <c r="C77" s="3"/>
    </row>
    <row r="78" spans="3:3">
      <c r="C78" s="16" t="s">
        <v>432</v>
      </c>
    </row>
    <row r="79" spans="3:3">
      <c r="C79" s="3" t="s">
        <v>433</v>
      </c>
    </row>
    <row r="80" spans="3:3">
      <c r="C80" s="3"/>
    </row>
    <row r="81" spans="3:3">
      <c r="C81" s="16" t="s">
        <v>434</v>
      </c>
    </row>
    <row r="82" spans="3:3">
      <c r="C82" s="3" t="s">
        <v>435</v>
      </c>
    </row>
    <row r="83" spans="3:3">
      <c r="C83" s="3"/>
    </row>
    <row r="84" spans="3:3">
      <c r="C84" s="3" t="s">
        <v>415</v>
      </c>
    </row>
    <row r="85" spans="3:3">
      <c r="C85" s="16" t="s">
        <v>438</v>
      </c>
    </row>
    <row r="86" spans="3:3">
      <c r="C86" s="16"/>
    </row>
    <row r="87" spans="3:3">
      <c r="C87" s="16" t="s">
        <v>523</v>
      </c>
    </row>
    <row r="88" spans="3:3">
      <c r="C88" s="3" t="s">
        <v>524</v>
      </c>
    </row>
    <row r="89" spans="3:3">
      <c r="C89" s="3"/>
    </row>
    <row r="90" spans="3:3">
      <c r="C90" s="16" t="s">
        <v>546</v>
      </c>
    </row>
    <row r="91" spans="3:3">
      <c r="C91" s="3" t="s">
        <v>547</v>
      </c>
    </row>
    <row r="92" spans="3:3">
      <c r="C92" s="3"/>
    </row>
    <row r="93" spans="3:3">
      <c r="C93" s="16" t="s">
        <v>559</v>
      </c>
    </row>
    <row r="94" spans="3:3">
      <c r="C94" s="3"/>
    </row>
    <row r="95" spans="3:3">
      <c r="C95" s="16" t="s">
        <v>560</v>
      </c>
    </row>
    <row r="96" spans="3:3">
      <c r="C96" s="16"/>
    </row>
    <row r="97" spans="2:4">
      <c r="C97" s="16" t="s">
        <v>563</v>
      </c>
    </row>
    <row r="98" spans="2:4">
      <c r="C98" s="16"/>
    </row>
    <row r="99" spans="2:4">
      <c r="C99" s="16" t="s">
        <v>564</v>
      </c>
    </row>
    <row r="100" spans="2:4">
      <c r="C100" s="16"/>
    </row>
    <row r="101" spans="2:4">
      <c r="C101" s="16" t="s">
        <v>565</v>
      </c>
    </row>
    <row r="102" spans="2:4">
      <c r="C102" s="16"/>
    </row>
    <row r="103" spans="2:4">
      <c r="C103" s="16" t="s">
        <v>569</v>
      </c>
    </row>
    <row r="104" spans="2:4">
      <c r="C104" s="3" t="s">
        <v>570</v>
      </c>
    </row>
    <row r="105" spans="2:4">
      <c r="C105" s="16"/>
    </row>
    <row r="106" spans="2:4">
      <c r="C106" s="16" t="s">
        <v>571</v>
      </c>
    </row>
    <row r="107" spans="2:4">
      <c r="C107" s="16"/>
    </row>
    <row r="108" spans="2:4">
      <c r="C108" s="16"/>
    </row>
    <row r="109" spans="2:4">
      <c r="C109" s="16"/>
    </row>
    <row r="110" spans="2:4">
      <c r="B110" s="3" t="s">
        <v>397</v>
      </c>
    </row>
    <row r="111" spans="2:4">
      <c r="C111" s="55">
        <v>39387</v>
      </c>
      <c r="D111" s="5">
        <v>194</v>
      </c>
    </row>
    <row r="112" spans="2:4">
      <c r="C112" s="55">
        <v>39356</v>
      </c>
      <c r="D112" s="5">
        <v>196</v>
      </c>
    </row>
  </sheetData>
  <phoneticPr fontId="17" type="noConversion"/>
  <hyperlinks>
    <hyperlink ref="A1" location="Main!A1" display="Main" xr:uid="{00000000-0004-0000-0600-000000000000}"/>
  </hyperlinks>
  <pageMargins left="0.75" right="0.75" top="1" bottom="1" header="0.5" footer="0.5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911DF48-8F96-42CC-AFEE-EFAF0475AA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C23984D-947A-4544-B729-0E53BCCB05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3A384C-A6DF-4ACC-92F2-A1C6845C3F37}">
  <ds:schemaRefs>
    <ds:schemaRef ds:uri="http://www.w3.org/XML/1998/namespace"/>
    <ds:schemaRef ds:uri="http://purl.org/dc/dcmitype/"/>
    <ds:schemaRef ds:uri="http://schemas.microsoft.com/office/infopath/2007/PartnerControls"/>
    <ds:schemaRef ds:uri="http://purl.org/dc/terms/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Management and Structure</vt:lpstr>
      <vt:lpstr>Debt</vt:lpstr>
      <vt:lpstr>Master</vt:lpstr>
      <vt:lpstr>Main</vt:lpstr>
      <vt:lpstr>Model</vt:lpstr>
      <vt:lpstr>Tecentriq</vt:lpstr>
      <vt:lpstr>Diagnostics</vt:lpstr>
      <vt:lpstr>MabThera</vt:lpstr>
      <vt:lpstr>Avastin</vt:lpstr>
      <vt:lpstr>Avastin Model</vt:lpstr>
      <vt:lpstr>Polivy</vt:lpstr>
      <vt:lpstr>Herceptin</vt:lpstr>
      <vt:lpstr>Pegasys</vt:lpstr>
      <vt:lpstr>Xeloda</vt:lpstr>
      <vt:lpstr>Actemra</vt:lpstr>
      <vt:lpstr>Lucentis</vt:lpstr>
      <vt:lpstr>Perjeta</vt:lpstr>
      <vt:lpstr>Ocrevus</vt:lpstr>
      <vt:lpstr>Kadcyla</vt:lpstr>
      <vt:lpstr>Mircera</vt:lpstr>
      <vt:lpstr>Tarceva</vt:lpstr>
      <vt:lpstr>Failures</vt:lpstr>
      <vt:lpstr>dalcetrapib</vt:lpstr>
      <vt:lpstr>aleglitazar</vt:lpstr>
      <vt:lpstr>R1626</vt:lpstr>
      <vt:lpstr>taspoglutide</vt:lpstr>
    </vt:vector>
  </TitlesOfParts>
  <Company>Prudential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Prudential Financial</dc:creator>
  <cp:lastModifiedBy>Martin Shkreli</cp:lastModifiedBy>
  <cp:lastPrinted>2010-02-09T23:02:31Z</cp:lastPrinted>
  <dcterms:created xsi:type="dcterms:W3CDTF">2005-10-20T01:39:14Z</dcterms:created>
  <dcterms:modified xsi:type="dcterms:W3CDTF">2023-04-15T16:31:50Z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