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0811CD3E-C271-4E18-9625-D40D71A10784}" xr6:coauthVersionLast="47" xr6:coauthVersionMax="47" xr10:uidLastSave="{00000000-0000-0000-0000-000000000000}"/>
  <bookViews>
    <workbookView xWindow="-40320" yWindow="2925" windowWidth="27405" windowHeight="15345" firstSheet="4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4" i="9" l="1"/>
  <c r="H14" i="9"/>
  <c r="E14" i="9" s="1"/>
  <c r="O5" i="8"/>
  <c r="N5" i="8"/>
  <c r="G14" i="9" l="1"/>
  <c r="M3" i="8"/>
  <c r="M5" i="8" l="1"/>
  <c r="F29" i="1" l="1"/>
  <c r="H29" i="1"/>
  <c r="E29" i="1" s="1"/>
  <c r="F43" i="10"/>
  <c r="H43" i="10"/>
  <c r="E43" i="10" s="1"/>
  <c r="K5" i="1"/>
  <c r="L5" i="1" s="1"/>
  <c r="H5" i="1"/>
  <c r="F5" i="1"/>
  <c r="G43" i="10" l="1"/>
  <c r="G29" i="1"/>
  <c r="H10" i="10"/>
  <c r="F10" i="10" l="1"/>
  <c r="E12" i="1" l="1"/>
  <c r="F8" i="11"/>
  <c r="H8" i="11"/>
  <c r="E8" i="11" s="1"/>
  <c r="F7" i="10"/>
  <c r="H7" i="10"/>
  <c r="E7" i="10" s="1"/>
  <c r="E10" i="10"/>
  <c r="G8" i="11" l="1"/>
  <c r="G7" i="10"/>
  <c r="G10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1" i="10"/>
  <c r="E11" i="10" s="1"/>
  <c r="H9" i="10"/>
  <c r="F9" i="10"/>
  <c r="E9" i="10"/>
  <c r="G12" i="10" l="1"/>
  <c r="G9" i="10"/>
  <c r="G11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4" i="8"/>
  <c r="Z14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<sst xmlns="http://schemas.openxmlformats.org/spreadsheetml/2006/main" count="1044" uniqueCount="642">
  <si>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</si>
  <si>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</si>
  <si>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</si>
  <si>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</si>
  <si>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</si>
  <si>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</si>
  <si>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</si>
  <si>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</si>
  <si>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</si>
  <si>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</si>
  <si>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</si>
  <si>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</si>
  <si>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</si>
  <si>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</si>
  <si>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</si>
  <si>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</si>
  <si>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</si>
  <si>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</si>
  <si>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</si>
  <si>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</si>
  <si>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</si>
  <si>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</si>
  <si>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</si>
  <si>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</si>
  <si>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</si>
  <si>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</si>
  <si>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</si>
  <si>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</si>
  <si>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</si>
  <si>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</si>
  <si>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</si>
  <si>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</si>
  <si>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</si>
  <si>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</si>
  <si>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</si>
  <si>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</si>
  <si>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</si>
  <si>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</si>
  <si>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</si>
  <si>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</si>
  <si>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</si>
  <si>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</si>
  <si>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</si>
  <si>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</si>
  <si>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</si>
  <si>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</si>
  <si>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</si>
  <si>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</si>
  <si>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</si>
  <si>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</si>
  <si>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</si>
  <si>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</si>
  <si>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</si>
  <si>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</si>
  <si>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</si>
  <si>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</si>
  <si>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</si>
  <si>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</si>
  <si>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</si>
  <si>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</si>
  <si>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</si>
  <si>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</si>
  <si>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</si>
  <si>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</si>
  <si>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</si>
  <si>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</si>
  <si>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</si>
  <si>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</si>
  <si>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</si>
  <si>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</si>
  <si>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</si>
  <si>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</si>
  <si>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</si>
  <si>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</si>
  <si>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</si>
  <si>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</si>
  <si>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</si>
  <si>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</si>
  <si>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</si>
  <si>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</si>
  <si>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</si>
  <si>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</si>
  <si>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</si>
  <si>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</si>
  <si>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</si>
  <si>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</si>
  <si>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</si>
  <si>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</si>
  <si>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</si>
  <si>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</si>
  <si>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</si>
  <si>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</si>
  <si>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</si>
  <si>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</si>
  <si>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</si>
  <si>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</si>
  <si>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</si>
  <si>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</si>
  <si>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</si>
  <si>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</si>
  <si>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</si>
  <si>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</si>
  <si>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</si>
  <si>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</si>
  <si>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</si>
  <si>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</si>
  <si>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</si>
  <si>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</si>
  <si>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</si>
  <si>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</si>
  <si>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</si>
  <si>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</si>
  <si>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</si>
  <si>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</si>
  <si>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</si>
  <si>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</si>
  <si>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</si>
  <si>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</si>
  <si>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</si>
  <si>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</si>
  <si>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</si>
  <si>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</si>
  <si>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</si>
  <si>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</si>
  <si>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</si>
  <si>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</si>
  <si>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</si>
  <si>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</si>
  <si>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</si>
  <si>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</si>
  <si>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</si>
  <si>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</si>
  <si>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</si>
  <si>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</si>
  <si>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</si>
  <si>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</si>
  <si>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</si>
  <si>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</si>
  <si>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</si>
  <si>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</si>
  <si>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</si>
  <si>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</si>
  <si>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</si>
  <si>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</si>
  <si>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</si>
  <si>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</si>
  <si>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</si>
  <si>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</si>
  <si>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</si>
  <si>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</si>
  <si>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</si>
  <si>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</si>
  <si>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</si>
  <si>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</si>
  <si>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</si>
  <si>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</si>
  <si>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</si>
  <si>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</si>
  <si>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</si>
  <si>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</si>
  <si>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</si>
  <si>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</si>
  <si>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</si>
  <si>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</si>
  <si>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</si>
  <si>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</si>
  <si>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</si>
  <si>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</si>
  <si>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</si>
  <si>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</si>
  <si>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</si>
  <si>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</si>
  <si>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</si>
  <si>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</si>
  <si>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</si>
  <si>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</si>
  <si>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</si>
  <si>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</si>
  <si>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</si>
  <si>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</si>
  <si>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</si>
  <si>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</si>
  <si>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</si>
  <si>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</si>
  <si>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</si>
  <si>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</si>
  <si>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</si>
  <si>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</si>
  <si>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</si>
  <si>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</si>
  <si>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</si>
  <si>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</si>
  <si>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</si>
  <si>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</si>
  <si>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</si>
  <si>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</si>
  <si>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</si>
  <si>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</si>
  <si>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</si>
  <si>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</si>
  <si>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</si>
  <si>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</si>
  <si>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</si>
  <si>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</si>
  <si>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</si>
  <si>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</si>
  <si>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</si>
  <si>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</si>
  <si>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</si>
  <si>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</si>
  <si>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</si>
  <si>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</si>
  <si>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</si>
  <si>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</si>
  <si>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</si>
  <si>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</si>
  <si>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</si>
  <si>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</si>
  <si>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</si>
  <si>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</si>
  <si>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</si>
  <si>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</si>
  <si>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</si>
  <si>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</si>
  <si>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</si>
  <si>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</si>
  <si>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</si>
  <si>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</si>
  <si>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</si>
  <si>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</si>
  <si>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</si>
  <si>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</si>
  <si>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</si>
  <si>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</si>
  <si>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</si>
  <si>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</si>
  <si>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</si>
  <si>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</si>
  <si>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</si>
  <si>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</si>
  <si>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</si>
  <si>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</si>
  <si>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</si>
  <si>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</si>
  <si>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</si>
  <si>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</si>
  <si>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</si>
  <si>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</si>
  <si>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</si>
  <si>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</si>
  <si>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</si>
  <si>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</si>
  <si>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</si>
  <si>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</si>
  <si>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</si>
  <si>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</si>
  <si>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</si>
  <si>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</si>
  <si>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</si>
  <si>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</si>
  <si>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</si>
  <si>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</si>
  <si>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</si>
  <si>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</si>
  <si>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</si>
  <si>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</si>
  <si>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</si>
  <si>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</si>
  <si>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</si>
  <si>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</si>
  <si>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</si>
  <si>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</si>
  <si>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</si>
  <si>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</si>
  <si>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</si>
  <si>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</si>
  <si>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</si>
  <si>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</si>
  <si>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</si>
  <si>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</si>
  <si>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</si>
  <si>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</si>
  <si>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</si>
  <si>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</si>
  <si>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</si>
  <si>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</si>
  <si>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</si>
  <si>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</si>
  <si>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</si>
  <si>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</si>
  <si>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</si>
  <si>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</si>
  <si>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</si>
  <si>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</si>
  <si>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</si>
  <si>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</si>
  <si>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</si>
  <si>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</si>
  <si>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</si>
  <si>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</si>
  <si>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</si>
  <si>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</si>
  <si>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</si>
  <si>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</si>
  <si>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</si>
  <si>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</si>
  <si>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</si>
  <si>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</si>
  <si>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</si>
  <si>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</si>
  <si>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</si>
  <si>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</si>
  <si>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</si>
  <si>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</si>
  <si>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</si>
  <si>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</si>
  <si>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</si>
  <si>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</si>
  <si>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</si>
  <si>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</si>
  <si>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</si>
  <si>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</si>
  <si>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</si>
  <si>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</si>
  <si>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</si>
  <si>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</si>
  <si>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</si>
  <si>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</si>
  <si>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</si>
  <si>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</si>
  <si>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</si>
  <si>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</si>
  <si>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</si>
  <si>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</si>
  <si>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</si>
  <si>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</si>
  <si>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</si>
  <si>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</si>
  <si>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</si>
  <si>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</si>
  <si>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</si>
  <si>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</si>
  <si>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</si>
  <si>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</si>
  <si>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</si>
  <si>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</si>
  <si>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</si>
  <si>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</si>
  <si>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</si>
  <si>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</si>
  <si>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</si>
  <si>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</si>
  <si>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</si>
  <si>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</si>
  <si>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</si>
  <si>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</si>
  <si>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</si>
  <si>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</si>
  <si>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</si>
  <si>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</si>
  <si>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</si>
  <si>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</si>
  <si>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</si>
  <si>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</si>
  <si>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</si>
  <si>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</si>
  <si>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</si>
  <si>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</si>
  <si>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</si>
  <si>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</si>
  <si>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</si>
  <si>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</si>
  <si>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</si>
  <si>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</si>
  <si>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</si>
  <si>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</si>
  <si>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</si>
  <si>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</si>
  <si>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</si>
  <si>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</si>
  <si>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</si>
  <si>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</si>
  <si>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</si>
  <si>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</si>
  <si>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</si>
  <si>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</si>
  <si>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</si>
  <si>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</si>
  <si>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</si>
  <si>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</si>
  <si>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</si>
  <si>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</si>
  <si>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</si>
  <si>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</si>
  <si>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</si>
  <si>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</si>
  <si>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</si>
  <si>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</si>
  <si>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</si>
  <si>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</si>
  <si>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</si>
  <si>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</si>
  <si>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</si>
  <si>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</si>
  <si>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</si>
  <si>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</si>
  <si>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</si>
  <si>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</si>
  <si>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</si>
  <si>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</si>
  <si>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</si>
  <si>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</si>
  <si>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</si>
  <si>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</si>
  <si>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</si>
  <si>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</si>
  <si>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</si>
  <si>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</si>
  <si>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</si>
  <si>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</si>
  <si>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</si>
  <si>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</si>
  <si>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</si>
  <si>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</si>
  <si>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</si>
  <si>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</si>
  <si>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</si>
  <si>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</si>
  <si>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</si>
  <si>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</si>
  <si>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</si>
  <si>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</si>
  <si>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</si>
  <si>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</si>
  <si>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</si>
  <si>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</si>
  <si>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</si>
  <si>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</si>
  <si>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</si>
  <si>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</si>
  <si>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</si>
  <si>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</si>
  <si>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</si>
  <si>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</si>
  <si>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</si>
  <si>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</si>
  <si>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</si>
  <si>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</si>
  <si>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</si>
  <si>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</si>
  <si>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</si>
  <si>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</si>
  <si>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</si>
  <si>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</si>
  <si>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</si>
  <si>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</si>
  <si>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</si>
  <si>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</si>
  <si>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</si>
  <si>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</si>
  <si>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</si>
  <si>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</si>
  <si>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</si>
  <si>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</si>
  <si>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</si>
  <si>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</si>
  <si>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</si>
  <si>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</si>
  <si>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</si>
  <si>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</si>
  <si>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</si>
  <si>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</si>
  <si>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</si>
  <si>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</si>
  <si>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</si>
  <si>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</si>
  <si>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</si>
  <si>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</si>
  <si>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</si>
  <si>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</si>
  <si>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</si>
  <si>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</si>
  <si>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</si>
  <si>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</si>
  <si>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</si>
  <si>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</si>
  <si>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</si>
  <si>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</si>
  <si>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</si>
  <si>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</si>
  <si>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</si>
  <si>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</si>
  <si>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</si>
  <si>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</si>
  <si>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</si>
  <si>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</si>
  <si>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</si>
  <si>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</si>
  <si>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</si>
  <si>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</si>
  <si>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</si>
  <si>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</si>
  <si>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</si>
  <si>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</si>
  <si>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</si>
  <si>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</si>
  <si>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</si>
  <si>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</si>
  <si>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</si>
  <si>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</si>
  <si>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</si>
  <si>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</si>
  <si>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</si>
  <si>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</si>
  <si>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</si>
  <si>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</si>
  <si>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</si>
  <si>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</si>
  <si>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</si>
  <si>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</si>
  <si>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</si>
  <si>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</si>
  <si>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</si>
  <si>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</si>
  <si>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</si>
  <si>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</si>
  <si>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</si>
  <si>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</si>
  <si>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</si>
  <si>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</si>
  <si>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</si>
  <si>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</si>
  <si>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</si>
  <si>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</si>
  <si>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</si>
  <si>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</si>
  <si>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</si>
  <si>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</si>
  <si>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</si>
  <si>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</si>
  <si>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</si>
  <si>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</si>
  <si>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</si>
  <si>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</si>
  <si>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</si>
  <si>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</si>
  <si>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</si>
  <si>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</si>
  <si>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</si>
  <si>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</si>
  <si>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</si>
  <si>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</si>
  <si>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</si>
  <si>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</si>
  <si>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</si>
  <si>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</si>
  <si>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</si>
  <si>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</si>
  <si>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</si>
  <si>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</si>
  <si>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</si>
  <si>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</si>
  <si>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</si>
  <si>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</si>
  <si>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</si>
  <si>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</si>
  <si>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</si>
  <si>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</si>
  <si>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</si>
  <si>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</si>
  <si>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</si>
  <si>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</si>
  <si>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</si>
  <si>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</si>
  <si>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</si>
  <si>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</si>
  <si>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</si>
  <si>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</si>
  <si>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</si>
  <si>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</si>
  <si>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</si>
  <si>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</si>
  <si>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</si>
  <si>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</si>
  <si>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</si>
  <si>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</si>
  <si>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</si>
  <si>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</si>
  <si>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</si>
  <si>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</si>
  <si>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</si>
  <si>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</si>
  <si>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</si>
  <si>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</si>
  <si>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</si>
  <si>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</si>
  <si>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</si>
  <si>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</si>
  <si>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</si>
  <si>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</si>
  <si>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</si>
  <si>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</si>
  <si>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</si>
  <si>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</si>
  <si>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</si>
  <si>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</si>
  <si>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</si>
  <si>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</si>
  <si>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</si>
  <si>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</si>
  <si>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</si>
  <si>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</si>
  <si>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</si>
  <si>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</si>
  <si>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</si>
  <si>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</si>
  <si>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</si>
  <si>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</si>
  <si>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</si>
  <si>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</si>
  <si>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</si>
  <si>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</si>
  <si>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</si>
  <si>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</si>
  <si>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</si>
  <si>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</si>
  <si>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</si>
  <si>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</si>
  <si>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</si>
  <si>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</si>
  <si>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</si>
  <si>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</si>
  <si>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</si>
  <si>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</si>
  <si>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</si>
  <si>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Q244</t>
  </si>
  <si>
    <t>Robinhood</t>
  </si>
  <si>
    <t>HOOD</t>
  </si>
  <si>
    <t>9988</t>
  </si>
  <si>
    <t>9888 HK</t>
  </si>
  <si>
    <t>TRAK</t>
  </si>
  <si>
    <t>Repositrak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</si>
</sst>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3" fillId="0" borderId="0" applyNumberFormat="0" applyFill="0" applyBorder="0" applyAlignment="0" applyProtection="0"/>
  </cellStyleXfs>
  <cellXfs count="239">
    <xf numFmtId="0" fontId="0" fillId="0" borderId="0" xfId="0"/>
    <xf numFmtId="0" fontId="92" fillId="0" borderId="0" xfId="0" applyFont="1"/>
    <xf numFmtId="2" fontId="92" fillId="0" borderId="0" xfId="0" applyNumberFormat="1" applyFont="1" applyAlignment="1">
      <alignment horizontal="right"/>
    </xf>
    <xf numFmtId="3" fontId="92" fillId="0" borderId="0" xfId="0" applyNumberFormat="1" applyFont="1" applyAlignment="1">
      <alignment horizontal="right"/>
    </xf>
    <xf numFmtId="0" fontId="92" fillId="0" borderId="0" xfId="0" applyFont="1" applyAlignment="1">
      <alignment horizontal="right"/>
    </xf>
    <xf numFmtId="0" fontId="94" fillId="0" borderId="0" xfId="1" applyFont="1"/>
    <xf numFmtId="0" fontId="91" fillId="0" borderId="0" xfId="0" applyFont="1"/>
    <xf numFmtId="3" fontId="91" fillId="0" borderId="0" xfId="0" applyNumberFormat="1" applyFont="1" applyAlignment="1">
      <alignment horizontal="right"/>
    </xf>
    <xf numFmtId="0" fontId="90" fillId="0" borderId="0" xfId="0" applyFont="1"/>
    <xf numFmtId="3" fontId="95" fillId="0" borderId="0" xfId="0" applyNumberFormat="1" applyFont="1" applyAlignment="1">
      <alignment horizontal="right"/>
    </xf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3" xfId="0" applyFont="1" applyBorder="1"/>
    <xf numFmtId="0" fontId="86" fillId="0" borderId="4" xfId="0" applyFont="1" applyBorder="1"/>
    <xf numFmtId="2" fontId="86" fillId="0" borderId="4" xfId="0" applyNumberFormat="1" applyFont="1" applyBorder="1" applyAlignment="1">
      <alignment horizontal="right"/>
    </xf>
    <xf numFmtId="3" fontId="86" fillId="0" borderId="4" xfId="0" applyNumberFormat="1" applyFont="1" applyBorder="1" applyAlignment="1">
      <alignment horizontal="right"/>
    </xf>
    <xf numFmtId="0" fontId="86" fillId="0" borderId="4" xfId="0" applyFont="1" applyBorder="1" applyAlignment="1">
      <alignment horizontal="right"/>
    </xf>
    <xf numFmtId="0" fontId="86" fillId="0" borderId="4" xfId="0" applyFont="1" applyBorder="1" applyAlignment="1">
      <alignment horizontal="center"/>
    </xf>
    <xf numFmtId="0" fontId="86" fillId="0" borderId="5" xfId="0" applyFont="1" applyBorder="1" applyAlignment="1">
      <alignment horizontal="center"/>
    </xf>
    <xf numFmtId="0" fontId="86" fillId="0" borderId="0" xfId="0" applyFont="1"/>
    <xf numFmtId="2" fontId="86" fillId="0" borderId="0" xfId="0" applyNumberFormat="1" applyFont="1" applyAlignment="1">
      <alignment horizontal="right"/>
    </xf>
    <xf numFmtId="3" fontId="86" fillId="0" borderId="0" xfId="0" applyNumberFormat="1" applyFont="1" applyAlignment="1">
      <alignment horizontal="right"/>
    </xf>
    <xf numFmtId="0" fontId="86" fillId="0" borderId="0" xfId="0" applyFont="1" applyAlignment="1">
      <alignment horizontal="right"/>
    </xf>
    <xf numFmtId="0" fontId="86" fillId="0" borderId="0" xfId="0" applyFont="1" applyAlignment="1">
      <alignment horizontal="center"/>
    </xf>
    <xf numFmtId="0" fontId="86" fillId="0" borderId="1" xfId="0" applyFont="1" applyBorder="1" applyAlignment="1">
      <alignment horizontal="center"/>
    </xf>
    <xf numFmtId="0" fontId="86" fillId="0" borderId="2" xfId="0" applyFont="1" applyBorder="1" applyAlignment="1">
      <alignment horizontal="center"/>
    </xf>
    <xf numFmtId="4" fontId="86" fillId="0" borderId="0" xfId="0" applyNumberFormat="1" applyFont="1" applyAlignment="1">
      <alignment horizontal="center"/>
    </xf>
    <xf numFmtId="9" fontId="86" fillId="0" borderId="0" xfId="0" applyNumberFormat="1" applyFont="1" applyAlignment="1">
      <alignment horizontal="center"/>
    </xf>
    <xf numFmtId="164" fontId="86" fillId="0" borderId="1" xfId="0" applyNumberFormat="1" applyFont="1" applyBorder="1" applyAlignment="1">
      <alignment horizontal="center"/>
    </xf>
    <xf numFmtId="164" fontId="86" fillId="0" borderId="0" xfId="0" applyNumberFormat="1" applyFont="1" applyAlignment="1">
      <alignment horizontal="center"/>
    </xf>
    <xf numFmtId="164" fontId="86" fillId="0" borderId="2" xfId="0" applyNumberFormat="1" applyFont="1" applyBorder="1" applyAlignment="1">
      <alignment horizontal="center"/>
    </xf>
    <xf numFmtId="4" fontId="86" fillId="0" borderId="1" xfId="0" applyNumberFormat="1" applyFont="1" applyBorder="1" applyAlignment="1">
      <alignment horizontal="center"/>
    </xf>
    <xf numFmtId="4" fontId="86" fillId="0" borderId="2" xfId="0" applyNumberFormat="1" applyFont="1" applyBorder="1" applyAlignment="1">
      <alignment horizontal="center"/>
    </xf>
    <xf numFmtId="0" fontId="85" fillId="0" borderId="0" xfId="0" applyFont="1" applyAlignment="1">
      <alignment horizontal="right"/>
    </xf>
    <xf numFmtId="0" fontId="84" fillId="0" borderId="0" xfId="0" applyFont="1" applyAlignment="1">
      <alignment horizontal="right"/>
    </xf>
    <xf numFmtId="9" fontId="84" fillId="0" borderId="0" xfId="0" applyNumberFormat="1" applyFont="1" applyAlignment="1">
      <alignment horizontal="center"/>
    </xf>
    <xf numFmtId="164" fontId="86" fillId="0" borderId="6" xfId="0" applyNumberFormat="1" applyFont="1" applyBorder="1" applyAlignment="1">
      <alignment horizontal="center"/>
    </xf>
    <xf numFmtId="4" fontId="86" fillId="0" borderId="0" xfId="0" applyNumberFormat="1" applyFont="1" applyAlignment="1">
      <alignment horizontal="right"/>
    </xf>
    <xf numFmtId="0" fontId="83" fillId="0" borderId="4" xfId="0" applyFont="1" applyBorder="1" applyAlignment="1">
      <alignment horizontal="right"/>
    </xf>
    <xf numFmtId="14" fontId="86" fillId="0" borderId="0" xfId="0" applyNumberFormat="1" applyFont="1" applyAlignment="1">
      <alignment horizontal="right"/>
    </xf>
    <xf numFmtId="0" fontId="83" fillId="0" borderId="0" xfId="0" applyFont="1"/>
    <xf numFmtId="0" fontId="82" fillId="0" borderId="0" xfId="0" applyFont="1"/>
    <xf numFmtId="0" fontId="82" fillId="0" borderId="3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82" fillId="0" borderId="4" xfId="0" applyFont="1" applyBorder="1" applyAlignment="1">
      <alignment horizontal="center"/>
    </xf>
    <xf numFmtId="0" fontId="86" fillId="0" borderId="5" xfId="0" applyFont="1" applyBorder="1"/>
    <xf numFmtId="3" fontId="89" fillId="0" borderId="0" xfId="0" applyNumberFormat="1" applyFont="1"/>
    <xf numFmtId="0" fontId="81" fillId="0" borderId="0" xfId="0" applyFont="1"/>
    <xf numFmtId="0" fontId="80" fillId="0" borderId="0" xfId="0" applyFont="1" applyAlignment="1">
      <alignment horizontal="right"/>
    </xf>
    <xf numFmtId="0" fontId="79" fillId="0" borderId="0" xfId="0" applyFont="1"/>
    <xf numFmtId="3" fontId="92" fillId="0" borderId="0" xfId="0" applyNumberFormat="1" applyFont="1"/>
    <xf numFmtId="3" fontId="95" fillId="0" borderId="0" xfId="0" applyNumberFormat="1" applyFont="1"/>
    <xf numFmtId="3" fontId="79" fillId="0" borderId="0" xfId="0" applyNumberFormat="1" applyFont="1"/>
    <xf numFmtId="4" fontId="92" fillId="0" borderId="0" xfId="0" applyNumberFormat="1" applyFont="1" applyAlignment="1">
      <alignment horizontal="right"/>
    </xf>
    <xf numFmtId="4" fontId="95" fillId="0" borderId="0" xfId="0" applyNumberFormat="1" applyFont="1" applyAlignment="1">
      <alignment horizontal="right"/>
    </xf>
    <xf numFmtId="0" fontId="78" fillId="0" borderId="0" xfId="0" applyFont="1"/>
    <xf numFmtId="0" fontId="77" fillId="0" borderId="0" xfId="0" applyFont="1"/>
    <xf numFmtId="0" fontId="96" fillId="0" borderId="0" xfId="0" applyFont="1"/>
    <xf numFmtId="0" fontId="76" fillId="0" borderId="0" xfId="0" applyFont="1"/>
    <xf numFmtId="0" fontId="76" fillId="0" borderId="0" xfId="0" applyFont="1" applyAlignment="1">
      <alignment horizontal="right"/>
    </xf>
    <xf numFmtId="14" fontId="89" fillId="0" borderId="0" xfId="0" applyNumberFormat="1" applyFont="1"/>
    <xf numFmtId="0" fontId="89" fillId="0" borderId="0" xfId="0" applyFont="1" applyAlignment="1">
      <alignment horizontal="right"/>
    </xf>
    <xf numFmtId="4" fontId="89" fillId="0" borderId="0" xfId="0" applyNumberFormat="1" applyFont="1" applyAlignment="1">
      <alignment horizontal="right"/>
    </xf>
    <xf numFmtId="3" fontId="89" fillId="0" borderId="0" xfId="0" applyNumberFormat="1" applyFont="1" applyAlignment="1">
      <alignment horizontal="right"/>
    </xf>
    <xf numFmtId="3" fontId="75" fillId="0" borderId="0" xfId="0" applyNumberFormat="1" applyFont="1"/>
    <xf numFmtId="0" fontId="75" fillId="0" borderId="0" xfId="0" applyFont="1"/>
    <xf numFmtId="0" fontId="75" fillId="0" borderId="3" xfId="0" applyFont="1" applyBorder="1"/>
    <xf numFmtId="0" fontId="75" fillId="0" borderId="4" xfId="0" applyFont="1" applyBorder="1"/>
    <xf numFmtId="2" fontId="75" fillId="0" borderId="4" xfId="0" applyNumberFormat="1" applyFont="1" applyBorder="1" applyAlignment="1">
      <alignment horizontal="right"/>
    </xf>
    <xf numFmtId="3" fontId="75" fillId="0" borderId="4" xfId="0" applyNumberFormat="1" applyFont="1" applyBorder="1" applyAlignment="1">
      <alignment horizontal="right"/>
    </xf>
    <xf numFmtId="0" fontId="75" fillId="0" borderId="4" xfId="0" applyFont="1" applyBorder="1" applyAlignment="1">
      <alignment horizontal="right"/>
    </xf>
    <xf numFmtId="0" fontId="75" fillId="0" borderId="4" xfId="0" applyFont="1" applyBorder="1" applyAlignment="1">
      <alignment horizontal="center"/>
    </xf>
    <xf numFmtId="0" fontId="75" fillId="0" borderId="5" xfId="0" applyFont="1" applyBorder="1" applyAlignment="1">
      <alignment horizontal="center"/>
    </xf>
    <xf numFmtId="0" fontId="75" fillId="0" borderId="3" xfId="0" applyFont="1" applyBorder="1" applyAlignment="1">
      <alignment horizontal="center"/>
    </xf>
    <xf numFmtId="0" fontId="75" fillId="0" borderId="6" xfId="0" applyFont="1" applyBorder="1" applyAlignment="1">
      <alignment horizontal="center"/>
    </xf>
    <xf numFmtId="0" fontId="74" fillId="0" borderId="0" xfId="0" applyFont="1"/>
    <xf numFmtId="3" fontId="74" fillId="0" borderId="0" xfId="0" applyNumberFormat="1" applyFont="1"/>
    <xf numFmtId="3" fontId="73" fillId="0" borderId="0" xfId="0" applyNumberFormat="1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3" fontId="67" fillId="0" borderId="0" xfId="0" applyNumberFormat="1" applyFont="1"/>
    <xf numFmtId="3" fontId="66" fillId="0" borderId="0" xfId="0" applyNumberFormat="1" applyFont="1"/>
    <xf numFmtId="0" fontId="65" fillId="0" borderId="0" xfId="0" applyFont="1"/>
    <xf numFmtId="0" fontId="97" fillId="0" borderId="0" xfId="0" applyFont="1"/>
    <xf numFmtId="0" fontId="64" fillId="0" borderId="0" xfId="0" applyFont="1"/>
    <xf numFmtId="0" fontId="98" fillId="0" borderId="0" xfId="1" applyFont="1"/>
    <xf numFmtId="0" fontId="63" fillId="0" borderId="0" xfId="0" applyFont="1"/>
    <xf numFmtId="3" fontId="63" fillId="0" borderId="0" xfId="0" applyNumberFormat="1" applyFont="1"/>
    <xf numFmtId="0" fontId="62" fillId="0" borderId="0" xfId="0" applyFont="1" applyAlignment="1">
      <alignment horizontal="right"/>
    </xf>
    <xf numFmtId="0" fontId="61" fillId="0" borderId="0" xfId="0" applyFont="1"/>
    <xf numFmtId="0" fontId="61" fillId="0" borderId="0" xfId="0" applyFont="1" applyAlignment="1">
      <alignment horizontal="right"/>
    </xf>
    <xf numFmtId="14" fontId="75" fillId="0" borderId="0" xfId="0" applyNumberFormat="1" applyFont="1"/>
    <xf numFmtId="3" fontId="60" fillId="0" borderId="0" xfId="0" applyNumberFormat="1" applyFont="1"/>
    <xf numFmtId="0" fontId="59" fillId="0" borderId="0" xfId="0" applyFont="1"/>
    <xf numFmtId="3" fontId="59" fillId="0" borderId="0" xfId="0" applyNumberFormat="1" applyFont="1"/>
    <xf numFmtId="0" fontId="58" fillId="0" borderId="0" xfId="0" applyFont="1"/>
    <xf numFmtId="0" fontId="57" fillId="0" borderId="0" xfId="0" applyFont="1"/>
    <xf numFmtId="3" fontId="56" fillId="0" borderId="0" xfId="0" applyNumberFormat="1" applyFont="1"/>
    <xf numFmtId="0" fontId="55" fillId="0" borderId="0" xfId="0" applyFont="1"/>
    <xf numFmtId="0" fontId="54" fillId="0" borderId="0" xfId="0" applyFont="1"/>
    <xf numFmtId="3" fontId="53" fillId="0" borderId="0" xfId="0" applyNumberFormat="1" applyFont="1"/>
    <xf numFmtId="0" fontId="94" fillId="0" borderId="1" xfId="1" applyFont="1" applyBorder="1"/>
    <xf numFmtId="9" fontId="86" fillId="0" borderId="2" xfId="0" applyNumberFormat="1" applyFont="1" applyBorder="1" applyAlignment="1">
      <alignment horizontal="center"/>
    </xf>
    <xf numFmtId="0" fontId="65" fillId="0" borderId="0" xfId="0" applyFont="1" applyAlignment="1">
      <alignment horizontal="right"/>
    </xf>
    <xf numFmtId="0" fontId="57" fillId="0" borderId="1" xfId="0" applyFont="1" applyBorder="1"/>
    <xf numFmtId="0" fontId="54" fillId="0" borderId="1" xfId="0" applyFont="1" applyBorder="1"/>
    <xf numFmtId="0" fontId="86" fillId="0" borderId="1" xfId="0" applyFont="1" applyBorder="1"/>
    <xf numFmtId="0" fontId="84" fillId="0" borderId="1" xfId="0" applyFont="1" applyBorder="1"/>
    <xf numFmtId="0" fontId="84" fillId="0" borderId="0" xfId="0" applyFont="1"/>
    <xf numFmtId="0" fontId="82" fillId="0" borderId="1" xfId="0" applyFont="1" applyBorder="1"/>
    <xf numFmtId="2" fontId="86" fillId="0" borderId="6" xfId="0" applyNumberFormat="1" applyFont="1" applyBorder="1" applyAlignment="1">
      <alignment horizontal="right"/>
    </xf>
    <xf numFmtId="3" fontId="86" fillId="0" borderId="6" xfId="0" applyNumberFormat="1" applyFont="1" applyBorder="1" applyAlignment="1">
      <alignment horizontal="right"/>
    </xf>
    <xf numFmtId="0" fontId="86" fillId="0" borderId="6" xfId="0" applyFont="1" applyBorder="1" applyAlignment="1">
      <alignment horizontal="right"/>
    </xf>
    <xf numFmtId="0" fontId="86" fillId="0" borderId="6" xfId="0" applyFont="1" applyBorder="1" applyAlignment="1">
      <alignment horizontal="center"/>
    </xf>
    <xf numFmtId="0" fontId="86" fillId="0" borderId="8" xfId="0" applyFont="1" applyBorder="1" applyAlignment="1">
      <alignment horizontal="center"/>
    </xf>
    <xf numFmtId="0" fontId="52" fillId="0" borderId="0" xfId="0" applyFont="1" applyAlignment="1">
      <alignment horizontal="right"/>
    </xf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94" fillId="0" borderId="0" xfId="1" applyFont="1" applyBorder="1"/>
    <xf numFmtId="0" fontId="43" fillId="0" borderId="0" xfId="0" applyFont="1"/>
    <xf numFmtId="0" fontId="42" fillId="0" borderId="0" xfId="0" applyFont="1" applyAlignment="1">
      <alignment horizontal="right"/>
    </xf>
    <xf numFmtId="0" fontId="41" fillId="0" borderId="0" xfId="0" applyFont="1"/>
    <xf numFmtId="0" fontId="41" fillId="0" borderId="0" xfId="0" applyFont="1" applyAlignment="1">
      <alignment horizontal="right"/>
    </xf>
    <xf numFmtId="3" fontId="41" fillId="0" borderId="0" xfId="0" applyNumberFormat="1" applyFont="1" applyAlignment="1">
      <alignment horizontal="right"/>
    </xf>
    <xf numFmtId="0" fontId="40" fillId="0" borderId="0" xfId="0" applyFont="1"/>
    <xf numFmtId="14" fontId="40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14" fontId="92" fillId="0" borderId="0" xfId="0" applyNumberFormat="1" applyFont="1"/>
    <xf numFmtId="0" fontId="38" fillId="0" borderId="0" xfId="0" applyFont="1"/>
    <xf numFmtId="165" fontId="86" fillId="0" borderId="0" xfId="0" applyNumberFormat="1" applyFont="1" applyAlignment="1">
      <alignment horizontal="right"/>
    </xf>
    <xf numFmtId="0" fontId="38" fillId="0" borderId="0" xfId="0" applyFont="1" applyAlignment="1">
      <alignment horizontal="right"/>
    </xf>
    <xf numFmtId="0" fontId="37" fillId="0" borderId="0" xfId="0" applyFont="1" applyAlignment="1">
      <alignment horizontal="right"/>
    </xf>
    <xf numFmtId="0" fontId="36" fillId="0" borderId="0" xfId="0" applyFont="1"/>
    <xf numFmtId="4" fontId="75" fillId="0" borderId="0" xfId="0" applyNumberFormat="1" applyFont="1"/>
    <xf numFmtId="0" fontId="35" fillId="0" borderId="0" xfId="0" applyFont="1"/>
    <xf numFmtId="0" fontId="34" fillId="0" borderId="1" xfId="0" applyFont="1" applyBorder="1"/>
    <xf numFmtId="0" fontId="34" fillId="0" borderId="0" xfId="0" applyFont="1"/>
    <xf numFmtId="0" fontId="33" fillId="0" borderId="0" xfId="0" applyFont="1"/>
    <xf numFmtId="3" fontId="99" fillId="0" borderId="0" xfId="0" applyNumberFormat="1" applyFont="1"/>
    <xf numFmtId="4" fontId="100" fillId="0" borderId="0" xfId="0" applyNumberFormat="1" applyFont="1" applyAlignment="1">
      <alignment horizontal="right"/>
    </xf>
    <xf numFmtId="3" fontId="99" fillId="0" borderId="0" xfId="0" applyNumberFormat="1" applyFont="1" applyAlignment="1">
      <alignment horizontal="right"/>
    </xf>
    <xf numFmtId="14" fontId="33" fillId="0" borderId="0" xfId="0" applyNumberFormat="1" applyFont="1" applyAlignment="1">
      <alignment horizontal="right"/>
    </xf>
    <xf numFmtId="3" fontId="77" fillId="0" borderId="0" xfId="0" applyNumberFormat="1" applyFont="1"/>
    <xf numFmtId="0" fontId="32" fillId="0" borderId="0" xfId="0" applyFont="1"/>
    <xf numFmtId="0" fontId="31" fillId="0" borderId="0" xfId="0" applyFont="1"/>
    <xf numFmtId="3" fontId="31" fillId="0" borderId="0" xfId="0" applyNumberFormat="1" applyFont="1"/>
    <xf numFmtId="3" fontId="31" fillId="2" borderId="0" xfId="0" applyNumberFormat="1" applyFont="1" applyFill="1"/>
    <xf numFmtId="0" fontId="30" fillId="0" borderId="0" xfId="0" applyFont="1" applyAlignment="1">
      <alignment horizontal="right"/>
    </xf>
    <xf numFmtId="0" fontId="30" fillId="0" borderId="0" xfId="0" applyFont="1"/>
    <xf numFmtId="3" fontId="30" fillId="0" borderId="0" xfId="0" applyNumberFormat="1" applyFont="1"/>
    <xf numFmtId="3" fontId="94" fillId="0" borderId="0" xfId="1" applyNumberFormat="1" applyFont="1"/>
    <xf numFmtId="3" fontId="29" fillId="0" borderId="0" xfId="0" applyNumberFormat="1" applyFont="1" applyAlignment="1">
      <alignment horizontal="right"/>
    </xf>
    <xf numFmtId="0" fontId="28" fillId="0" borderId="0" xfId="0" applyFont="1"/>
    <xf numFmtId="4" fontId="86" fillId="0" borderId="0" xfId="0" applyNumberFormat="1" applyFont="1"/>
    <xf numFmtId="4" fontId="92" fillId="0" borderId="0" xfId="0" applyNumberFormat="1" applyFont="1"/>
    <xf numFmtId="0" fontId="27" fillId="0" borderId="1" xfId="0" applyFont="1" applyBorder="1"/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/>
    <xf numFmtId="0" fontId="97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3" fontId="19" fillId="0" borderId="0" xfId="0" applyNumberFormat="1" applyFont="1"/>
    <xf numFmtId="0" fontId="19" fillId="0" borderId="1" xfId="0" applyFont="1" applyBorder="1"/>
    <xf numFmtId="0" fontId="19" fillId="0" borderId="3" xfId="0" applyFont="1" applyBorder="1"/>
    <xf numFmtId="0" fontId="19" fillId="0" borderId="4" xfId="0" applyFont="1" applyBorder="1"/>
    <xf numFmtId="2" fontId="19" fillId="0" borderId="4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0" fontId="18" fillId="0" borderId="1" xfId="0" applyFont="1" applyBorder="1"/>
    <xf numFmtId="0" fontId="17" fillId="0" borderId="0" xfId="0" applyFont="1"/>
    <xf numFmtId="0" fontId="17" fillId="0" borderId="7" xfId="0" applyFont="1" applyBorder="1"/>
    <xf numFmtId="0" fontId="17" fillId="0" borderId="6" xfId="0" applyFont="1" applyBorder="1"/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  <xf numFmtId="0" fontId="15" fillId="0" borderId="0" xfId="0" applyFont="1"/>
    <xf numFmtId="0" fontId="14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166" fontId="89" fillId="0" borderId="0" xfId="0" applyNumberFormat="1" applyFont="1" applyAlignment="1">
      <alignment horizontal="center"/>
    </xf>
    <xf numFmtId="166" fontId="89" fillId="0" borderId="0" xfId="0" applyNumberFormat="1" applyFont="1"/>
    <xf numFmtId="166" fontId="86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6" fillId="0" borderId="0" xfId="0" applyFont="1"/>
    <xf numFmtId="14" fontId="6" fillId="0" borderId="0" xfId="0" applyNumberFormat="1" applyFont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/>
    <xf numFmtId="4" fontId="4" fillId="0" borderId="0" xfId="0" applyNumberFormat="1" applyFont="1" applyAlignment="1">
      <alignment horizontal="right"/>
    </xf>
    <xf numFmtId="0" fontId="92" fillId="0" borderId="0" xfId="0" quotePrefix="1" applyFont="1"/>
    <xf numFmtId="167" fontId="9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89" fillId="0" borderId="0" xfId="0" applyNumberFormat="1" applyFont="1" applyAlignment="1">
      <alignment horizontal="right"/>
    </xf>
    <xf numFmtId="0" fontId="1" fillId="0" borderId="0" xfId="0" applyFont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sharedStrings" Target="sharedStrings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71" bestFit="1" customWidth="1"/>
    <col min="2" max="2" width="18.28515625" style="171" bestFit="1" customWidth="1"/>
    <col min="3" max="16384" width="9.140625" style="171"/>
  </cols>
  <sheetData>
    <row r="1" spans="1:4" x14ac:dyDescent="0.2">
      <c r="A1" s="171" t="s">
        <v>142</v>
      </c>
    </row>
    <row r="2" spans="1:4" x14ac:dyDescent="0.2">
      <c r="D2" s="171" t="s">
        <v>453</v>
      </c>
    </row>
    <row r="3" spans="1:4" x14ac:dyDescent="0.2">
      <c r="B3" s="171" t="s">
        <v>457</v>
      </c>
      <c r="C3" s="171" t="s">
        <v>256</v>
      </c>
    </row>
    <row r="4" spans="1:4" x14ac:dyDescent="0.2">
      <c r="B4" s="171" t="s">
        <v>458</v>
      </c>
      <c r="C4" s="171" t="s">
        <v>459</v>
      </c>
    </row>
    <row r="5" spans="1:4" x14ac:dyDescent="0.2">
      <c r="B5" s="171" t="s">
        <v>417</v>
      </c>
      <c r="C5" s="171" t="s">
        <v>13</v>
      </c>
    </row>
    <row r="6" spans="1:4" x14ac:dyDescent="0.2">
      <c r="B6" s="171" t="s">
        <v>460</v>
      </c>
      <c r="C6" s="171" t="s">
        <v>13</v>
      </c>
    </row>
    <row r="7" spans="1:4" x14ac:dyDescent="0.2">
      <c r="B7" s="171" t="s">
        <v>461</v>
      </c>
      <c r="C7" s="171" t="s">
        <v>13</v>
      </c>
    </row>
    <row r="8" spans="1:4" x14ac:dyDescent="0.2">
      <c r="B8" s="171" t="s">
        <v>462</v>
      </c>
      <c r="C8" s="171" t="s">
        <v>463</v>
      </c>
      <c r="D8" s="171">
        <v>1999</v>
      </c>
    </row>
    <row r="9" spans="1:4" x14ac:dyDescent="0.2">
      <c r="B9" s="171" t="s">
        <v>464</v>
      </c>
      <c r="C9" s="171" t="s">
        <v>7</v>
      </c>
    </row>
    <row r="10" spans="1:4" x14ac:dyDescent="0.2">
      <c r="B10" s="174" t="s">
        <v>485</v>
      </c>
      <c r="C10" s="174" t="s">
        <v>256</v>
      </c>
      <c r="D10" s="171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76" bestFit="1" customWidth="1"/>
    <col min="2" max="16384" width="8.85546875" style="176"/>
  </cols>
  <sheetData>
    <row r="1" spans="1:4" x14ac:dyDescent="0.2">
      <c r="A1" s="5" t="s">
        <v>142</v>
      </c>
    </row>
    <row r="2" spans="1:4" x14ac:dyDescent="0.2">
      <c r="B2" s="176" t="s">
        <v>224</v>
      </c>
      <c r="C2" s="176" t="s">
        <v>488</v>
      </c>
      <c r="D2" s="176" t="s">
        <v>489</v>
      </c>
    </row>
    <row r="3" spans="1:4" x14ac:dyDescent="0.2">
      <c r="B3" s="176" t="s">
        <v>486</v>
      </c>
      <c r="C3" s="176" t="s">
        <v>487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25" bestFit="1" customWidth="1"/>
    <col min="2" max="16384" width="9.140625" style="125"/>
  </cols>
  <sheetData>
    <row r="1" spans="1:3" x14ac:dyDescent="0.2">
      <c r="A1" s="5" t="s">
        <v>142</v>
      </c>
    </row>
    <row r="2" spans="1:3" x14ac:dyDescent="0.2">
      <c r="A2" s="5"/>
      <c r="B2" s="125" t="s">
        <v>19</v>
      </c>
    </row>
    <row r="3" spans="1:3" x14ac:dyDescent="0.2">
      <c r="B3" s="125" t="s">
        <v>339</v>
      </c>
      <c r="C3" s="125" t="s">
        <v>340</v>
      </c>
    </row>
    <row r="4" spans="1:3" x14ac:dyDescent="0.2">
      <c r="B4" s="125" t="s">
        <v>341</v>
      </c>
      <c r="C4" s="125" t="s">
        <v>342</v>
      </c>
    </row>
    <row r="5" spans="1:3" x14ac:dyDescent="0.2">
      <c r="B5" s="125" t="s">
        <v>343</v>
      </c>
    </row>
    <row r="6" spans="1:3" x14ac:dyDescent="0.2">
      <c r="B6" s="125" t="s">
        <v>336</v>
      </c>
    </row>
    <row r="7" spans="1:3" x14ac:dyDescent="0.2">
      <c r="B7" s="125" t="s">
        <v>334</v>
      </c>
    </row>
    <row r="8" spans="1:3" x14ac:dyDescent="0.2">
      <c r="B8" s="125" t="s">
        <v>338</v>
      </c>
    </row>
    <row r="9" spans="1:3" x14ac:dyDescent="0.2">
      <c r="B9" s="125" t="s">
        <v>335</v>
      </c>
    </row>
    <row r="10" spans="1:3" x14ac:dyDescent="0.2">
      <c r="B10" s="125" t="s">
        <v>344</v>
      </c>
    </row>
    <row r="11" spans="1:3" x14ac:dyDescent="0.2">
      <c r="B11" s="125" t="s">
        <v>345</v>
      </c>
    </row>
    <row r="12" spans="1:3" x14ac:dyDescent="0.2">
      <c r="B12" s="125" t="s">
        <v>337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54" bestFit="1" customWidth="1"/>
    <col min="2" max="2" width="12.7109375" style="154" customWidth="1"/>
    <col min="3" max="16384" width="9.140625" style="154"/>
  </cols>
  <sheetData>
    <row r="1" spans="1:15" x14ac:dyDescent="0.2">
      <c r="A1" s="5" t="s">
        <v>142</v>
      </c>
    </row>
    <row r="2" spans="1:15" x14ac:dyDescent="0.2">
      <c r="B2" s="154" t="s">
        <v>0</v>
      </c>
      <c r="C2" s="154">
        <v>2010</v>
      </c>
      <c r="D2" s="154">
        <f>C2+1</f>
        <v>2011</v>
      </c>
      <c r="E2" s="154">
        <f t="shared" ref="E2:O2" si="0">D2+1</f>
        <v>2012</v>
      </c>
      <c r="F2" s="154">
        <f t="shared" si="0"/>
        <v>2013</v>
      </c>
      <c r="G2" s="154">
        <f t="shared" si="0"/>
        <v>2014</v>
      </c>
      <c r="H2" s="154">
        <f t="shared" si="0"/>
        <v>2015</v>
      </c>
      <c r="I2" s="154">
        <f t="shared" si="0"/>
        <v>2016</v>
      </c>
      <c r="J2" s="154">
        <f t="shared" si="0"/>
        <v>2017</v>
      </c>
      <c r="K2" s="154">
        <f t="shared" si="0"/>
        <v>2018</v>
      </c>
      <c r="L2" s="154">
        <f t="shared" si="0"/>
        <v>2019</v>
      </c>
      <c r="M2" s="154">
        <f t="shared" si="0"/>
        <v>2020</v>
      </c>
      <c r="N2" s="154">
        <f t="shared" si="0"/>
        <v>2021</v>
      </c>
      <c r="O2" s="154">
        <f t="shared" si="0"/>
        <v>2022</v>
      </c>
    </row>
    <row r="3" spans="1:15" x14ac:dyDescent="0.2">
      <c r="B3" s="158" t="s">
        <v>420</v>
      </c>
      <c r="C3" s="155">
        <f>SUM(C5:C25)</f>
        <v>62484</v>
      </c>
      <c r="D3" s="155">
        <f t="shared" ref="D3:O3" si="1">SUM(D5:D25)</f>
        <v>69943</v>
      </c>
      <c r="E3" s="155">
        <f t="shared" si="1"/>
        <v>119762</v>
      </c>
      <c r="F3" s="155">
        <f t="shared" si="1"/>
        <v>141240</v>
      </c>
      <c r="G3" s="155">
        <f t="shared" si="1"/>
        <v>169944</v>
      </c>
      <c r="H3" s="155">
        <f t="shared" si="1"/>
        <v>194377</v>
      </c>
      <c r="I3" s="155">
        <f t="shared" si="1"/>
        <v>253177</v>
      </c>
      <c r="J3" s="155">
        <f t="shared" si="1"/>
        <v>305432</v>
      </c>
      <c r="K3" s="155">
        <f t="shared" si="1"/>
        <v>371389</v>
      </c>
      <c r="L3" s="155">
        <f t="shared" si="1"/>
        <v>436330</v>
      </c>
      <c r="M3" s="155">
        <f t="shared" si="1"/>
        <v>503965</v>
      </c>
      <c r="N3" s="155">
        <f t="shared" si="1"/>
        <v>718643</v>
      </c>
      <c r="O3" s="159">
        <f t="shared" si="1"/>
        <v>825015.8</v>
      </c>
    </row>
    <row r="5" spans="1:15" x14ac:dyDescent="0.2">
      <c r="B5" s="154" t="s">
        <v>9</v>
      </c>
      <c r="E5" s="155">
        <v>46039</v>
      </c>
      <c r="F5" s="155">
        <v>55519</v>
      </c>
      <c r="G5" s="155">
        <v>66001</v>
      </c>
      <c r="H5" s="155">
        <v>74989</v>
      </c>
      <c r="I5" s="155">
        <v>90272</v>
      </c>
      <c r="J5" s="155">
        <v>110855</v>
      </c>
      <c r="K5" s="155">
        <v>136819</v>
      </c>
      <c r="L5" s="155">
        <v>161857</v>
      </c>
      <c r="M5" s="155">
        <v>182527</v>
      </c>
      <c r="N5" s="155">
        <v>257637</v>
      </c>
      <c r="O5" s="155">
        <v>282836</v>
      </c>
    </row>
    <row r="6" spans="1:15" x14ac:dyDescent="0.2">
      <c r="B6" s="154" t="s">
        <v>7</v>
      </c>
      <c r="C6" s="155">
        <v>62484</v>
      </c>
      <c r="D6" s="155">
        <v>69943</v>
      </c>
      <c r="E6" s="155">
        <v>73723</v>
      </c>
      <c r="F6" s="155">
        <v>77849</v>
      </c>
      <c r="G6" s="155">
        <v>86833</v>
      </c>
      <c r="H6" s="155">
        <v>93580</v>
      </c>
      <c r="I6" s="155">
        <v>85320</v>
      </c>
      <c r="J6" s="155">
        <v>96571</v>
      </c>
      <c r="K6" s="155">
        <v>110360</v>
      </c>
      <c r="L6" s="155">
        <v>125843</v>
      </c>
      <c r="M6" s="155">
        <v>143015</v>
      </c>
      <c r="N6" s="155">
        <v>184903</v>
      </c>
      <c r="O6" s="155">
        <v>204094</v>
      </c>
    </row>
    <row r="7" spans="1:15" x14ac:dyDescent="0.2">
      <c r="B7" s="154" t="s">
        <v>13</v>
      </c>
      <c r="F7" s="155">
        <v>7872</v>
      </c>
      <c r="G7" s="155">
        <v>12466</v>
      </c>
      <c r="H7" s="155">
        <v>17928</v>
      </c>
      <c r="I7" s="155">
        <v>27638</v>
      </c>
      <c r="J7" s="155">
        <v>40653</v>
      </c>
      <c r="K7" s="155">
        <v>55838</v>
      </c>
      <c r="L7" s="155">
        <v>70697</v>
      </c>
      <c r="M7" s="155">
        <v>85965</v>
      </c>
      <c r="N7" s="155">
        <v>117929</v>
      </c>
      <c r="O7" s="155">
        <v>116609</v>
      </c>
    </row>
    <row r="8" spans="1:15" x14ac:dyDescent="0.2">
      <c r="B8" s="154" t="s">
        <v>407</v>
      </c>
      <c r="G8" s="155">
        <v>4644</v>
      </c>
      <c r="H8" s="155">
        <v>7880</v>
      </c>
      <c r="I8" s="155">
        <v>12219</v>
      </c>
      <c r="J8" s="155">
        <v>17459</v>
      </c>
      <c r="K8" s="155">
        <v>25655</v>
      </c>
      <c r="L8" s="155">
        <v>35026</v>
      </c>
      <c r="M8" s="155">
        <v>45370</v>
      </c>
      <c r="N8" s="155">
        <v>62202</v>
      </c>
      <c r="O8" s="155">
        <v>80096</v>
      </c>
    </row>
    <row r="9" spans="1:15" x14ac:dyDescent="0.2">
      <c r="B9" s="154" t="s">
        <v>23</v>
      </c>
      <c r="I9" s="155">
        <v>37728</v>
      </c>
      <c r="J9" s="155">
        <v>39831</v>
      </c>
      <c r="K9" s="155">
        <v>39506</v>
      </c>
      <c r="L9" s="155">
        <v>39068</v>
      </c>
      <c r="M9" s="155">
        <v>40479</v>
      </c>
      <c r="N9" s="155">
        <v>42440</v>
      </c>
      <c r="O9" s="155">
        <v>46073</v>
      </c>
    </row>
    <row r="10" spans="1:15" x14ac:dyDescent="0.2">
      <c r="B10" s="154" t="s">
        <v>25</v>
      </c>
      <c r="N10" s="155">
        <v>27843</v>
      </c>
      <c r="O10" s="156">
        <f>N10*1.1</f>
        <v>30627.300000000003</v>
      </c>
    </row>
    <row r="11" spans="1:15" x14ac:dyDescent="0.2">
      <c r="B11" s="154" t="s">
        <v>21</v>
      </c>
      <c r="O11" s="156">
        <v>30294</v>
      </c>
    </row>
    <row r="12" spans="1:15" x14ac:dyDescent="0.2">
      <c r="B12" s="154" t="s">
        <v>19</v>
      </c>
      <c r="N12" s="155">
        <v>15785</v>
      </c>
      <c r="O12" s="156">
        <f>N12*1.1</f>
        <v>17363.5</v>
      </c>
    </row>
    <row r="13" spans="1:15" x14ac:dyDescent="0.2">
      <c r="B13" s="154" t="s">
        <v>408</v>
      </c>
      <c r="J13" s="155">
        <v>63</v>
      </c>
      <c r="K13" s="155">
        <v>150</v>
      </c>
      <c r="L13" s="155">
        <v>350</v>
      </c>
      <c r="M13" s="155">
        <v>2640</v>
      </c>
      <c r="N13" s="155">
        <v>4697</v>
      </c>
      <c r="O13" s="155">
        <v>9401</v>
      </c>
    </row>
    <row r="14" spans="1:15" x14ac:dyDescent="0.2">
      <c r="B14" s="154" t="s">
        <v>256</v>
      </c>
    </row>
    <row r="15" spans="1:15" x14ac:dyDescent="0.2">
      <c r="B15" s="154" t="s">
        <v>44</v>
      </c>
    </row>
    <row r="16" spans="1:15" x14ac:dyDescent="0.2">
      <c r="B16" s="154" t="s">
        <v>172</v>
      </c>
    </row>
    <row r="17" spans="2:15" x14ac:dyDescent="0.2">
      <c r="B17" s="154" t="s">
        <v>29</v>
      </c>
    </row>
    <row r="18" spans="2:15" x14ac:dyDescent="0.2">
      <c r="B18" s="154" t="s">
        <v>409</v>
      </c>
    </row>
    <row r="19" spans="2:15" x14ac:dyDescent="0.2">
      <c r="B19" s="158" t="s">
        <v>174</v>
      </c>
      <c r="K19" s="155">
        <v>3061</v>
      </c>
      <c r="L19" s="155">
        <v>3489</v>
      </c>
      <c r="M19" s="155">
        <v>3969</v>
      </c>
      <c r="N19" s="155">
        <v>5107</v>
      </c>
      <c r="O19" s="155">
        <v>6622</v>
      </c>
    </row>
    <row r="20" spans="2:15" x14ac:dyDescent="0.2">
      <c r="B20" s="154" t="s">
        <v>33</v>
      </c>
    </row>
    <row r="21" spans="2:15" x14ac:dyDescent="0.2">
      <c r="B21" s="154" t="s">
        <v>393</v>
      </c>
      <c r="N21" s="155">
        <v>100</v>
      </c>
      <c r="O21" s="155">
        <v>1000</v>
      </c>
    </row>
    <row r="22" spans="2:15" x14ac:dyDescent="0.2">
      <c r="B22" s="154" t="s">
        <v>40</v>
      </c>
    </row>
    <row r="23" spans="2:15" x14ac:dyDescent="0.2">
      <c r="B23" s="154" t="s">
        <v>50</v>
      </c>
    </row>
    <row r="24" spans="2:15" x14ac:dyDescent="0.2">
      <c r="B24" s="154" t="s">
        <v>52</v>
      </c>
    </row>
    <row r="25" spans="2:15" x14ac:dyDescent="0.2">
      <c r="B25" s="154" t="s">
        <v>296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25" bestFit="1" customWidth="1"/>
    <col min="2" max="2" width="10.42578125" style="125" customWidth="1"/>
    <col min="3" max="16384" width="9.140625" style="125"/>
  </cols>
  <sheetData>
    <row r="1" spans="1:3" x14ac:dyDescent="0.2">
      <c r="A1" s="5" t="s">
        <v>142</v>
      </c>
    </row>
    <row r="2" spans="1:3" x14ac:dyDescent="0.2">
      <c r="A2" s="5"/>
      <c r="B2" s="158" t="s">
        <v>418</v>
      </c>
    </row>
    <row r="3" spans="1:3" x14ac:dyDescent="0.2">
      <c r="A3" s="5"/>
      <c r="B3" s="158" t="s">
        <v>414</v>
      </c>
    </row>
    <row r="4" spans="1:3" x14ac:dyDescent="0.2">
      <c r="A4" s="5"/>
      <c r="B4" s="158" t="s">
        <v>417</v>
      </c>
    </row>
    <row r="5" spans="1:3" x14ac:dyDescent="0.2">
      <c r="A5" s="5"/>
      <c r="B5" s="158" t="s">
        <v>415</v>
      </c>
    </row>
    <row r="6" spans="1:3" x14ac:dyDescent="0.2">
      <c r="A6" s="5"/>
      <c r="B6" s="158" t="s">
        <v>419</v>
      </c>
    </row>
    <row r="7" spans="1:3" x14ac:dyDescent="0.2">
      <c r="A7" s="5"/>
      <c r="B7" s="158" t="s">
        <v>416</v>
      </c>
    </row>
    <row r="8" spans="1:3" x14ac:dyDescent="0.2">
      <c r="A8" s="5"/>
      <c r="B8" s="158"/>
    </row>
    <row r="9" spans="1:3" x14ac:dyDescent="0.2">
      <c r="A9" s="5"/>
      <c r="B9" s="158"/>
    </row>
    <row r="10" spans="1:3" x14ac:dyDescent="0.2">
      <c r="A10" s="5"/>
      <c r="B10" s="125" t="s">
        <v>350</v>
      </c>
    </row>
    <row r="11" spans="1:3" x14ac:dyDescent="0.2">
      <c r="B11" s="125" t="s">
        <v>346</v>
      </c>
    </row>
    <row r="12" spans="1:3" x14ac:dyDescent="0.2">
      <c r="B12" s="125" t="s">
        <v>347</v>
      </c>
      <c r="C12" s="125" t="s">
        <v>348</v>
      </c>
    </row>
    <row r="13" spans="1:3" x14ac:dyDescent="0.2">
      <c r="B13" s="125" t="s">
        <v>349</v>
      </c>
    </row>
    <row r="14" spans="1:3" x14ac:dyDescent="0.2">
      <c r="B14" s="154" t="s">
        <v>410</v>
      </c>
      <c r="C14" s="154" t="s">
        <v>411</v>
      </c>
    </row>
    <row r="15" spans="1:3" x14ac:dyDescent="0.2">
      <c r="B15" s="154" t="s">
        <v>412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tabSelected="1" zoomScale="190" zoomScaleNormal="190" zoomScaleSheetLayoutView="100" workbookViewId="0">
      <pane xSplit="3" ySplit="3" topLeftCell="D27" activePane="bottomRight" state="frozen"/>
      <selection pane="topRight" activeCell="D1" sqref="D1"/>
      <selection pane="bottomLeft" activeCell="A30" sqref="A30"/>
      <selection pane="bottomRight" activeCell="C39" sqref="C39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7">
        <f>AVERAGE(Q4:Q5)</f>
        <v>33.723698179942652</v>
      </c>
      <c r="R2" s="37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9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3" t="s">
        <v>229</v>
      </c>
      <c r="Q3" s="44" t="s">
        <v>230</v>
      </c>
      <c r="R3" s="44" t="s">
        <v>231</v>
      </c>
      <c r="S3" s="19">
        <v>2025</v>
      </c>
      <c r="T3" s="43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76" t="s">
        <v>253</v>
      </c>
      <c r="B4" s="105" t="s">
        <v>7</v>
      </c>
      <c r="C4" s="20" t="s">
        <v>8</v>
      </c>
      <c r="D4" s="21">
        <v>415.5</v>
      </c>
      <c r="E4" s="22">
        <f>D4*[1]Main!$L$3</f>
        <v>3103369.5</v>
      </c>
      <c r="F4" s="22">
        <f>[1]Main!$L$5-[1]Main!$L$6</f>
        <v>38513</v>
      </c>
      <c r="G4" s="22">
        <f>+E4-F4</f>
        <v>3064856.5</v>
      </c>
      <c r="H4" s="22">
        <f>+[1]Main!$L$3</f>
        <v>7469</v>
      </c>
      <c r="I4" s="175"/>
      <c r="J4" s="151"/>
      <c r="K4" s="27">
        <f>+[1]Model!$BT$56</f>
        <v>271.11934949761888</v>
      </c>
      <c r="L4" s="28">
        <f>K4/D4-1</f>
        <v>-0.34748652347143472</v>
      </c>
      <c r="M4" s="28">
        <f>+[1]Model!$BT$48</f>
        <v>7.0000000000000007E-2</v>
      </c>
      <c r="N4" s="28">
        <f>+[1]Model!$BT$47</f>
        <v>0</v>
      </c>
      <c r="O4" s="106">
        <f>+[1]Model!$BT$49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+[1]Model!$BI$45</f>
        <v>9.6463099263974534</v>
      </c>
      <c r="U4" s="27">
        <f>+[1]Model!$BJ$45</f>
        <v>10.140241493526046</v>
      </c>
      <c r="V4" s="27">
        <f>+[1]Model!$BK$45</f>
        <v>10.868356840674902</v>
      </c>
      <c r="W4" s="33">
        <f>+[1]Model!$BL$45</f>
        <v>12.738662558799383</v>
      </c>
      <c r="X4" s="20">
        <v>1975</v>
      </c>
    </row>
    <row r="5" spans="1:24" x14ac:dyDescent="0.2">
      <c r="A5" s="66"/>
      <c r="B5" s="105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199" t="s">
        <v>619</v>
      </c>
      <c r="J5" s="40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106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76" t="s">
        <v>253</v>
      </c>
      <c r="B6" s="105" t="s">
        <v>174</v>
      </c>
      <c r="C6" s="20" t="s">
        <v>175</v>
      </c>
      <c r="D6" s="38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57" t="s">
        <v>382</v>
      </c>
      <c r="J6" s="40">
        <v>45047</v>
      </c>
      <c r="O6" s="26"/>
      <c r="X6" s="20">
        <v>1995</v>
      </c>
    </row>
    <row r="7" spans="1:24" x14ac:dyDescent="0.2">
      <c r="B7" s="110" t="s">
        <v>56</v>
      </c>
      <c r="C7" s="174" t="s">
        <v>484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3"/>
      <c r="B8" s="105" t="s">
        <v>38</v>
      </c>
      <c r="C8" s="20" t="s">
        <v>39</v>
      </c>
      <c r="D8" s="21">
        <v>92.75</v>
      </c>
      <c r="E8" s="22">
        <f>+D8*[4]Main!$L$3</f>
        <v>262853.5</v>
      </c>
      <c r="F8" s="22">
        <f>([4]Main!$L$5-[4]Main!$L$6)/RMB</f>
        <v>30585.01483679525</v>
      </c>
      <c r="G8" s="22">
        <f>E8-F8</f>
        <v>232268.48516320475</v>
      </c>
      <c r="H8" s="22">
        <f>+[4]Main!$L$3</f>
        <v>2834</v>
      </c>
      <c r="I8" s="23" t="s">
        <v>14</v>
      </c>
      <c r="O8" s="26"/>
      <c r="X8" s="20">
        <v>2000</v>
      </c>
    </row>
    <row r="9" spans="1:24" x14ac:dyDescent="0.2">
      <c r="A9" s="83"/>
      <c r="B9" s="105" t="s">
        <v>38</v>
      </c>
      <c r="C9" s="222" t="s">
        <v>639</v>
      </c>
      <c r="F9" s="22"/>
      <c r="G9" s="22"/>
      <c r="H9" s="22"/>
      <c r="O9" s="26"/>
    </row>
    <row r="10" spans="1:24" x14ac:dyDescent="0.2">
      <c r="A10" s="103"/>
      <c r="B10" s="109" t="s">
        <v>313</v>
      </c>
      <c r="C10" s="103" t="s">
        <v>314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76" t="s">
        <v>253</v>
      </c>
      <c r="B11" s="165" t="s">
        <v>424</v>
      </c>
      <c r="C11" s="166" t="s">
        <v>425</v>
      </c>
      <c r="D11" s="21">
        <v>547.96</v>
      </c>
      <c r="E11" s="22">
        <v>58644</v>
      </c>
      <c r="O11" s="26"/>
    </row>
    <row r="12" spans="1:24" x14ac:dyDescent="0.2">
      <c r="A12" s="176" t="s">
        <v>253</v>
      </c>
      <c r="B12" s="165" t="s">
        <v>426</v>
      </c>
      <c r="C12" s="166" t="s">
        <v>427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110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76" t="s">
        <v>253</v>
      </c>
      <c r="B14" s="110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76" t="s">
        <v>253</v>
      </c>
      <c r="B15" s="165" t="s">
        <v>445</v>
      </c>
      <c r="C15" s="166" t="s">
        <v>446</v>
      </c>
      <c r="D15" s="21">
        <v>34.99</v>
      </c>
      <c r="E15" s="22">
        <v>18901</v>
      </c>
      <c r="O15" s="26"/>
    </row>
    <row r="16" spans="1:24" x14ac:dyDescent="0.2">
      <c r="A16" s="176" t="s">
        <v>253</v>
      </c>
      <c r="B16" s="110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110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110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110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110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76" t="s">
        <v>253</v>
      </c>
      <c r="B21" s="110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76" t="s">
        <v>253</v>
      </c>
      <c r="B22" s="110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110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76" t="s">
        <v>253</v>
      </c>
      <c r="B24" s="110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76" t="s">
        <v>253</v>
      </c>
      <c r="B25" s="110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110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76" t="s">
        <v>253</v>
      </c>
      <c r="B27" s="110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76" t="s">
        <v>253</v>
      </c>
      <c r="B28" s="110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76"/>
      <c r="B29" s="105" t="s">
        <v>335</v>
      </c>
      <c r="C29" s="202" t="s">
        <v>621</v>
      </c>
      <c r="D29" s="21">
        <v>13.99</v>
      </c>
      <c r="E29" s="22">
        <f>+D29*H29</f>
        <v>1249.307</v>
      </c>
      <c r="F29" s="22">
        <f>+[5]Main!$K$5-[5]Main!$K$6</f>
        <v>357.65600000000001</v>
      </c>
      <c r="G29" s="22">
        <f>+E29-F29</f>
        <v>891.65100000000007</v>
      </c>
      <c r="H29" s="22">
        <f>+[5]Main!$K$3</f>
        <v>89.3</v>
      </c>
      <c r="I29" s="203" t="s">
        <v>619</v>
      </c>
      <c r="J29" s="40">
        <v>45546</v>
      </c>
      <c r="O29" s="26"/>
    </row>
    <row r="30" spans="1:24" x14ac:dyDescent="0.2">
      <c r="A30" s="176" t="s">
        <v>253</v>
      </c>
      <c r="B30" s="178" t="s">
        <v>505</v>
      </c>
      <c r="C30" s="176" t="s">
        <v>506</v>
      </c>
      <c r="O30" s="26"/>
    </row>
    <row r="31" spans="1:24" x14ac:dyDescent="0.2">
      <c r="A31" s="176" t="s">
        <v>253</v>
      </c>
      <c r="B31" s="110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111" t="s">
        <v>215</v>
      </c>
      <c r="C32" s="112" t="s">
        <v>216</v>
      </c>
      <c r="D32" s="21">
        <v>13.95</v>
      </c>
      <c r="E32" s="22">
        <v>2030</v>
      </c>
      <c r="O32" s="26"/>
    </row>
    <row r="33" spans="1:15" x14ac:dyDescent="0.2">
      <c r="B33" s="111" t="s">
        <v>217</v>
      </c>
      <c r="C33" s="112" t="s">
        <v>218</v>
      </c>
      <c r="D33" s="21">
        <v>19.95</v>
      </c>
      <c r="E33" s="22">
        <v>2560</v>
      </c>
      <c r="O33" s="26"/>
    </row>
    <row r="34" spans="1:15" x14ac:dyDescent="0.2">
      <c r="B34" s="113" t="s">
        <v>226</v>
      </c>
      <c r="C34" s="42" t="s">
        <v>227</v>
      </c>
      <c r="O34" s="26"/>
    </row>
    <row r="35" spans="1:15" x14ac:dyDescent="0.2">
      <c r="B35" s="145" t="s">
        <v>395</v>
      </c>
      <c r="O35" s="26"/>
    </row>
    <row r="36" spans="1:15" x14ac:dyDescent="0.2">
      <c r="A36" s="176" t="s">
        <v>253</v>
      </c>
      <c r="B36" s="178" t="s">
        <v>495</v>
      </c>
      <c r="C36" s="176" t="s">
        <v>496</v>
      </c>
      <c r="O36" s="26"/>
    </row>
    <row r="37" spans="1:15" x14ac:dyDescent="0.2">
      <c r="A37" s="176" t="s">
        <v>253</v>
      </c>
      <c r="B37" s="178" t="s">
        <v>430</v>
      </c>
      <c r="C37" s="176" t="s">
        <v>431</v>
      </c>
      <c r="O37" s="26"/>
    </row>
    <row r="38" spans="1:15" x14ac:dyDescent="0.2">
      <c r="A38" s="176" t="s">
        <v>253</v>
      </c>
      <c r="B38" s="178" t="s">
        <v>528</v>
      </c>
      <c r="C38" s="176" t="s">
        <v>529</v>
      </c>
      <c r="O38" s="26"/>
    </row>
    <row r="39" spans="1:15" x14ac:dyDescent="0.2">
      <c r="A39" s="176"/>
      <c r="B39" s="238" t="s">
        <v>641</v>
      </c>
      <c r="C39" s="237" t="s">
        <v>640</v>
      </c>
      <c r="O39" s="26"/>
    </row>
    <row r="40" spans="1:15" x14ac:dyDescent="0.2">
      <c r="A40" s="176" t="s">
        <v>253</v>
      </c>
      <c r="B40" s="178" t="s">
        <v>532</v>
      </c>
      <c r="C40" s="176" t="s">
        <v>533</v>
      </c>
      <c r="O40" s="26"/>
    </row>
    <row r="41" spans="1:15" x14ac:dyDescent="0.2">
      <c r="A41" s="176" t="s">
        <v>253</v>
      </c>
      <c r="B41" s="178" t="s">
        <v>540</v>
      </c>
      <c r="C41" s="176" t="s">
        <v>541</v>
      </c>
      <c r="O41" s="26"/>
    </row>
    <row r="42" spans="1:15" x14ac:dyDescent="0.2">
      <c r="A42" s="190" t="s">
        <v>253</v>
      </c>
      <c r="B42" s="191" t="s">
        <v>548</v>
      </c>
      <c r="C42" s="190" t="s">
        <v>549</v>
      </c>
      <c r="O42" s="26"/>
    </row>
    <row r="43" spans="1:15" x14ac:dyDescent="0.2">
      <c r="A43" s="192" t="s">
        <v>253</v>
      </c>
      <c r="B43" s="193" t="s">
        <v>588</v>
      </c>
      <c r="C43" s="194" t="s">
        <v>589</v>
      </c>
      <c r="D43" s="114"/>
      <c r="E43" s="115"/>
      <c r="F43" s="116"/>
      <c r="G43" s="116"/>
      <c r="H43" s="116"/>
      <c r="I43" s="116"/>
      <c r="J43" s="116"/>
      <c r="K43" s="117"/>
      <c r="L43" s="117"/>
      <c r="M43" s="117"/>
      <c r="N43" s="117"/>
      <c r="O43" s="118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C38" sqref="C38"/>
    </sheetView>
  </sheetViews>
  <sheetFormatPr defaultColWidth="9.140625" defaultRowHeight="12.75" x14ac:dyDescent="0.2"/>
  <cols>
    <col min="1" max="1" width="5" style="66" bestFit="1" customWidth="1"/>
    <col min="2" max="2" width="13.42578125" style="66" customWidth="1"/>
    <col min="3" max="3" width="11" style="66" customWidth="1"/>
    <col min="4" max="4" width="9.140625" style="66"/>
    <col min="5" max="5" width="10" style="66" customWidth="1"/>
    <col min="6" max="6" width="9.140625" style="66"/>
    <col min="7" max="7" width="10.140625" style="66" customWidth="1"/>
    <col min="8" max="9" width="9.140625" style="66"/>
    <col min="10" max="10" width="10.85546875" style="66" customWidth="1"/>
    <col min="11" max="16384" width="9.140625" style="66"/>
  </cols>
  <sheetData>
    <row r="1" spans="1:24" x14ac:dyDescent="0.2">
      <c r="A1" s="5" t="s">
        <v>142</v>
      </c>
      <c r="E1" s="212" t="s">
        <v>253</v>
      </c>
    </row>
    <row r="2" spans="1:24" x14ac:dyDescent="0.2">
      <c r="B2" s="67" t="s">
        <v>0</v>
      </c>
      <c r="C2" s="68" t="s">
        <v>1</v>
      </c>
      <c r="D2" s="69" t="s">
        <v>2</v>
      </c>
      <c r="E2" s="70" t="s">
        <v>3</v>
      </c>
      <c r="F2" s="71" t="s">
        <v>4</v>
      </c>
      <c r="G2" s="71" t="s">
        <v>5</v>
      </c>
      <c r="H2" s="71" t="s">
        <v>213</v>
      </c>
      <c r="I2" s="71" t="s">
        <v>6</v>
      </c>
      <c r="J2" s="71" t="s">
        <v>224</v>
      </c>
      <c r="K2" s="72" t="s">
        <v>208</v>
      </c>
      <c r="L2" s="72" t="s">
        <v>212</v>
      </c>
      <c r="M2" s="72" t="s">
        <v>209</v>
      </c>
      <c r="N2" s="72" t="s">
        <v>210</v>
      </c>
      <c r="O2" s="73" t="s">
        <v>211</v>
      </c>
      <c r="P2" s="74" t="s">
        <v>229</v>
      </c>
      <c r="Q2" s="75" t="s">
        <v>230</v>
      </c>
      <c r="R2" s="75" t="s">
        <v>231</v>
      </c>
      <c r="S2" s="73">
        <v>2025</v>
      </c>
      <c r="T2" s="74" t="s">
        <v>228</v>
      </c>
      <c r="U2" s="72">
        <v>2023</v>
      </c>
      <c r="V2" s="72">
        <v>2024</v>
      </c>
      <c r="W2" s="73">
        <v>2025</v>
      </c>
      <c r="X2" s="66" t="s">
        <v>214</v>
      </c>
    </row>
    <row r="3" spans="1:24" s="20" customFormat="1" x14ac:dyDescent="0.2">
      <c r="A3" s="66"/>
      <c r="B3" s="105" t="s">
        <v>11</v>
      </c>
      <c r="C3" s="20" t="s">
        <v>12</v>
      </c>
      <c r="D3" s="21">
        <v>189.57</v>
      </c>
      <c r="E3" s="22">
        <f>+D3*[6]Main!$K$3</f>
        <v>1972784.3590615501</v>
      </c>
      <c r="F3" s="22">
        <f>[6]Main!$K$5-[6]Main!$K$6</f>
        <v>27440</v>
      </c>
      <c r="G3" s="22">
        <f>+E3-F3</f>
        <v>1945344.3590615501</v>
      </c>
      <c r="H3" s="22">
        <f>+[6]Main!$K$3</f>
        <v>10406.627415000001</v>
      </c>
      <c r="I3" s="196" t="s">
        <v>616</v>
      </c>
      <c r="J3" s="40">
        <v>45467</v>
      </c>
      <c r="K3" s="27">
        <f>+[6]Model!$BZ$49</f>
        <v>139.74223695214539</v>
      </c>
      <c r="L3" s="28">
        <f>K3/D3-1</f>
        <v>-0.26284624702144121</v>
      </c>
      <c r="M3" s="36">
        <f>+[6]Model!$BZ$45</f>
        <v>0.08</v>
      </c>
      <c r="N3" s="28">
        <f>+[6]Model!$BZ$47</f>
        <v>0</v>
      </c>
      <c r="O3" s="106">
        <f>+[6]Model!$BZ$46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+[6]Model!$BO$33</f>
        <v>0.51665847665847664</v>
      </c>
      <c r="U3" s="27">
        <f>+[6]Model!$BP$33</f>
        <v>2.9001048517777144</v>
      </c>
      <c r="V3" s="27">
        <f>+[6]Model!$BQ$33</f>
        <v>2.7473266371175273</v>
      </c>
      <c r="W3" s="33">
        <f>+[6]Model!$BR$33</f>
        <v>4.2487251286221426</v>
      </c>
      <c r="X3" s="20">
        <v>1994</v>
      </c>
    </row>
    <row r="4" spans="1:24" s="20" customFormat="1" x14ac:dyDescent="0.2">
      <c r="A4" s="176" t="s">
        <v>253</v>
      </c>
      <c r="B4" s="5" t="s">
        <v>23</v>
      </c>
      <c r="C4" s="20" t="s">
        <v>24</v>
      </c>
      <c r="D4" s="21">
        <v>167.48</v>
      </c>
      <c r="E4" s="22">
        <f>+D4*[7]Main!$G$3</f>
        <v>474638.31999999995</v>
      </c>
      <c r="F4" s="22">
        <f>+[7]Main!$G$5-[7]Main!$G$6</f>
        <v>-76208</v>
      </c>
      <c r="G4" s="22">
        <f>+E4-F4</f>
        <v>550846.31999999995</v>
      </c>
      <c r="H4" s="22">
        <f>+[7]Main!$G$3</f>
        <v>2834</v>
      </c>
      <c r="I4" s="203" t="s">
        <v>619</v>
      </c>
      <c r="J4" s="40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76" t="s">
        <v>253</v>
      </c>
      <c r="B5" s="5" t="s">
        <v>25</v>
      </c>
      <c r="C5" s="20" t="s">
        <v>25</v>
      </c>
      <c r="D5" s="21">
        <v>227.79</v>
      </c>
      <c r="E5" s="22">
        <f>+D5*[8]Main!$L$3</f>
        <v>268336.62</v>
      </c>
      <c r="F5" s="22">
        <f>+[8]Main!$L$5-[8]Main!$L$6</f>
        <v>8195</v>
      </c>
      <c r="G5" s="22">
        <f>E5-F5</f>
        <v>260141.62</v>
      </c>
      <c r="H5" s="22"/>
      <c r="I5" s="23" t="s">
        <v>14</v>
      </c>
      <c r="J5" s="40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76" t="s">
        <v>253</v>
      </c>
      <c r="B6" s="5" t="s">
        <v>21</v>
      </c>
      <c r="C6" s="20" t="s">
        <v>22</v>
      </c>
      <c r="D6" s="21">
        <v>265.39999999999998</v>
      </c>
      <c r="E6" s="22">
        <f>+D6*[9]Main!$M$3</f>
        <v>258234.19999999998</v>
      </c>
      <c r="F6" s="22">
        <f>+[9]Main!$M$5-[9]Main!$M$6</f>
        <v>17653</v>
      </c>
      <c r="G6" s="22">
        <f>E6-F6</f>
        <v>240581.19999999998</v>
      </c>
      <c r="H6" s="22">
        <f>+[9]Main!$M$3</f>
        <v>973</v>
      </c>
      <c r="I6" s="213" t="s">
        <v>619</v>
      </c>
      <c r="J6" s="40">
        <v>45555</v>
      </c>
      <c r="K6" s="27">
        <f>+[9]Model!$AE$65</f>
        <v>170.42672158668651</v>
      </c>
      <c r="L6" s="28">
        <f>+K6/D6-1</f>
        <v>-0.35784957955280139</v>
      </c>
      <c r="M6" s="28">
        <f>+[9]Model!$AE$63</f>
        <v>0.08</v>
      </c>
      <c r="N6" s="28">
        <f>+[9]Model!$AE$62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76"/>
      <c r="B7" s="5" t="s">
        <v>256</v>
      </c>
      <c r="C7" s="76" t="s">
        <v>256</v>
      </c>
      <c r="D7" s="143">
        <v>213.6</v>
      </c>
      <c r="E7" s="65">
        <f>D7*H7</f>
        <v>193958.50043040002</v>
      </c>
      <c r="F7" s="65">
        <f>[10]Main!$M$5-[10]Main!$M$6</f>
        <v>-36234</v>
      </c>
      <c r="G7" s="22">
        <f>E7-F7</f>
        <v>230192.50043040002</v>
      </c>
      <c r="H7" s="65">
        <f>[10]Main!$M$3</f>
        <v>908.04541400000005</v>
      </c>
      <c r="I7" s="167" t="s">
        <v>413</v>
      </c>
      <c r="J7" s="95">
        <v>45056</v>
      </c>
      <c r="X7" s="66">
        <v>1911</v>
      </c>
    </row>
    <row r="8" spans="1:24" s="20" customFormat="1" x14ac:dyDescent="0.2">
      <c r="A8" s="176" t="s">
        <v>253</v>
      </c>
      <c r="B8" s="5" t="s">
        <v>29</v>
      </c>
      <c r="C8" s="20" t="s">
        <v>30</v>
      </c>
      <c r="D8" s="21">
        <v>919.25</v>
      </c>
      <c r="E8" s="22">
        <f>+D8*[11]Main!$L$3</f>
        <v>183850</v>
      </c>
      <c r="F8" s="22">
        <f>+[11]Main!$L$5-[11]Main!$L$6</f>
        <v>3926</v>
      </c>
      <c r="G8" s="22">
        <f t="shared" ref="G8" si="0">E8-F8</f>
        <v>179924</v>
      </c>
      <c r="H8" s="22"/>
      <c r="I8" s="23" t="s">
        <v>14</v>
      </c>
      <c r="J8" s="40">
        <v>45515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76" t="s">
        <v>253</v>
      </c>
      <c r="B9" s="5" t="s">
        <v>40</v>
      </c>
      <c r="C9" s="20" t="s">
        <v>41</v>
      </c>
      <c r="D9" s="21">
        <v>161.19</v>
      </c>
      <c r="E9" s="22">
        <f>+D9*[12]Main!$L$3</f>
        <v>40897.610370000002</v>
      </c>
      <c r="F9" s="22">
        <f>+[12]Main!$L$5-[12]Main!$L$6</f>
        <v>432.39900000000011</v>
      </c>
      <c r="G9" s="22">
        <f t="shared" ref="G9:G14" si="1">E9-F9</f>
        <v>40465.211370000005</v>
      </c>
      <c r="H9" s="22">
        <f>+[12]Main!$L$3</f>
        <v>253.72300000000001</v>
      </c>
      <c r="I9" s="34" t="s">
        <v>14</v>
      </c>
      <c r="J9" s="95">
        <v>45003</v>
      </c>
      <c r="X9" s="66">
        <v>2002</v>
      </c>
    </row>
    <row r="10" spans="1:24" x14ac:dyDescent="0.2">
      <c r="A10" s="176" t="s">
        <v>253</v>
      </c>
      <c r="B10" s="128" t="s">
        <v>148</v>
      </c>
      <c r="C10" s="20" t="s">
        <v>149</v>
      </c>
      <c r="D10" s="21">
        <v>36.33</v>
      </c>
      <c r="E10" s="22">
        <f>D10*[13]Main!$L$3</f>
        <v>87195.887309999991</v>
      </c>
      <c r="F10" s="22">
        <f>[13]Main!$L$5-[13]Main!$L$6</f>
        <v>2585</v>
      </c>
      <c r="G10" s="22">
        <f>E10-F10</f>
        <v>84610.887309999991</v>
      </c>
      <c r="H10" s="22">
        <f>+[13]Main!$L$3</f>
        <v>2400.107</v>
      </c>
      <c r="I10" s="195" t="s">
        <v>616</v>
      </c>
      <c r="J10" s="95">
        <v>45446</v>
      </c>
    </row>
    <row r="11" spans="1:24" x14ac:dyDescent="0.2">
      <c r="A11" s="176" t="s">
        <v>253</v>
      </c>
      <c r="B11" s="5" t="s">
        <v>50</v>
      </c>
      <c r="C11" s="20" t="s">
        <v>51</v>
      </c>
      <c r="D11" s="21">
        <v>247.25</v>
      </c>
      <c r="E11" s="22">
        <f>+D11*H11</f>
        <v>62307</v>
      </c>
      <c r="F11" s="22">
        <f>+[14]Main!$P$5-[14]Main!$P$6</f>
        <v>2134</v>
      </c>
      <c r="G11" s="22">
        <f t="shared" si="1"/>
        <v>60173</v>
      </c>
      <c r="H11" s="23">
        <f>+[14]Main!$P$3</f>
        <v>252</v>
      </c>
      <c r="I11" s="141" t="s">
        <v>382</v>
      </c>
      <c r="J11" s="40">
        <v>45006</v>
      </c>
      <c r="X11" s="66">
        <v>2005</v>
      </c>
    </row>
    <row r="12" spans="1:24" x14ac:dyDescent="0.2">
      <c r="A12" s="176" t="s">
        <v>253</v>
      </c>
      <c r="B12" s="5" t="s">
        <v>44</v>
      </c>
      <c r="C12" s="20" t="s">
        <v>45</v>
      </c>
      <c r="D12" s="21">
        <v>114.02</v>
      </c>
      <c r="E12" s="22">
        <f>+D12*[15]Main!$M$3</f>
        <v>35843.441220000001</v>
      </c>
      <c r="F12" s="22">
        <f>+[15]Main!$M$5-[15]Main!$M$6</f>
        <v>5027.4579999999996</v>
      </c>
      <c r="G12" s="22">
        <f t="shared" si="1"/>
        <v>30815.983220000002</v>
      </c>
      <c r="H12" s="22">
        <f>+[15]Main!$M$3</f>
        <v>314.36099999999999</v>
      </c>
      <c r="I12" s="35" t="s">
        <v>14</v>
      </c>
      <c r="X12" s="66">
        <v>2012</v>
      </c>
    </row>
    <row r="13" spans="1:24" x14ac:dyDescent="0.2">
      <c r="A13" s="176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+[16]Main!$M$5-[16]Main!$M$6</f>
        <v>2838.5529999999999</v>
      </c>
      <c r="G13" s="22">
        <f t="shared" si="1"/>
        <v>26094.60988425</v>
      </c>
      <c r="H13" s="22">
        <f>+[16]Main!$M$3</f>
        <v>154.847005</v>
      </c>
      <c r="I13" s="49" t="s">
        <v>14</v>
      </c>
      <c r="J13" s="40">
        <v>45512</v>
      </c>
      <c r="X13" s="66">
        <v>2007</v>
      </c>
    </row>
    <row r="14" spans="1:24" x14ac:dyDescent="0.2">
      <c r="A14" s="176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65">
        <f>+[17]Main!$O$5-[17]Main!$O$6</f>
        <v>970</v>
      </c>
      <c r="G14" s="22">
        <f t="shared" si="1"/>
        <v>36895.572005250004</v>
      </c>
      <c r="H14" s="65">
        <f>+[17]Main!$O$3</f>
        <v>337.15227500000003</v>
      </c>
      <c r="I14" s="94" t="s">
        <v>200</v>
      </c>
      <c r="J14" s="95">
        <v>45514</v>
      </c>
      <c r="X14" s="66">
        <v>2010</v>
      </c>
    </row>
    <row r="15" spans="1:24" s="20" customFormat="1" x14ac:dyDescent="0.2">
      <c r="A15" s="176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+[18]Main!$J$5-[18]Main!$J$6</f>
        <v>930</v>
      </c>
      <c r="G15" s="22">
        <f>+E15-F15</f>
        <v>19424.8178625</v>
      </c>
      <c r="H15" s="22">
        <f>+[18]Main!$J$3</f>
        <v>73.350695000000002</v>
      </c>
      <c r="I15" s="213" t="s">
        <v>616</v>
      </c>
      <c r="J15" s="40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76" t="s">
        <v>253</v>
      </c>
      <c r="B16" s="128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+[19]Main!$K$5-[19]Main!$K$6</f>
        <v>1165</v>
      </c>
      <c r="G16" s="22">
        <f>+E16-F16</f>
        <v>13807.145328000002</v>
      </c>
      <c r="H16" s="22">
        <f>+[19]Main!$K$3</f>
        <v>168.22635200000002</v>
      </c>
      <c r="I16" s="92" t="s">
        <v>200</v>
      </c>
      <c r="J16" s="40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76" t="s">
        <v>253</v>
      </c>
      <c r="B17" s="5" t="s">
        <v>296</v>
      </c>
      <c r="C17" s="97" t="s">
        <v>176</v>
      </c>
      <c r="D17" s="21">
        <v>66.94</v>
      </c>
      <c r="E17" s="22">
        <f>+D17*H17</f>
        <v>20603.4100521</v>
      </c>
      <c r="F17" s="22">
        <f>+[20]Main!$J$5-[20]Main!$J$6</f>
        <v>7958.5609999999997</v>
      </c>
      <c r="G17" s="22">
        <f>E17-F17</f>
        <v>12644.8490521</v>
      </c>
      <c r="H17" s="22">
        <f>+[20]Main!$J$3</f>
        <v>307.78921500000001</v>
      </c>
      <c r="I17" s="213" t="s">
        <v>619</v>
      </c>
      <c r="J17" s="40">
        <v>45555</v>
      </c>
      <c r="X17" s="66">
        <v>2011</v>
      </c>
    </row>
    <row r="18" spans="1:24" s="20" customFormat="1" x14ac:dyDescent="0.2">
      <c r="A18" s="176" t="s">
        <v>253</v>
      </c>
      <c r="B18" s="214" t="s">
        <v>68</v>
      </c>
      <c r="C18" s="215" t="s">
        <v>69</v>
      </c>
      <c r="D18" s="216">
        <v>472.5</v>
      </c>
      <c r="E18" s="217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76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76" t="s">
        <v>253</v>
      </c>
      <c r="B20" s="146" t="s">
        <v>396</v>
      </c>
      <c r="C20" s="176" t="s">
        <v>504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76" t="s">
        <v>253</v>
      </c>
      <c r="B21" s="121" t="s">
        <v>329</v>
      </c>
      <c r="C21" s="127" t="s">
        <v>376</v>
      </c>
      <c r="D21" s="66">
        <v>25.54</v>
      </c>
      <c r="E21" s="65">
        <v>4800</v>
      </c>
      <c r="X21" s="66">
        <v>2012</v>
      </c>
    </row>
    <row r="22" spans="1:24" x14ac:dyDescent="0.2">
      <c r="A22" s="176" t="s">
        <v>253</v>
      </c>
      <c r="B22" s="142" t="s">
        <v>389</v>
      </c>
      <c r="C22" s="142" t="s">
        <v>390</v>
      </c>
      <c r="D22" s="66">
        <v>10.88</v>
      </c>
      <c r="E22" s="65">
        <v>3000</v>
      </c>
    </row>
    <row r="23" spans="1:24" x14ac:dyDescent="0.2">
      <c r="B23" s="110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76" t="s">
        <v>253</v>
      </c>
      <c r="B24" s="110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76" t="s">
        <v>253</v>
      </c>
      <c r="B25" s="110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76" t="s">
        <v>253</v>
      </c>
      <c r="B26" s="110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76" t="s">
        <v>253</v>
      </c>
      <c r="B27" s="110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76" t="s">
        <v>253</v>
      </c>
      <c r="B28" s="166" t="s">
        <v>432</v>
      </c>
      <c r="C28" s="166" t="s">
        <v>433</v>
      </c>
      <c r="D28" s="21"/>
      <c r="E28" s="22"/>
      <c r="F28" s="22"/>
      <c r="G28" s="22"/>
      <c r="H28" s="22"/>
      <c r="I28" s="23"/>
      <c r="J28" s="95"/>
    </row>
    <row r="29" spans="1:24" x14ac:dyDescent="0.2">
      <c r="A29" s="176" t="s">
        <v>253</v>
      </c>
      <c r="B29" s="166" t="s">
        <v>430</v>
      </c>
      <c r="C29" s="166" t="s">
        <v>431</v>
      </c>
      <c r="D29" s="21"/>
      <c r="E29" s="22"/>
      <c r="F29" s="65"/>
      <c r="G29" s="22"/>
      <c r="H29" s="65"/>
      <c r="I29" s="94"/>
      <c r="J29" s="95"/>
    </row>
    <row r="30" spans="1:24" x14ac:dyDescent="0.2">
      <c r="A30" s="176" t="s">
        <v>253</v>
      </c>
      <c r="B30" s="178" t="s">
        <v>509</v>
      </c>
      <c r="C30" s="176" t="s">
        <v>510</v>
      </c>
      <c r="D30" s="21"/>
      <c r="E30" s="22"/>
    </row>
    <row r="31" spans="1:24" x14ac:dyDescent="0.2">
      <c r="A31" s="176" t="s">
        <v>253</v>
      </c>
      <c r="B31" s="178" t="s">
        <v>502</v>
      </c>
      <c r="C31" s="176" t="s">
        <v>503</v>
      </c>
      <c r="D31" s="21"/>
      <c r="E31" s="22"/>
    </row>
    <row r="32" spans="1:24" x14ac:dyDescent="0.2">
      <c r="A32" s="176" t="s">
        <v>253</v>
      </c>
      <c r="B32" s="178" t="s">
        <v>511</v>
      </c>
      <c r="C32" s="176" t="s">
        <v>512</v>
      </c>
      <c r="D32" s="21"/>
      <c r="E32" s="22"/>
    </row>
    <row r="33" spans="1:24" x14ac:dyDescent="0.2">
      <c r="B33" s="110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76" t="s">
        <v>253</v>
      </c>
      <c r="B34" s="166" t="s">
        <v>438</v>
      </c>
      <c r="C34" s="166" t="s">
        <v>439</v>
      </c>
      <c r="D34" s="21"/>
      <c r="E34" s="22"/>
    </row>
    <row r="35" spans="1:24" x14ac:dyDescent="0.2">
      <c r="A35" s="192" t="s">
        <v>253</v>
      </c>
      <c r="B35" s="166" t="s">
        <v>440</v>
      </c>
      <c r="C35" s="166" t="s">
        <v>441</v>
      </c>
      <c r="D35" s="21"/>
      <c r="E35" s="22"/>
    </row>
    <row r="36" spans="1:24" x14ac:dyDescent="0.2">
      <c r="A36" s="176" t="s">
        <v>253</v>
      </c>
      <c r="B36" s="166" t="s">
        <v>442</v>
      </c>
      <c r="C36" s="166" t="s">
        <v>89</v>
      </c>
      <c r="D36" s="21"/>
      <c r="E36" s="22"/>
    </row>
    <row r="37" spans="1:24" x14ac:dyDescent="0.2">
      <c r="A37" s="176" t="s">
        <v>253</v>
      </c>
      <c r="B37" s="110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76" t="s">
        <v>253</v>
      </c>
      <c r="B38" s="110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76" t="s">
        <v>253</v>
      </c>
      <c r="B39" s="176" t="s">
        <v>493</v>
      </c>
      <c r="C39" s="176" t="s">
        <v>494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76" t="s">
        <v>253</v>
      </c>
      <c r="B40" s="176" t="s">
        <v>497</v>
      </c>
      <c r="C40" s="176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2" t="s">
        <v>253</v>
      </c>
      <c r="B41" s="5" t="s">
        <v>582</v>
      </c>
      <c r="C41" s="192" t="s">
        <v>583</v>
      </c>
      <c r="D41" s="21">
        <v>32.659999999999997</v>
      </c>
      <c r="E41" s="22">
        <f>+D41*H41</f>
        <v>3319.1307980999995</v>
      </c>
      <c r="F41" s="22">
        <f>+[21]Main!$M$5-[21]Main!$M$6</f>
        <v>487.66099999999994</v>
      </c>
      <c r="G41" s="22">
        <f>+E41-F41</f>
        <v>2831.4697980999995</v>
      </c>
      <c r="H41" s="22">
        <f>+[21]Main!$M$3</f>
        <v>101.626785</v>
      </c>
      <c r="I41" s="234" t="s">
        <v>619</v>
      </c>
      <c r="J41" s="40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2" t="s">
        <v>253</v>
      </c>
      <c r="B42" s="5" t="s">
        <v>566</v>
      </c>
      <c r="C42" s="192" t="s">
        <v>567</v>
      </c>
      <c r="D42" s="21">
        <v>11.1</v>
      </c>
      <c r="E42" s="22">
        <f>+D42*H42</f>
        <v>3353.2079243999997</v>
      </c>
      <c r="F42" s="22">
        <f>+[22]Main!$H$5-[22]Main!$H$6</f>
        <v>1019.114</v>
      </c>
      <c r="G42" s="22">
        <f>+E42-F42</f>
        <v>2334.0939243999997</v>
      </c>
      <c r="H42" s="22">
        <f>+[22]Main!$H$3</f>
        <v>302.09080399999999</v>
      </c>
      <c r="I42" s="234" t="s">
        <v>619</v>
      </c>
      <c r="J42" s="40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76"/>
      <c r="B43" s="5" t="s">
        <v>620</v>
      </c>
      <c r="C43" s="200" t="s">
        <v>620</v>
      </c>
      <c r="D43" s="21">
        <v>13.22</v>
      </c>
      <c r="E43" s="22">
        <f>+D43*H43</f>
        <v>5412.6671779000008</v>
      </c>
      <c r="F43" s="22">
        <f>+[23]Main!$J$5-[23]Main!$J$6</f>
        <v>4999</v>
      </c>
      <c r="G43" s="22">
        <f>+E43-F43</f>
        <v>413.66717790000075</v>
      </c>
      <c r="H43" s="22">
        <f>+[23]Main!$J$3</f>
        <v>409.43019500000003</v>
      </c>
      <c r="I43" s="201" t="s">
        <v>619</v>
      </c>
      <c r="J43" s="40">
        <v>45540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76" t="s">
        <v>253</v>
      </c>
      <c r="B44" s="176" t="s">
        <v>498</v>
      </c>
      <c r="C44" s="176" t="s">
        <v>499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76" t="s">
        <v>253</v>
      </c>
      <c r="B45" s="176" t="s">
        <v>501</v>
      </c>
      <c r="C45" s="176" t="s">
        <v>500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76" t="s">
        <v>253</v>
      </c>
      <c r="B46" s="176" t="s">
        <v>515</v>
      </c>
      <c r="C46" s="176" t="s">
        <v>516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76" t="s">
        <v>253</v>
      </c>
      <c r="B47" s="176" t="s">
        <v>518</v>
      </c>
      <c r="C47" s="176" t="s">
        <v>519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76" t="s">
        <v>253</v>
      </c>
      <c r="B48" s="176" t="s">
        <v>524</v>
      </c>
      <c r="C48" s="176" t="s">
        <v>525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76" t="s">
        <v>253</v>
      </c>
      <c r="B49" s="176" t="s">
        <v>526</v>
      </c>
      <c r="C49" s="176" t="s">
        <v>527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76" t="s">
        <v>253</v>
      </c>
      <c r="B50" s="176" t="s">
        <v>530</v>
      </c>
      <c r="C50" s="176" t="s">
        <v>531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76" t="s">
        <v>253</v>
      </c>
      <c r="B51" s="176" t="s">
        <v>544</v>
      </c>
      <c r="C51" s="176" t="s">
        <v>545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90" t="s">
        <v>253</v>
      </c>
      <c r="B52" s="190" t="s">
        <v>550</v>
      </c>
      <c r="C52" s="190" t="s">
        <v>551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90" t="s">
        <v>253</v>
      </c>
      <c r="B53" s="190" t="s">
        <v>552</v>
      </c>
      <c r="C53" s="190" t="s">
        <v>553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92" t="s">
        <v>253</v>
      </c>
      <c r="B54" s="192" t="s">
        <v>568</v>
      </c>
      <c r="C54" s="192" t="s">
        <v>569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92" t="s">
        <v>253</v>
      </c>
      <c r="B55" s="192" t="s">
        <v>570</v>
      </c>
      <c r="C55" s="192" t="s">
        <v>571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92" t="s">
        <v>253</v>
      </c>
      <c r="B56" s="192" t="s">
        <v>572</v>
      </c>
      <c r="C56" s="192" t="s">
        <v>573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92" t="s">
        <v>253</v>
      </c>
      <c r="B57" s="192" t="s">
        <v>578</v>
      </c>
      <c r="C57" s="192" t="s">
        <v>579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92" t="s">
        <v>253</v>
      </c>
      <c r="B58" s="192" t="s">
        <v>580</v>
      </c>
      <c r="C58" s="192" t="s">
        <v>581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92" t="s">
        <v>253</v>
      </c>
      <c r="B59" s="192" t="s">
        <v>584</v>
      </c>
      <c r="C59" s="192" t="s">
        <v>585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92" t="s">
        <v>253</v>
      </c>
      <c r="B60" s="192" t="s">
        <v>586</v>
      </c>
      <c r="C60" s="192" t="s">
        <v>587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92" t="s">
        <v>253</v>
      </c>
      <c r="B61" s="192" t="s">
        <v>592</v>
      </c>
      <c r="C61" s="192" t="s">
        <v>593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92" t="s">
        <v>253</v>
      </c>
      <c r="B62" s="192" t="s">
        <v>594</v>
      </c>
      <c r="C62" s="192" t="s">
        <v>595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92"/>
      <c r="B63" s="211" t="s">
        <v>625</v>
      </c>
      <c r="C63" s="211" t="s">
        <v>626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92" t="s">
        <v>253</v>
      </c>
      <c r="B64" s="192" t="s">
        <v>596</v>
      </c>
      <c r="C64" s="192" t="s">
        <v>597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92" t="s">
        <v>253</v>
      </c>
      <c r="B65" s="192" t="s">
        <v>606</v>
      </c>
      <c r="C65" s="192" t="s">
        <v>607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92" t="s">
        <v>253</v>
      </c>
      <c r="B66" s="192" t="s">
        <v>610</v>
      </c>
      <c r="C66" s="192" t="s">
        <v>611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92" t="s">
        <v>253</v>
      </c>
      <c r="B67" s="192" t="s">
        <v>612</v>
      </c>
      <c r="C67" s="192" t="s">
        <v>613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92" t="s">
        <v>253</v>
      </c>
      <c r="B68" s="192" t="s">
        <v>614</v>
      </c>
      <c r="C68" s="192" t="s">
        <v>615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90"/>
      <c r="B69" s="190"/>
      <c r="C69" s="190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87" t="s">
        <v>248</v>
      </c>
      <c r="I70" s="147" t="s">
        <v>214</v>
      </c>
    </row>
    <row r="71" spans="1:23" x14ac:dyDescent="0.2">
      <c r="B71" s="147" t="s">
        <v>397</v>
      </c>
      <c r="E71" s="66">
        <v>30000</v>
      </c>
      <c r="I71" s="170" t="s">
        <v>456</v>
      </c>
    </row>
    <row r="72" spans="1:23" x14ac:dyDescent="0.2">
      <c r="B72" s="147" t="s">
        <v>398</v>
      </c>
      <c r="E72" s="66">
        <v>10000</v>
      </c>
      <c r="F72" s="147" t="s">
        <v>400</v>
      </c>
      <c r="G72" s="147" t="s">
        <v>399</v>
      </c>
      <c r="H72" s="147" t="s">
        <v>401</v>
      </c>
      <c r="I72" s="66">
        <v>2013</v>
      </c>
    </row>
    <row r="73" spans="1:23" x14ac:dyDescent="0.2">
      <c r="B73" s="147" t="s">
        <v>120</v>
      </c>
      <c r="E73" s="66">
        <v>10000</v>
      </c>
      <c r="F73" s="147"/>
      <c r="G73" s="147"/>
      <c r="H73" s="147"/>
    </row>
    <row r="74" spans="1:23" x14ac:dyDescent="0.2">
      <c r="B74" s="166" t="s">
        <v>98</v>
      </c>
      <c r="E74" s="66">
        <v>12000</v>
      </c>
    </row>
    <row r="75" spans="1:23" x14ac:dyDescent="0.2">
      <c r="B75" s="86" t="s">
        <v>276</v>
      </c>
      <c r="E75" s="66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9" r:id="rId5" xr:uid="{1647F4E6-0995-4C11-AEA1-85BE3B2789D3}"/>
    <hyperlink ref="B11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10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3" r:id="rId17" xr:uid="{16D30B47-CCE4-4C35-8F34-A4749495953D}"/>
    <hyperlink ref="B41" r:id="rId18" xr:uid="{6BBC6A3D-8C3C-4E31-9B81-B5DA45B7EED5}"/>
  </hyperlinks>
  <pageMargins left="0.7" right="0.7" top="0.75" bottom="0.75" header="0.3" footer="0.3"/>
  <pageSetup orientation="portrait" horizontalDpi="1200" verticalDpi="1200" r:id="rId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57" bestFit="1" customWidth="1"/>
    <col min="2" max="2" width="12" style="57" customWidth="1"/>
    <col min="3" max="3" width="11.7109375" style="57" customWidth="1"/>
    <col min="4" max="9" width="9.140625" style="57"/>
    <col min="10" max="10" width="10.85546875" style="57" customWidth="1"/>
    <col min="11" max="16384" width="9.140625" style="57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9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3" t="s">
        <v>229</v>
      </c>
      <c r="Q2" s="44" t="s">
        <v>230</v>
      </c>
      <c r="R2" s="44" t="s">
        <v>231</v>
      </c>
      <c r="S2" s="19">
        <v>2025</v>
      </c>
      <c r="T2" s="43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62" t="s">
        <v>421</v>
      </c>
      <c r="Z2" s="162" t="s">
        <v>422</v>
      </c>
    </row>
    <row r="3" spans="1:26" s="20" customFormat="1" x14ac:dyDescent="0.2">
      <c r="A3" s="66"/>
      <c r="B3" s="5" t="s">
        <v>13</v>
      </c>
      <c r="C3" s="20" t="s">
        <v>195</v>
      </c>
      <c r="D3" s="21">
        <v>400</v>
      </c>
      <c r="E3" s="22">
        <f>+D3*[24]Main!$M$3</f>
        <v>1060619.4696</v>
      </c>
      <c r="F3" s="22">
        <f>+[24]Main!$M$5-[24]Main!$M$6</f>
        <v>38382</v>
      </c>
      <c r="G3" s="22">
        <f t="shared" ref="G3:G4" si="0">+E3-F3</f>
        <v>1022237.4696</v>
      </c>
      <c r="H3" s="22">
        <f>+[24]Main!$M$3</f>
        <v>2651.5486740000001</v>
      </c>
      <c r="I3" s="195" t="s">
        <v>616</v>
      </c>
      <c r="J3" s="40">
        <v>45409</v>
      </c>
      <c r="K3" s="27"/>
      <c r="L3" s="28">
        <f>K3/D3-1</f>
        <v>-1</v>
      </c>
      <c r="M3" s="28">
        <f>+[24]Model!$AX$50</f>
        <v>0.08</v>
      </c>
      <c r="N3" s="28">
        <f>+[24]Model!$AX$51</f>
        <v>-0.05</v>
      </c>
      <c r="O3" s="28">
        <f>+[24]Model!$AX$52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63">
        <f>G3/Y3</f>
        <v>268.30379779527556</v>
      </c>
    </row>
    <row r="4" spans="1:26" s="20" customFormat="1" x14ac:dyDescent="0.2">
      <c r="A4" s="66"/>
      <c r="B4" s="5" t="s">
        <v>15</v>
      </c>
      <c r="C4" s="20" t="s">
        <v>16</v>
      </c>
      <c r="D4" s="21">
        <v>277.39999999999998</v>
      </c>
      <c r="E4" s="22">
        <f>+D4*[25]Main!$L$3*1000/HKD</f>
        <v>341793.77818543144</v>
      </c>
      <c r="F4" s="22">
        <f>([25]Main!$L$5-[25]Main!$L$6)/HKD*1000</f>
        <v>81912.914978725574</v>
      </c>
      <c r="G4" s="22">
        <f t="shared" si="0"/>
        <v>259880.86320670586</v>
      </c>
      <c r="H4" s="22">
        <f>+[25]Main!$L$3*1000</f>
        <v>9672</v>
      </c>
      <c r="I4" s="107" t="s">
        <v>200</v>
      </c>
      <c r="J4" s="40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88"/>
      <c r="B5" s="89" t="s">
        <v>281</v>
      </c>
      <c r="C5" s="88" t="s">
        <v>282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23"/>
      <c r="B6" s="123" t="s">
        <v>330</v>
      </c>
      <c r="C6" s="123" t="s">
        <v>331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99"/>
      <c r="B7" s="128" t="s">
        <v>299</v>
      </c>
      <c r="C7" s="99" t="s">
        <v>300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0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29"/>
      <c r="B8" s="128" t="s">
        <v>377</v>
      </c>
      <c r="C8" s="129" t="s">
        <v>378</v>
      </c>
      <c r="D8" s="21">
        <v>12</v>
      </c>
      <c r="E8" s="22">
        <f>+D8*H8</f>
        <v>19357.212852000001</v>
      </c>
      <c r="F8" s="133">
        <f>+[26]Main!$L$5-[26]Main!$L$6</f>
        <v>688.14800000000014</v>
      </c>
      <c r="G8" s="22">
        <f>E8-F8</f>
        <v>18669.064852</v>
      </c>
      <c r="H8" s="22">
        <f>+[26]Main!$L$3</f>
        <v>1613.101071</v>
      </c>
      <c r="I8" s="132" t="s">
        <v>200</v>
      </c>
      <c r="J8" s="40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63">
        <f>G8/Y8</f>
        <v>49.784172938666664</v>
      </c>
    </row>
    <row r="9" spans="1:26" s="20" customFormat="1" x14ac:dyDescent="0.2">
      <c r="B9" s="88" t="s">
        <v>279</v>
      </c>
      <c r="C9" s="88" t="s">
        <v>280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88" t="s">
        <v>283</v>
      </c>
      <c r="C10" s="88" t="s">
        <v>284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62" t="s">
        <v>76</v>
      </c>
      <c r="C11" s="88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0" t="s">
        <v>319</v>
      </c>
      <c r="C12" s="120" t="s">
        <v>320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0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26" t="s">
        <v>360</v>
      </c>
      <c r="C14" s="208" t="s">
        <v>624</v>
      </c>
      <c r="D14" s="21">
        <v>12.27</v>
      </c>
      <c r="E14" s="22">
        <f>+D14*H14</f>
        <v>2159.42446578</v>
      </c>
      <c r="F14" s="210">
        <f>+[27]Main!$K$5-[27]Main!$K$6</f>
        <v>-240.45199999999997</v>
      </c>
      <c r="G14" s="22">
        <f>+E14-F14</f>
        <v>2399.8764657799998</v>
      </c>
      <c r="H14" s="22">
        <f>+[27]Main!$K$3</f>
        <v>175.99221399999999</v>
      </c>
      <c r="I14" s="209" t="s">
        <v>619</v>
      </c>
      <c r="J14" s="40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2">
      <c r="B15" s="168" t="s">
        <v>322</v>
      </c>
      <c r="E15" s="152">
        <v>10000</v>
      </c>
    </row>
    <row r="16" spans="1:26" s="20" customFormat="1" x14ac:dyDescent="0.2">
      <c r="B16" s="202" t="s">
        <v>622</v>
      </c>
      <c r="C16" s="120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2">
      <c r="B17" s="202" t="s">
        <v>623</v>
      </c>
      <c r="C17" s="120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2">
      <c r="B18" s="120" t="s">
        <v>324</v>
      </c>
      <c r="C18" s="120" t="s">
        <v>325</v>
      </c>
    </row>
    <row r="19" spans="2:23" s="20" customFormat="1" x14ac:dyDescent="0.2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2">
      <c r="B20" s="58" t="s">
        <v>248</v>
      </c>
      <c r="F20" s="169" t="s">
        <v>214</v>
      </c>
    </row>
    <row r="21" spans="2:23" x14ac:dyDescent="0.2">
      <c r="B21" s="88" t="s">
        <v>278</v>
      </c>
      <c r="E21" s="152">
        <v>400000</v>
      </c>
    </row>
    <row r="22" spans="2:23" x14ac:dyDescent="0.2">
      <c r="B22" s="57" t="s">
        <v>247</v>
      </c>
      <c r="E22" s="152">
        <v>30000</v>
      </c>
    </row>
    <row r="23" spans="2:23" x14ac:dyDescent="0.2">
      <c r="B23" s="212" t="s">
        <v>629</v>
      </c>
      <c r="C23" s="212" t="s">
        <v>628</v>
      </c>
      <c r="D23" s="21">
        <v>44.5</v>
      </c>
      <c r="E23" s="22">
        <v>34050</v>
      </c>
    </row>
    <row r="24" spans="2:23" x14ac:dyDescent="0.2">
      <c r="B24" s="120" t="s">
        <v>318</v>
      </c>
      <c r="E24" s="152">
        <v>14500</v>
      </c>
      <c r="F24" s="57">
        <v>2015</v>
      </c>
      <c r="H24" s="168" t="s">
        <v>451</v>
      </c>
    </row>
    <row r="25" spans="2:23" x14ac:dyDescent="0.2">
      <c r="B25" s="168" t="s">
        <v>449</v>
      </c>
      <c r="E25" s="152"/>
      <c r="F25" s="57">
        <v>2021</v>
      </c>
      <c r="H25" s="212" t="s">
        <v>630</v>
      </c>
    </row>
    <row r="26" spans="2:23" x14ac:dyDescent="0.2">
      <c r="B26" s="168" t="s">
        <v>450</v>
      </c>
      <c r="E26" s="57">
        <v>1000</v>
      </c>
      <c r="H26" s="168" t="s">
        <v>452</v>
      </c>
    </row>
    <row r="27" spans="2:23" x14ac:dyDescent="0.2">
      <c r="B27" s="57" t="s">
        <v>246</v>
      </c>
      <c r="E27" s="57">
        <v>200</v>
      </c>
    </row>
    <row r="28" spans="2:23" x14ac:dyDescent="0.2">
      <c r="B28" s="120" t="s">
        <v>321</v>
      </c>
    </row>
    <row r="29" spans="2:23" x14ac:dyDescent="0.2">
      <c r="B29" s="120" t="s">
        <v>323</v>
      </c>
    </row>
    <row r="30" spans="2:23" x14ac:dyDescent="0.2">
      <c r="B30" s="120" t="s">
        <v>326</v>
      </c>
    </row>
    <row r="31" spans="2:23" x14ac:dyDescent="0.2">
      <c r="B31" s="120" t="s">
        <v>327</v>
      </c>
    </row>
    <row r="32" spans="2:23" x14ac:dyDescent="0.2">
      <c r="B32" s="120" t="s">
        <v>328</v>
      </c>
    </row>
    <row r="33" spans="2:2" x14ac:dyDescent="0.2">
      <c r="B33" s="126" t="s">
        <v>352</v>
      </c>
    </row>
    <row r="34" spans="2:2" x14ac:dyDescent="0.2">
      <c r="B34" s="57" t="s">
        <v>245</v>
      </c>
    </row>
    <row r="35" spans="2:2" x14ac:dyDescent="0.2">
      <c r="B35" s="126" t="s">
        <v>353</v>
      </c>
    </row>
    <row r="36" spans="2:2" x14ac:dyDescent="0.2">
      <c r="B36" s="153" t="s">
        <v>406</v>
      </c>
    </row>
    <row r="37" spans="2:2" x14ac:dyDescent="0.2">
      <c r="B37" s="126" t="s">
        <v>354</v>
      </c>
    </row>
    <row r="38" spans="2:2" x14ac:dyDescent="0.2">
      <c r="B38" s="126" t="s">
        <v>355</v>
      </c>
    </row>
    <row r="39" spans="2:2" x14ac:dyDescent="0.2">
      <c r="B39" s="126" t="s">
        <v>296</v>
      </c>
    </row>
    <row r="40" spans="2:2" x14ac:dyDescent="0.2">
      <c r="B40" s="126" t="s">
        <v>356</v>
      </c>
    </row>
    <row r="41" spans="2:2" x14ac:dyDescent="0.2">
      <c r="B41" s="126" t="s">
        <v>357</v>
      </c>
    </row>
    <row r="42" spans="2:2" x14ac:dyDescent="0.2">
      <c r="B42" s="126" t="s">
        <v>358</v>
      </c>
    </row>
    <row r="43" spans="2:2" x14ac:dyDescent="0.2">
      <c r="B43" s="126" t="s">
        <v>359</v>
      </c>
    </row>
    <row r="44" spans="2:2" x14ac:dyDescent="0.2">
      <c r="B44" s="126" t="s">
        <v>361</v>
      </c>
    </row>
    <row r="45" spans="2:2" x14ac:dyDescent="0.2">
      <c r="B45" s="126" t="s">
        <v>362</v>
      </c>
    </row>
    <row r="46" spans="2:2" x14ac:dyDescent="0.2">
      <c r="B46" s="126" t="s">
        <v>363</v>
      </c>
    </row>
    <row r="47" spans="2:2" x14ac:dyDescent="0.2">
      <c r="B47" s="126" t="s">
        <v>364</v>
      </c>
    </row>
    <row r="48" spans="2:2" x14ac:dyDescent="0.2">
      <c r="B48" s="126" t="s">
        <v>365</v>
      </c>
    </row>
    <row r="49" spans="2:2" x14ac:dyDescent="0.2">
      <c r="B49" s="126" t="s">
        <v>366</v>
      </c>
    </row>
    <row r="50" spans="2:2" x14ac:dyDescent="0.2">
      <c r="B50" s="126" t="s">
        <v>367</v>
      </c>
    </row>
    <row r="51" spans="2:2" x14ac:dyDescent="0.2">
      <c r="B51" s="126" t="s">
        <v>368</v>
      </c>
    </row>
    <row r="52" spans="2:2" x14ac:dyDescent="0.2">
      <c r="B52" s="126" t="s">
        <v>369</v>
      </c>
    </row>
    <row r="53" spans="2:2" x14ac:dyDescent="0.2">
      <c r="B53" s="126" t="s">
        <v>370</v>
      </c>
    </row>
    <row r="54" spans="2:2" x14ac:dyDescent="0.2">
      <c r="B54" s="126" t="s">
        <v>371</v>
      </c>
    </row>
    <row r="55" spans="2:2" x14ac:dyDescent="0.2">
      <c r="B55" s="126" t="s">
        <v>372</v>
      </c>
    </row>
    <row r="56" spans="2:2" x14ac:dyDescent="0.2">
      <c r="B56" s="126" t="s">
        <v>373</v>
      </c>
    </row>
    <row r="57" spans="2:2" x14ac:dyDescent="0.2">
      <c r="B57" s="212" t="s">
        <v>627</v>
      </c>
    </row>
    <row r="58" spans="2:2" x14ac:dyDescent="0.2">
      <c r="B58" s="212" t="s">
        <v>631</v>
      </c>
    </row>
    <row r="59" spans="2:2" x14ac:dyDescent="0.2">
      <c r="B59" s="212" t="s">
        <v>632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8" sqref="K8"/>
    </sheetView>
  </sheetViews>
  <sheetFormatPr defaultColWidth="9.140625" defaultRowHeight="12.75" x14ac:dyDescent="0.2"/>
  <cols>
    <col min="1" max="1" width="5" style="222" bestFit="1" customWidth="1"/>
    <col min="2" max="2" width="15" style="222" customWidth="1"/>
    <col min="3" max="16384" width="9.140625" style="222"/>
  </cols>
  <sheetData>
    <row r="1" spans="1:24" x14ac:dyDescent="0.2">
      <c r="A1" s="5" t="s">
        <v>142</v>
      </c>
    </row>
    <row r="2" spans="1:24" x14ac:dyDescent="0.2">
      <c r="A2" s="5"/>
      <c r="B2" s="222" t="s">
        <v>0</v>
      </c>
      <c r="C2" s="222" t="s">
        <v>1</v>
      </c>
      <c r="D2" s="223" t="s">
        <v>2</v>
      </c>
      <c r="E2" s="224" t="s">
        <v>3</v>
      </c>
      <c r="F2" s="223" t="s">
        <v>387</v>
      </c>
      <c r="G2" s="223" t="s">
        <v>5</v>
      </c>
      <c r="H2" s="223" t="s">
        <v>213</v>
      </c>
      <c r="I2" s="223" t="s">
        <v>388</v>
      </c>
      <c r="J2" s="223" t="s">
        <v>224</v>
      </c>
    </row>
    <row r="3" spans="1:24" x14ac:dyDescent="0.2">
      <c r="A3" s="222" t="s">
        <v>253</v>
      </c>
      <c r="B3" s="5" t="s">
        <v>179</v>
      </c>
      <c r="C3" s="222" t="s">
        <v>180</v>
      </c>
      <c r="D3" s="225">
        <v>375.71</v>
      </c>
      <c r="E3" s="224">
        <f>+D3*H3</f>
        <v>57472.452251789997</v>
      </c>
      <c r="F3" s="224">
        <f>+[28]Main!$N$5-[28]Main!$N$6</f>
        <v>1696.7459999999999</v>
      </c>
      <c r="G3" s="224">
        <f t="shared" ref="G3:G8" si="0">E3-F3</f>
        <v>55775.706251789998</v>
      </c>
      <c r="H3" s="224">
        <f>+[28]Main!$N$3</f>
        <v>152.970249</v>
      </c>
      <c r="I3" s="223" t="s">
        <v>14</v>
      </c>
      <c r="J3" s="226">
        <v>44783</v>
      </c>
      <c r="K3" s="227"/>
      <c r="L3" s="227"/>
      <c r="M3" s="227"/>
      <c r="N3" s="227"/>
      <c r="O3" s="227"/>
      <c r="P3" s="228"/>
      <c r="Q3" s="227"/>
      <c r="R3" s="227"/>
      <c r="S3" s="229"/>
      <c r="T3" s="228"/>
      <c r="U3" s="227"/>
      <c r="V3" s="227"/>
      <c r="W3" s="229"/>
    </row>
    <row r="4" spans="1:24" x14ac:dyDescent="0.2">
      <c r="A4" s="222" t="s">
        <v>253</v>
      </c>
      <c r="B4" s="5" t="s">
        <v>177</v>
      </c>
      <c r="C4" s="222" t="s">
        <v>178</v>
      </c>
      <c r="D4" s="225">
        <v>39.74</v>
      </c>
      <c r="E4" s="224">
        <f>+D4*[29]Main!$L$3*EUR</f>
        <v>53089.738980000009</v>
      </c>
      <c r="F4" s="224">
        <f>+([29]Main!$L$5-[29]Main!$L$6)*EUR</f>
        <v>-490.25400000000008</v>
      </c>
      <c r="G4" s="224">
        <f t="shared" si="0"/>
        <v>53579.99298000001</v>
      </c>
      <c r="H4" s="224"/>
      <c r="I4" s="223" t="s">
        <v>200</v>
      </c>
      <c r="J4" s="223"/>
      <c r="K4" s="227"/>
      <c r="L4" s="227"/>
      <c r="M4" s="227"/>
      <c r="N4" s="227"/>
      <c r="O4" s="227"/>
      <c r="P4" s="228"/>
      <c r="Q4" s="227"/>
      <c r="R4" s="227"/>
      <c r="S4" s="229"/>
      <c r="T4" s="228"/>
      <c r="U4" s="227"/>
      <c r="V4" s="227"/>
      <c r="W4" s="229"/>
    </row>
    <row r="5" spans="1:24" x14ac:dyDescent="0.2">
      <c r="A5" s="222" t="s">
        <v>253</v>
      </c>
      <c r="B5" s="5" t="s">
        <v>48</v>
      </c>
      <c r="C5" s="222" t="s">
        <v>49</v>
      </c>
      <c r="D5" s="225">
        <v>186</v>
      </c>
      <c r="E5" s="224">
        <f>+D5*H5</f>
        <v>51584.495999999999</v>
      </c>
      <c r="F5" s="224">
        <f>+[30]Main!$K$5-[30]Main!$K$6</f>
        <v>741.35200000000009</v>
      </c>
      <c r="G5" s="224">
        <f t="shared" si="0"/>
        <v>50843.144</v>
      </c>
      <c r="H5" s="224">
        <f>+[30]Main!$K$3</f>
        <v>277.33600000000001</v>
      </c>
      <c r="I5" s="223" t="s">
        <v>221</v>
      </c>
      <c r="J5" s="223"/>
      <c r="K5" s="227"/>
      <c r="L5" s="227"/>
      <c r="M5" s="227"/>
      <c r="N5" s="227"/>
      <c r="O5" s="227"/>
      <c r="P5" s="228"/>
      <c r="Q5" s="227"/>
      <c r="R5" s="227"/>
      <c r="S5" s="229"/>
      <c r="T5" s="228"/>
      <c r="U5" s="227"/>
      <c r="V5" s="227"/>
      <c r="W5" s="229"/>
    </row>
    <row r="6" spans="1:24" x14ac:dyDescent="0.2">
      <c r="A6" s="222" t="s">
        <v>253</v>
      </c>
      <c r="B6" s="5" t="s">
        <v>46</v>
      </c>
      <c r="C6" s="222" t="s">
        <v>47</v>
      </c>
      <c r="D6" s="225">
        <v>203.73</v>
      </c>
      <c r="E6" s="224">
        <f>+D6*H6</f>
        <v>44264.86632465</v>
      </c>
      <c r="F6" s="224">
        <f>+[31]Main!$L$5-[31]Main!$L$6</f>
        <v>-1005</v>
      </c>
      <c r="G6" s="224">
        <f t="shared" si="0"/>
        <v>45269.86632465</v>
      </c>
      <c r="H6" s="224">
        <f>+[31]Main!$L$3</f>
        <v>217.27220500000001</v>
      </c>
      <c r="I6" s="223" t="s">
        <v>14</v>
      </c>
      <c r="J6" s="223"/>
      <c r="K6" s="227"/>
      <c r="L6" s="227"/>
      <c r="M6" s="227"/>
      <c r="N6" s="227"/>
      <c r="O6" s="227"/>
      <c r="P6" s="228"/>
      <c r="Q6" s="227"/>
      <c r="R6" s="227"/>
      <c r="S6" s="229"/>
      <c r="T6" s="228"/>
      <c r="U6" s="227"/>
      <c r="V6" s="227"/>
      <c r="W6" s="229"/>
      <c r="X6" s="222">
        <v>1982</v>
      </c>
    </row>
    <row r="7" spans="1:24" x14ac:dyDescent="0.2">
      <c r="A7" s="222" t="s">
        <v>253</v>
      </c>
      <c r="B7" s="5" t="s">
        <v>61</v>
      </c>
      <c r="C7" s="222" t="s">
        <v>62</v>
      </c>
      <c r="D7" s="225">
        <v>236.61</v>
      </c>
      <c r="E7" s="224">
        <f>+D7*H7</f>
        <v>20601.316825649999</v>
      </c>
      <c r="F7" s="224">
        <f>+[32]Main!$M$5-[32]Main!$M$6</f>
        <v>-235.76700000000005</v>
      </c>
      <c r="G7" s="224">
        <f t="shared" si="0"/>
        <v>20837.083825649999</v>
      </c>
      <c r="H7" s="224">
        <f>+[32]Main!$M$3</f>
        <v>87.068664999999996</v>
      </c>
      <c r="I7" s="223" t="s">
        <v>200</v>
      </c>
      <c r="J7" s="226">
        <v>44795</v>
      </c>
      <c r="K7" s="227"/>
      <c r="L7" s="227"/>
      <c r="M7" s="227"/>
      <c r="N7" s="227"/>
      <c r="O7" s="227"/>
      <c r="P7" s="228"/>
      <c r="Q7" s="227"/>
      <c r="R7" s="227"/>
      <c r="S7" s="229"/>
      <c r="T7" s="228"/>
      <c r="U7" s="227"/>
      <c r="V7" s="227"/>
      <c r="W7" s="229"/>
    </row>
    <row r="8" spans="1:24" x14ac:dyDescent="0.2">
      <c r="B8" s="105" t="s">
        <v>219</v>
      </c>
      <c r="C8" s="222" t="s">
        <v>220</v>
      </c>
      <c r="D8" s="225">
        <v>122.15</v>
      </c>
      <c r="E8" s="224">
        <f>D8*H8/SEK</f>
        <v>31958.952028771135</v>
      </c>
      <c r="F8" s="224">
        <f>([33]Main!$L$5-[33]Main!$L$6)*EUR</f>
        <v>-3389.8630000000003</v>
      </c>
      <c r="G8" s="224">
        <f t="shared" si="0"/>
        <v>35348.815028771132</v>
      </c>
      <c r="H8" s="224">
        <f>[33]Main!$L$3</f>
        <v>2706.2939999999999</v>
      </c>
      <c r="I8" s="223" t="s">
        <v>382</v>
      </c>
      <c r="J8" s="226">
        <v>45056</v>
      </c>
      <c r="K8" s="227"/>
      <c r="L8" s="227"/>
      <c r="M8" s="227"/>
      <c r="N8" s="227"/>
      <c r="O8" s="229"/>
      <c r="P8" s="228"/>
      <c r="Q8" s="227"/>
      <c r="R8" s="227"/>
      <c r="S8" s="229"/>
      <c r="T8" s="228"/>
      <c r="U8" s="227"/>
      <c r="V8" s="227"/>
      <c r="W8" s="229"/>
      <c r="X8" s="222">
        <v>1992</v>
      </c>
    </row>
    <row r="9" spans="1:24" x14ac:dyDescent="0.2">
      <c r="A9" s="222" t="s">
        <v>253</v>
      </c>
      <c r="B9" s="230" t="s">
        <v>92</v>
      </c>
      <c r="C9" s="222" t="s">
        <v>92</v>
      </c>
      <c r="D9" s="225">
        <v>115.52</v>
      </c>
      <c r="E9" s="224">
        <v>13640</v>
      </c>
    </row>
    <row r="10" spans="1:24" x14ac:dyDescent="0.2">
      <c r="B10" s="222" t="s">
        <v>222</v>
      </c>
      <c r="C10" s="222" t="s">
        <v>223</v>
      </c>
      <c r="D10" s="231">
        <v>31.44</v>
      </c>
      <c r="E10" s="224">
        <v>2220</v>
      </c>
      <c r="F10" s="223"/>
      <c r="G10" s="223"/>
      <c r="H10" s="223"/>
      <c r="I10" s="223"/>
      <c r="J10" s="223"/>
      <c r="K10" s="227"/>
      <c r="L10" s="227"/>
      <c r="M10" s="227"/>
      <c r="N10" s="227"/>
      <c r="O10" s="227"/>
      <c r="P10" s="228"/>
      <c r="Q10" s="227"/>
      <c r="R10" s="227"/>
      <c r="S10" s="229"/>
      <c r="T10" s="228"/>
      <c r="U10" s="227"/>
      <c r="V10" s="227"/>
      <c r="W10" s="229"/>
    </row>
    <row r="11" spans="1:24" x14ac:dyDescent="0.2">
      <c r="B11" s="222" t="s">
        <v>316</v>
      </c>
      <c r="C11" s="222" t="s">
        <v>374</v>
      </c>
      <c r="D11" s="223"/>
      <c r="E11" s="223"/>
      <c r="F11" s="223"/>
      <c r="G11" s="223"/>
      <c r="H11" s="223"/>
      <c r="I11" s="223"/>
      <c r="J11" s="223"/>
    </row>
    <row r="12" spans="1:24" x14ac:dyDescent="0.2">
      <c r="B12" s="222" t="s">
        <v>317</v>
      </c>
      <c r="D12" s="223"/>
      <c r="E12" s="223"/>
      <c r="F12" s="223"/>
      <c r="G12" s="223"/>
      <c r="H12" s="223"/>
      <c r="I12" s="223"/>
      <c r="J12" s="223"/>
    </row>
    <row r="13" spans="1:24" x14ac:dyDescent="0.2">
      <c r="A13" s="222" t="s">
        <v>253</v>
      </c>
      <c r="B13" s="222" t="s">
        <v>492</v>
      </c>
      <c r="C13" s="222" t="s">
        <v>107</v>
      </c>
    </row>
    <row r="14" spans="1:24" x14ac:dyDescent="0.2">
      <c r="A14" s="222" t="s">
        <v>253</v>
      </c>
      <c r="B14" s="230" t="s">
        <v>90</v>
      </c>
      <c r="C14" s="222" t="s">
        <v>91</v>
      </c>
      <c r="D14" s="225">
        <v>206.61</v>
      </c>
      <c r="E14" s="224">
        <v>13880</v>
      </c>
    </row>
    <row r="15" spans="1:24" x14ac:dyDescent="0.2">
      <c r="A15" s="222" t="s">
        <v>253</v>
      </c>
      <c r="B15" s="222" t="s">
        <v>444</v>
      </c>
      <c r="C15" s="222" t="s">
        <v>443</v>
      </c>
    </row>
    <row r="16" spans="1:24" x14ac:dyDescent="0.2">
      <c r="A16" s="222" t="s">
        <v>253</v>
      </c>
      <c r="B16" s="222" t="s">
        <v>520</v>
      </c>
      <c r="C16" s="222" t="s">
        <v>521</v>
      </c>
    </row>
    <row r="17" spans="1:5" x14ac:dyDescent="0.2">
      <c r="A17" s="222" t="s">
        <v>253</v>
      </c>
      <c r="B17" s="222" t="s">
        <v>538</v>
      </c>
      <c r="C17" s="222" t="s">
        <v>539</v>
      </c>
    </row>
    <row r="18" spans="1:5" x14ac:dyDescent="0.2">
      <c r="A18" s="222" t="s">
        <v>253</v>
      </c>
      <c r="B18" s="222" t="s">
        <v>554</v>
      </c>
      <c r="C18" s="222" t="s">
        <v>555</v>
      </c>
    </row>
    <row r="19" spans="1:5" x14ac:dyDescent="0.2">
      <c r="A19" s="222" t="s">
        <v>253</v>
      </c>
      <c r="B19" s="222" t="s">
        <v>558</v>
      </c>
      <c r="C19" s="222" t="s">
        <v>559</v>
      </c>
    </row>
    <row r="20" spans="1:5" x14ac:dyDescent="0.2">
      <c r="A20" s="222" t="s">
        <v>253</v>
      </c>
      <c r="B20" s="222" t="s">
        <v>562</v>
      </c>
      <c r="C20" s="222" t="s">
        <v>563</v>
      </c>
    </row>
    <row r="22" spans="1:5" x14ac:dyDescent="0.2">
      <c r="B22" s="87" t="s">
        <v>248</v>
      </c>
    </row>
    <row r="23" spans="1:5" x14ac:dyDescent="0.2">
      <c r="B23" s="222" t="s">
        <v>405</v>
      </c>
      <c r="E23" s="222">
        <v>2400</v>
      </c>
    </row>
    <row r="24" spans="1:5" x14ac:dyDescent="0.2">
      <c r="B24" s="222" t="s">
        <v>384</v>
      </c>
      <c r="E24" s="222">
        <v>1500</v>
      </c>
    </row>
    <row r="25" spans="1:5" x14ac:dyDescent="0.2">
      <c r="B25" s="222" t="s">
        <v>386</v>
      </c>
      <c r="E25" s="222">
        <v>1000</v>
      </c>
    </row>
    <row r="26" spans="1:5" x14ac:dyDescent="0.2">
      <c r="B26" s="222" t="s">
        <v>404</v>
      </c>
      <c r="E26" s="222">
        <v>1000</v>
      </c>
    </row>
    <row r="27" spans="1:5" x14ac:dyDescent="0.2">
      <c r="B27" s="222" t="s">
        <v>375</v>
      </c>
    </row>
    <row r="28" spans="1:5" x14ac:dyDescent="0.2">
      <c r="B28" s="222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B33" sqref="B3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9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3" t="s">
        <v>229</v>
      </c>
      <c r="Q2" s="45" t="s">
        <v>230</v>
      </c>
      <c r="R2" s="45" t="s">
        <v>231</v>
      </c>
      <c r="S2" s="19">
        <v>2025</v>
      </c>
      <c r="T2" s="43" t="s">
        <v>228</v>
      </c>
      <c r="U2" s="18">
        <v>2023</v>
      </c>
      <c r="V2" s="18">
        <v>2024</v>
      </c>
      <c r="W2" s="19">
        <v>2025</v>
      </c>
      <c r="X2" s="46" t="s">
        <v>214</v>
      </c>
      <c r="Y2" s="162" t="s">
        <v>423</v>
      </c>
    </row>
    <row r="3" spans="1:27" x14ac:dyDescent="0.2">
      <c r="A3" s="176" t="s">
        <v>253</v>
      </c>
      <c r="B3" s="5" t="s">
        <v>7</v>
      </c>
      <c r="C3" s="20" t="s">
        <v>8</v>
      </c>
      <c r="D3" s="21">
        <v>426.78</v>
      </c>
      <c r="E3" s="22">
        <f>D3*[1]Main!$L$3</f>
        <v>3187619.82</v>
      </c>
      <c r="F3" s="22">
        <f>[1]Main!$L$5-[1]Main!$L$6</f>
        <v>38513</v>
      </c>
      <c r="G3" s="22">
        <f>+E3-F3</f>
        <v>3149106.82</v>
      </c>
      <c r="H3" s="22">
        <f>+[1]Main!$L$3</f>
        <v>7469</v>
      </c>
      <c r="I3" s="23" t="s">
        <v>14</v>
      </c>
      <c r="J3" s="61">
        <v>45152</v>
      </c>
      <c r="M3" s="204">
        <f>+[1]Model!$BT$48</f>
        <v>7.0000000000000007E-2</v>
      </c>
      <c r="AA3" s="172" t="s">
        <v>469</v>
      </c>
    </row>
    <row r="4" spans="1:27" x14ac:dyDescent="0.2">
      <c r="A4" s="66"/>
      <c r="B4" s="5" t="s">
        <v>15</v>
      </c>
      <c r="C4" s="20" t="s">
        <v>16</v>
      </c>
      <c r="D4" s="21">
        <v>391.4</v>
      </c>
      <c r="E4" s="22">
        <f>+D4*[25]Main!$L$3*1000/HKD</f>
        <v>482256.9746999924</v>
      </c>
      <c r="F4" s="22">
        <f>([25]Main!$L$5-[25]Main!$L$6)/HKD*1000</f>
        <v>81912.914978725574</v>
      </c>
      <c r="G4" s="22">
        <f>+E4-F4</f>
        <v>400344.05972126685</v>
      </c>
      <c r="H4" s="22"/>
      <c r="I4" s="23" t="s">
        <v>14</v>
      </c>
      <c r="M4" s="205"/>
    </row>
    <row r="5" spans="1:27" s="20" customFormat="1" x14ac:dyDescent="0.2">
      <c r="A5" s="176" t="s">
        <v>253</v>
      </c>
      <c r="B5" s="5" t="s">
        <v>19</v>
      </c>
      <c r="C5" s="20" t="s">
        <v>20</v>
      </c>
      <c r="D5" s="21">
        <v>532</v>
      </c>
      <c r="E5" s="22">
        <f>+D5*[34]Main!$N$4</f>
        <v>238336</v>
      </c>
      <c r="F5" s="22">
        <f>+[34]Main!$N$6-[34]Main!$N$7</f>
        <v>1888</v>
      </c>
      <c r="G5" s="22">
        <f t="shared" ref="G5:G8" si="0">+E5-F5</f>
        <v>236448</v>
      </c>
      <c r="H5" s="22">
        <f>+[34]Main!$N$4</f>
        <v>448</v>
      </c>
      <c r="I5" s="207" t="s">
        <v>619</v>
      </c>
      <c r="J5" s="40">
        <v>45548</v>
      </c>
      <c r="K5" s="24"/>
      <c r="L5" s="24"/>
      <c r="M5" s="206">
        <f>+[34]Model!$AP$36</f>
        <v>0.08</v>
      </c>
      <c r="N5" s="28">
        <f>+[34]Model!$AP$34</f>
        <v>0.01</v>
      </c>
      <c r="O5" s="28">
        <f>+[34]Model!$AP$35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76"/>
      <c r="B6" s="5" t="s">
        <v>259</v>
      </c>
      <c r="C6" s="76" t="s">
        <v>260</v>
      </c>
      <c r="D6" s="139">
        <v>12025</v>
      </c>
      <c r="E6" s="22">
        <f>D6*H6/JPY</f>
        <v>108755.68776016941</v>
      </c>
      <c r="F6" s="22">
        <f>([35]Main!$O$7-[35]Main!$O$8)/JPY</f>
        <v>3147.411085956328</v>
      </c>
      <c r="G6" s="22">
        <f t="shared" si="0"/>
        <v>105608.27667421309</v>
      </c>
      <c r="H6" s="22">
        <f>[35]Main!$O$4</f>
        <v>1238.413</v>
      </c>
      <c r="I6" s="140" t="s">
        <v>382</v>
      </c>
      <c r="J6" s="40">
        <v>44994</v>
      </c>
      <c r="K6" s="24"/>
      <c r="L6" s="24"/>
      <c r="M6" s="206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38"/>
      <c r="B7" s="5" t="s">
        <v>259</v>
      </c>
      <c r="C7" s="138" t="s">
        <v>383</v>
      </c>
      <c r="D7" s="21">
        <v>87.8</v>
      </c>
      <c r="E7" s="22">
        <f>D7*H7</f>
        <v>108732.6614</v>
      </c>
      <c r="F7" s="22">
        <f>([35]Main!$O$7-[35]Main!$O$8)/JPY</f>
        <v>3147.411085956328</v>
      </c>
      <c r="G7" s="22">
        <f t="shared" si="0"/>
        <v>105585.25031404367</v>
      </c>
      <c r="H7" s="22">
        <f>[35]Main!$O$4</f>
        <v>1238.413</v>
      </c>
      <c r="I7" s="140" t="s">
        <v>382</v>
      </c>
      <c r="J7" s="40">
        <v>44994</v>
      </c>
      <c r="K7" s="24"/>
      <c r="L7" s="24"/>
      <c r="M7" s="206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79"/>
      <c r="B8" s="79" t="s">
        <v>263</v>
      </c>
      <c r="C8" s="79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0"/>
      <c r="B9" s="5" t="s">
        <v>169</v>
      </c>
      <c r="C9" s="10" t="s">
        <v>170</v>
      </c>
      <c r="D9" s="10">
        <v>73.88</v>
      </c>
      <c r="E9" s="47">
        <f>+D9*H9</f>
        <v>57820.358567719995</v>
      </c>
      <c r="F9" s="47">
        <f>+[36]Main!$J$5-[36]Main!$J$6</f>
        <v>7078</v>
      </c>
      <c r="G9" s="22">
        <f t="shared" ref="G9" si="1">+E9-F9</f>
        <v>50742.358567719995</v>
      </c>
      <c r="H9" s="47">
        <f>+[36]Main!$J$3</f>
        <v>782.62531899999999</v>
      </c>
      <c r="I9" s="130" t="s">
        <v>351</v>
      </c>
      <c r="J9" s="61">
        <v>44946</v>
      </c>
    </row>
    <row r="10" spans="1:27" x14ac:dyDescent="0.2">
      <c r="A10" s="80"/>
      <c r="B10" s="10" t="s">
        <v>171</v>
      </c>
      <c r="C10" s="42" t="s">
        <v>232</v>
      </c>
      <c r="D10" s="47">
        <v>59910</v>
      </c>
      <c r="E10" s="47" cm="1">
        <f t="array" ref="E10">6975000/JPY</f>
        <v>50938.435697071494</v>
      </c>
    </row>
    <row r="11" spans="1:27" x14ac:dyDescent="0.2">
      <c r="A11" s="81"/>
      <c r="B11" s="81" t="s">
        <v>267</v>
      </c>
      <c r="C11" s="81" t="s">
        <v>268</v>
      </c>
      <c r="D11" s="47"/>
      <c r="E11" s="47"/>
    </row>
    <row r="12" spans="1:27" x14ac:dyDescent="0.2">
      <c r="A12" s="90"/>
      <c r="B12" s="90" t="s">
        <v>285</v>
      </c>
      <c r="C12" s="90" t="s">
        <v>286</v>
      </c>
      <c r="D12" s="47"/>
      <c r="E12" s="47"/>
    </row>
    <row r="13" spans="1:27" x14ac:dyDescent="0.2">
      <c r="A13" s="90"/>
      <c r="B13" s="5" t="s">
        <v>165</v>
      </c>
      <c r="C13" s="10" t="s">
        <v>166</v>
      </c>
      <c r="D13" s="10">
        <v>130.47999999999999</v>
      </c>
      <c r="E13" s="47">
        <f>+D13*H13</f>
        <v>36664.879999999997</v>
      </c>
      <c r="F13" s="47">
        <f>+[37]Main!$N$5-[37]Main!$N$6</f>
        <v>538</v>
      </c>
      <c r="G13" s="47">
        <f>+E13-F13</f>
        <v>36126.879999999997</v>
      </c>
      <c r="H13" s="10">
        <f>+[37]Main!$N$3</f>
        <v>281</v>
      </c>
      <c r="I13" s="60" t="s">
        <v>200</v>
      </c>
      <c r="J13" s="61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[38]Main!$L$5-[38]Main!$L$6</f>
        <v>1988</v>
      </c>
      <c r="G14" s="3">
        <f>+E14-F14</f>
        <v>20861.913459200001</v>
      </c>
      <c r="H14" s="3">
        <f>[38]Main!$L$3</f>
        <v>605.13542000000007</v>
      </c>
      <c r="I14" s="4" t="s">
        <v>382</v>
      </c>
      <c r="J14" s="137">
        <v>44987</v>
      </c>
      <c r="X14" s="1">
        <v>2004</v>
      </c>
      <c r="Y14" s="1">
        <v>56</v>
      </c>
      <c r="Z14" s="164">
        <f>G14/Y14</f>
        <v>372.53416891428571</v>
      </c>
    </row>
    <row r="15" spans="1:27" s="1" customFormat="1" x14ac:dyDescent="0.2">
      <c r="B15" s="124" t="s">
        <v>332</v>
      </c>
      <c r="C15" s="1" t="s">
        <v>333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7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470</v>
      </c>
      <c r="C18" s="1" t="s">
        <v>471</v>
      </c>
      <c r="D18" s="2"/>
      <c r="E18" s="3"/>
      <c r="F18" s="4"/>
      <c r="G18" s="4"/>
      <c r="H18" s="4"/>
    </row>
    <row r="19" spans="1:26" s="1" customFormat="1" x14ac:dyDescent="0.2">
      <c r="B19" s="1" t="s">
        <v>476</v>
      </c>
      <c r="D19" s="2"/>
      <c r="E19" s="3"/>
      <c r="F19" s="4"/>
      <c r="G19" s="4"/>
      <c r="H19" s="4"/>
    </row>
    <row r="20" spans="1:26" s="1" customFormat="1" x14ac:dyDescent="0.2">
      <c r="B20" s="1" t="s">
        <v>478</v>
      </c>
      <c r="C20" s="1" t="s">
        <v>479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105" t="s">
        <v>74</v>
      </c>
      <c r="C22" s="20" t="s">
        <v>75</v>
      </c>
      <c r="D22" s="21">
        <v>102.23</v>
      </c>
      <c r="E22" s="22">
        <f>+D22*[39]Main!$K$3</f>
        <v>20147.20788088</v>
      </c>
      <c r="F22" s="22">
        <f>+[39]Main!$K$5-[39]Main!$K$6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59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73" t="s">
        <v>482</v>
      </c>
      <c r="C24" s="173" t="s">
        <v>483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47">
        <f>E27</f>
        <v>31500</v>
      </c>
      <c r="Y27" s="10">
        <v>270</v>
      </c>
      <c r="Z27" s="164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57" t="s">
        <v>249</v>
      </c>
    </row>
    <row r="31" spans="1:26" x14ac:dyDescent="0.2">
      <c r="B31" s="147" t="s">
        <v>402</v>
      </c>
    </row>
    <row r="32" spans="1:26" x14ac:dyDescent="0.2">
      <c r="B32" s="172" t="s">
        <v>466</v>
      </c>
    </row>
    <row r="33" spans="2:10" x14ac:dyDescent="0.2">
      <c r="B33" s="168" t="s">
        <v>447</v>
      </c>
      <c r="E33" s="10">
        <v>100</v>
      </c>
      <c r="H33" s="168" t="s">
        <v>448</v>
      </c>
    </row>
    <row r="34" spans="2:10" x14ac:dyDescent="0.2">
      <c r="B34" s="172" t="s">
        <v>467</v>
      </c>
      <c r="H34" s="168"/>
      <c r="J34" s="172" t="s">
        <v>468</v>
      </c>
    </row>
    <row r="35" spans="2:10" x14ac:dyDescent="0.2">
      <c r="B35" s="172" t="s">
        <v>472</v>
      </c>
      <c r="H35" s="168"/>
      <c r="J35" s="172"/>
    </row>
    <row r="36" spans="2:10" x14ac:dyDescent="0.2">
      <c r="B36" s="172" t="s">
        <v>473</v>
      </c>
      <c r="H36" s="168"/>
      <c r="J36" s="172"/>
    </row>
    <row r="37" spans="2:10" x14ac:dyDescent="0.2">
      <c r="B37" s="172" t="s">
        <v>474</v>
      </c>
    </row>
    <row r="38" spans="2:10" x14ac:dyDescent="0.2">
      <c r="B38" s="172" t="s">
        <v>480</v>
      </c>
      <c r="J38" s="172" t="s">
        <v>481</v>
      </c>
    </row>
    <row r="39" spans="2:10" x14ac:dyDescent="0.2">
      <c r="B39" s="172" t="s">
        <v>475</v>
      </c>
    </row>
    <row r="40" spans="2:10" x14ac:dyDescent="0.2">
      <c r="B40" s="172" t="s">
        <v>477</v>
      </c>
    </row>
    <row r="41" spans="2:10" x14ac:dyDescent="0.2">
      <c r="B41" s="172"/>
    </row>
    <row r="42" spans="2:10" x14ac:dyDescent="0.2">
      <c r="B42" s="172" t="s">
        <v>465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3" sqref="N13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2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9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3" t="s">
        <v>229</v>
      </c>
      <c r="Q2" s="45" t="s">
        <v>230</v>
      </c>
      <c r="R2" s="45" t="s">
        <v>231</v>
      </c>
      <c r="S2" s="19">
        <v>2025</v>
      </c>
      <c r="T2" s="43" t="s">
        <v>228</v>
      </c>
      <c r="U2" s="18">
        <v>2023</v>
      </c>
      <c r="V2" s="18">
        <v>2024</v>
      </c>
      <c r="W2" s="19">
        <v>2025</v>
      </c>
      <c r="X2" s="46" t="s">
        <v>214</v>
      </c>
    </row>
    <row r="3" spans="1:24" s="47" customFormat="1" x14ac:dyDescent="0.2">
      <c r="A3" s="65"/>
      <c r="B3" s="47" t="s">
        <v>162</v>
      </c>
      <c r="C3" s="47" t="s">
        <v>163</v>
      </c>
      <c r="D3" s="63">
        <v>206.8</v>
      </c>
      <c r="E3" s="64">
        <v>427830</v>
      </c>
      <c r="F3" s="64"/>
      <c r="G3" s="64"/>
      <c r="H3" s="64"/>
      <c r="I3" s="64"/>
    </row>
    <row r="4" spans="1:24" s="47" customFormat="1" x14ac:dyDescent="0.2">
      <c r="A4" s="65"/>
      <c r="B4" s="47" t="s">
        <v>164</v>
      </c>
      <c r="C4" s="104" t="s">
        <v>315</v>
      </c>
      <c r="D4" s="63">
        <v>340.89</v>
      </c>
      <c r="E4" s="64">
        <v>329430</v>
      </c>
      <c r="F4" s="64"/>
      <c r="G4" s="64"/>
      <c r="H4" s="64"/>
      <c r="I4" s="64"/>
    </row>
    <row r="5" spans="1:24" s="47" customFormat="1" x14ac:dyDescent="0.2">
      <c r="A5" s="77"/>
      <c r="B5" s="77" t="s">
        <v>257</v>
      </c>
      <c r="C5" s="77" t="s">
        <v>258</v>
      </c>
      <c r="D5" s="63"/>
      <c r="E5" s="64"/>
      <c r="F5" s="64"/>
      <c r="G5" s="64"/>
      <c r="H5" s="64"/>
      <c r="I5" s="64"/>
    </row>
    <row r="6" spans="1:24" s="47" customFormat="1" x14ac:dyDescent="0.2">
      <c r="A6" s="78"/>
      <c r="B6" s="78" t="s">
        <v>261</v>
      </c>
      <c r="C6" s="78" t="s">
        <v>262</v>
      </c>
      <c r="D6" s="63"/>
      <c r="E6" s="64"/>
      <c r="F6" s="64"/>
      <c r="G6" s="64"/>
      <c r="H6" s="64"/>
      <c r="I6" s="64"/>
    </row>
    <row r="7" spans="1:24" s="20" customFormat="1" x14ac:dyDescent="0.2">
      <c r="A7" s="176" t="s">
        <v>253</v>
      </c>
      <c r="B7" s="128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[40]Main!$L$5-[40]Main!$L$6</f>
        <v>-2851</v>
      </c>
      <c r="G7" s="22">
        <f>E7-F7</f>
        <v>119466.20633988002</v>
      </c>
      <c r="H7" s="22">
        <f>+[40]Main!$L$3</f>
        <v>281.86987900000003</v>
      </c>
      <c r="I7" s="119" t="s">
        <v>200</v>
      </c>
      <c r="J7" s="40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47" customFormat="1" x14ac:dyDescent="0.2">
      <c r="A8" s="78"/>
      <c r="B8" s="160" t="s">
        <v>31</v>
      </c>
      <c r="C8" s="51" t="s">
        <v>32</v>
      </c>
      <c r="D8" s="54">
        <v>65</v>
      </c>
      <c r="E8" s="3">
        <f>D8*H8</f>
        <v>74360</v>
      </c>
      <c r="F8" s="64">
        <f>[41]Main!$M$5-[41]Main!$M$6</f>
        <v>5469</v>
      </c>
      <c r="G8" s="22">
        <f>E8-F8</f>
        <v>68891</v>
      </c>
      <c r="H8" s="64">
        <f>[41]Main!$M$3</f>
        <v>1144</v>
      </c>
      <c r="I8" s="161" t="s">
        <v>382</v>
      </c>
      <c r="J8" s="40">
        <v>45069</v>
      </c>
    </row>
    <row r="9" spans="1:24" x14ac:dyDescent="0.2">
      <c r="A9" s="80"/>
      <c r="B9" s="80" t="s">
        <v>265</v>
      </c>
      <c r="C9" s="80" t="s">
        <v>266</v>
      </c>
    </row>
    <row r="10" spans="1:24" x14ac:dyDescent="0.2">
      <c r="A10" s="81"/>
      <c r="B10" s="81" t="s">
        <v>269</v>
      </c>
      <c r="C10" s="81" t="s">
        <v>270</v>
      </c>
    </row>
    <row r="11" spans="1:24" s="47" customFormat="1" x14ac:dyDescent="0.2">
      <c r="A11" s="84"/>
      <c r="B11" s="53" t="s">
        <v>243</v>
      </c>
      <c r="C11" s="47" t="s">
        <v>161</v>
      </c>
      <c r="D11" s="63">
        <v>64.25</v>
      </c>
      <c r="E11" s="64">
        <v>41870</v>
      </c>
      <c r="F11" s="64"/>
      <c r="G11" s="64"/>
      <c r="H11" s="64"/>
      <c r="I11" s="64"/>
    </row>
    <row r="12" spans="1:24" s="47" customFormat="1" x14ac:dyDescent="0.2">
      <c r="A12" s="84"/>
      <c r="B12" s="84" t="s">
        <v>271</v>
      </c>
      <c r="C12" s="84" t="s">
        <v>272</v>
      </c>
      <c r="D12" s="63"/>
      <c r="E12" s="64"/>
      <c r="F12" s="64"/>
      <c r="G12" s="64"/>
      <c r="H12" s="64"/>
      <c r="I12" s="64"/>
    </row>
    <row r="13" spans="1:24" s="47" customFormat="1" x14ac:dyDescent="0.2">
      <c r="A13" s="84"/>
      <c r="B13" s="160" t="s">
        <v>636</v>
      </c>
      <c r="C13" s="220" t="s">
        <v>637</v>
      </c>
      <c r="D13" s="63">
        <v>22.7</v>
      </c>
      <c r="E13" s="64">
        <f>+D13*H13</f>
        <v>20079.375799999998</v>
      </c>
      <c r="F13" s="64">
        <f>+[42]Main!$L$5-[42]Main!$L$6</f>
        <v>7251</v>
      </c>
      <c r="G13" s="64">
        <f>+E13-F13</f>
        <v>12828.375799999998</v>
      </c>
      <c r="H13" s="64">
        <f>+[42]Main!$L$3</f>
        <v>884.55399999999997</v>
      </c>
      <c r="I13" s="221" t="s">
        <v>619</v>
      </c>
      <c r="J13" s="40">
        <v>45559</v>
      </c>
    </row>
    <row r="14" spans="1:24" s="47" customFormat="1" x14ac:dyDescent="0.2">
      <c r="A14" s="85"/>
      <c r="B14" s="85" t="s">
        <v>273</v>
      </c>
      <c r="C14" s="85" t="s">
        <v>274</v>
      </c>
      <c r="D14" s="63"/>
      <c r="E14" s="64"/>
      <c r="F14" s="64"/>
      <c r="G14" s="64"/>
      <c r="H14" s="64"/>
      <c r="I14" s="64"/>
    </row>
    <row r="15" spans="1:24" s="47" customFormat="1" x14ac:dyDescent="0.2">
      <c r="A15" s="91"/>
      <c r="B15" s="91" t="s">
        <v>289</v>
      </c>
      <c r="C15" s="91" t="s">
        <v>289</v>
      </c>
      <c r="D15" s="63"/>
      <c r="E15" s="64"/>
      <c r="F15" s="64"/>
      <c r="G15" s="64"/>
      <c r="H15" s="64"/>
      <c r="I15" s="64"/>
    </row>
    <row r="16" spans="1:24" s="47" customFormat="1" x14ac:dyDescent="0.2">
      <c r="A16" s="91"/>
      <c r="B16" s="91" t="s">
        <v>290</v>
      </c>
      <c r="C16" s="91" t="s">
        <v>291</v>
      </c>
      <c r="D16" s="63"/>
      <c r="E16" s="64"/>
      <c r="F16" s="64"/>
      <c r="G16" s="64"/>
      <c r="H16" s="64"/>
      <c r="I16" s="64"/>
    </row>
    <row r="17" spans="1:23" s="47" customFormat="1" x14ac:dyDescent="0.2">
      <c r="A17" s="96"/>
      <c r="B17" s="96" t="s">
        <v>294</v>
      </c>
      <c r="C17" s="96" t="s">
        <v>295</v>
      </c>
      <c r="D17" s="63"/>
      <c r="E17" s="64"/>
      <c r="F17" s="64"/>
      <c r="G17" s="64"/>
      <c r="H17" s="64"/>
      <c r="I17" s="64"/>
    </row>
    <row r="18" spans="1:23" s="47" customFormat="1" x14ac:dyDescent="0.2">
      <c r="A18" s="98"/>
      <c r="B18" s="98" t="s">
        <v>297</v>
      </c>
      <c r="C18" s="98" t="s">
        <v>298</v>
      </c>
      <c r="D18" s="63"/>
      <c r="E18" s="64"/>
      <c r="F18" s="64"/>
      <c r="G18" s="64"/>
      <c r="H18" s="64"/>
      <c r="I18" s="64"/>
    </row>
    <row r="19" spans="1:23" s="47" customFormat="1" x14ac:dyDescent="0.2">
      <c r="A19" s="101"/>
      <c r="B19" s="101" t="s">
        <v>307</v>
      </c>
      <c r="C19" s="101" t="s">
        <v>308</v>
      </c>
      <c r="D19" s="63"/>
      <c r="E19" s="64"/>
      <c r="F19" s="64"/>
      <c r="G19" s="64"/>
      <c r="H19" s="64"/>
      <c r="I19" s="64"/>
    </row>
    <row r="20" spans="1:23" s="47" customFormat="1" x14ac:dyDescent="0.2">
      <c r="B20" s="51" t="s">
        <v>70</v>
      </c>
      <c r="C20" s="51" t="s">
        <v>71</v>
      </c>
      <c r="D20" s="54">
        <v>68.930000000000007</v>
      </c>
      <c r="E20" s="3">
        <v>18053</v>
      </c>
      <c r="F20" s="64"/>
      <c r="G20" s="64"/>
      <c r="H20" s="64"/>
      <c r="I20" s="64"/>
    </row>
    <row r="21" spans="1:23" s="47" customFormat="1" x14ac:dyDescent="0.2">
      <c r="A21" s="177" t="s">
        <v>253</v>
      </c>
      <c r="B21" s="47" t="s">
        <v>82</v>
      </c>
      <c r="C21" s="47" t="s">
        <v>83</v>
      </c>
      <c r="D21" s="63">
        <v>58.75</v>
      </c>
      <c r="E21" s="64">
        <v>14980</v>
      </c>
      <c r="F21" s="64"/>
      <c r="G21" s="64"/>
      <c r="H21" s="64"/>
      <c r="I21" s="64"/>
    </row>
    <row r="22" spans="1:23" s="47" customFormat="1" x14ac:dyDescent="0.2">
      <c r="A22" s="177" t="s">
        <v>253</v>
      </c>
      <c r="B22" s="51" t="s">
        <v>103</v>
      </c>
      <c r="C22" s="51" t="s">
        <v>104</v>
      </c>
      <c r="D22" s="54">
        <v>184.44</v>
      </c>
      <c r="E22" s="3">
        <v>10400</v>
      </c>
      <c r="F22" s="64"/>
      <c r="G22" s="64"/>
      <c r="H22" s="64"/>
      <c r="I22" s="64"/>
    </row>
    <row r="23" spans="1:23" s="20" customFormat="1" x14ac:dyDescent="0.2">
      <c r="A23" s="100"/>
      <c r="B23" s="108" t="s">
        <v>301</v>
      </c>
      <c r="C23" s="100" t="s">
        <v>302</v>
      </c>
      <c r="D23" s="21">
        <v>175.2</v>
      </c>
      <c r="E23" s="22">
        <v>27500</v>
      </c>
      <c r="F23" s="22"/>
      <c r="G23" s="22"/>
      <c r="H23" s="22"/>
      <c r="I23" s="23"/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A24" s="176" t="s">
        <v>253</v>
      </c>
      <c r="B24" s="110" t="s">
        <v>64</v>
      </c>
      <c r="C24" s="20" t="s">
        <v>65</v>
      </c>
      <c r="D24" s="21">
        <v>312</v>
      </c>
      <c r="E24" s="22">
        <v>19090</v>
      </c>
    </row>
    <row r="25" spans="1:23" x14ac:dyDescent="0.2">
      <c r="A25" s="176" t="s">
        <v>253</v>
      </c>
      <c r="B25" s="166" t="s">
        <v>428</v>
      </c>
      <c r="C25" s="166" t="s">
        <v>429</v>
      </c>
    </row>
    <row r="26" spans="1:23" x14ac:dyDescent="0.2">
      <c r="A26" s="192" t="s">
        <v>253</v>
      </c>
      <c r="B26" s="166" t="s">
        <v>434</v>
      </c>
      <c r="C26" s="166" t="s">
        <v>435</v>
      </c>
    </row>
    <row r="27" spans="1:23" x14ac:dyDescent="0.2">
      <c r="A27" s="176" t="s">
        <v>253</v>
      </c>
      <c r="B27" s="176" t="s">
        <v>490</v>
      </c>
      <c r="C27" s="176" t="s">
        <v>491</v>
      </c>
    </row>
    <row r="28" spans="1:23" x14ac:dyDescent="0.2">
      <c r="A28" s="176" t="s">
        <v>253</v>
      </c>
      <c r="B28" s="176" t="s">
        <v>522</v>
      </c>
      <c r="C28" s="176" t="s">
        <v>523</v>
      </c>
    </row>
    <row r="29" spans="1:23" x14ac:dyDescent="0.2">
      <c r="A29" s="190" t="s">
        <v>253</v>
      </c>
      <c r="B29" s="190" t="s">
        <v>546</v>
      </c>
      <c r="C29" s="190" t="s">
        <v>547</v>
      </c>
    </row>
    <row r="30" spans="1:23" x14ac:dyDescent="0.2">
      <c r="A30" s="192" t="s">
        <v>253</v>
      </c>
      <c r="B30" s="192" t="s">
        <v>576</v>
      </c>
      <c r="C30" s="192" t="s">
        <v>577</v>
      </c>
    </row>
    <row r="31" spans="1:23" x14ac:dyDescent="0.2">
      <c r="A31" s="192" t="s">
        <v>253</v>
      </c>
      <c r="B31" s="192" t="s">
        <v>590</v>
      </c>
      <c r="C31" s="192" t="s">
        <v>591</v>
      </c>
    </row>
    <row r="32" spans="1:23" x14ac:dyDescent="0.2">
      <c r="A32" s="192" t="s">
        <v>253</v>
      </c>
      <c r="B32" s="192" t="s">
        <v>598</v>
      </c>
      <c r="C32" s="192" t="s">
        <v>599</v>
      </c>
    </row>
    <row r="33" spans="1:9" x14ac:dyDescent="0.2">
      <c r="A33" s="192" t="s">
        <v>253</v>
      </c>
      <c r="B33" s="192" t="s">
        <v>600</v>
      </c>
      <c r="C33" s="192" t="s">
        <v>601</v>
      </c>
    </row>
    <row r="34" spans="1:9" x14ac:dyDescent="0.2">
      <c r="A34" s="192" t="s">
        <v>253</v>
      </c>
      <c r="B34" s="192" t="s">
        <v>602</v>
      </c>
      <c r="C34" s="192" t="s">
        <v>603</v>
      </c>
    </row>
    <row r="35" spans="1:9" x14ac:dyDescent="0.2">
      <c r="A35" s="192" t="s">
        <v>253</v>
      </c>
      <c r="B35" s="192" t="s">
        <v>608</v>
      </c>
      <c r="C35" s="192" t="s">
        <v>609</v>
      </c>
    </row>
    <row r="37" spans="1:9" s="47" customFormat="1" x14ac:dyDescent="0.2">
      <c r="B37" s="52" t="s">
        <v>33</v>
      </c>
      <c r="C37" s="52" t="s">
        <v>150</v>
      </c>
      <c r="D37" s="55">
        <v>0</v>
      </c>
      <c r="E37" s="9">
        <v>100000</v>
      </c>
      <c r="F37" s="64"/>
      <c r="G37" s="64"/>
      <c r="H37" s="64"/>
      <c r="I37" s="64"/>
    </row>
    <row r="38" spans="1:9" x14ac:dyDescent="0.2">
      <c r="B38" s="148" t="s">
        <v>58</v>
      </c>
      <c r="C38" s="148"/>
      <c r="D38" s="149">
        <v>0</v>
      </c>
      <c r="E38" s="150">
        <v>26000</v>
      </c>
    </row>
    <row r="39" spans="1:9" x14ac:dyDescent="0.2">
      <c r="B39" s="51" t="s">
        <v>86</v>
      </c>
      <c r="C39" s="51"/>
      <c r="D39" s="55">
        <v>0</v>
      </c>
      <c r="E39" s="3">
        <v>15000</v>
      </c>
    </row>
    <row r="40" spans="1:9" x14ac:dyDescent="0.2">
      <c r="B40" s="50" t="s">
        <v>242</v>
      </c>
      <c r="D40" s="55">
        <v>0</v>
      </c>
      <c r="E40" s="62">
        <v>75</v>
      </c>
    </row>
    <row r="41" spans="1:9" x14ac:dyDescent="0.2">
      <c r="B41" s="56" t="s">
        <v>244</v>
      </c>
      <c r="D41" s="55">
        <v>0</v>
      </c>
    </row>
    <row r="42" spans="1:9" x14ac:dyDescent="0.2">
      <c r="B42" s="86" t="s">
        <v>275</v>
      </c>
      <c r="E42" s="62">
        <v>424</v>
      </c>
    </row>
    <row r="43" spans="1:9" x14ac:dyDescent="0.2">
      <c r="B43" s="86" t="s">
        <v>277</v>
      </c>
      <c r="E43" s="62">
        <v>159.5</v>
      </c>
    </row>
    <row r="44" spans="1:9" x14ac:dyDescent="0.2">
      <c r="B44" s="147" t="s">
        <v>403</v>
      </c>
    </row>
    <row r="45" spans="1:9" x14ac:dyDescent="0.2">
      <c r="B45" s="147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</hyperlinks>
  <pageMargins left="0.7" right="0.7" top="0.75" bottom="0.75" header="0.3" footer="0.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76" bestFit="1" customWidth="1"/>
    <col min="2" max="2" width="11.42578125" style="176" bestFit="1" customWidth="1"/>
    <col min="3" max="16384" width="9.140625" style="176"/>
  </cols>
  <sheetData>
    <row r="1" spans="1:24" x14ac:dyDescent="0.2">
      <c r="A1" s="176" t="s">
        <v>142</v>
      </c>
    </row>
    <row r="2" spans="1:24" x14ac:dyDescent="0.2">
      <c r="B2" s="179" t="s">
        <v>0</v>
      </c>
      <c r="C2" s="180" t="s">
        <v>1</v>
      </c>
      <c r="D2" s="181" t="s">
        <v>2</v>
      </c>
      <c r="E2" s="182" t="s">
        <v>3</v>
      </c>
      <c r="F2" s="183" t="s">
        <v>4</v>
      </c>
      <c r="G2" s="183" t="s">
        <v>5</v>
      </c>
      <c r="H2" s="183" t="s">
        <v>213</v>
      </c>
      <c r="I2" s="183" t="s">
        <v>6</v>
      </c>
      <c r="J2" s="183" t="s">
        <v>224</v>
      </c>
      <c r="K2" s="184" t="s">
        <v>208</v>
      </c>
      <c r="L2" s="184" t="s">
        <v>212</v>
      </c>
      <c r="M2" s="184" t="s">
        <v>209</v>
      </c>
      <c r="N2" s="184" t="s">
        <v>210</v>
      </c>
      <c r="O2" s="185" t="s">
        <v>211</v>
      </c>
      <c r="P2" s="186" t="s">
        <v>229</v>
      </c>
      <c r="Q2" s="187" t="s">
        <v>230</v>
      </c>
      <c r="R2" s="187" t="s">
        <v>231</v>
      </c>
      <c r="S2" s="185">
        <v>2025</v>
      </c>
      <c r="T2" s="186" t="s">
        <v>228</v>
      </c>
      <c r="U2" s="184">
        <v>2023</v>
      </c>
      <c r="V2" s="184">
        <v>2024</v>
      </c>
      <c r="W2" s="185">
        <v>2025</v>
      </c>
      <c r="X2" s="176" t="s">
        <v>214</v>
      </c>
    </row>
    <row r="3" spans="1:24" x14ac:dyDescent="0.2">
      <c r="B3" s="178" t="s">
        <v>143</v>
      </c>
      <c r="C3" s="176" t="s">
        <v>144</v>
      </c>
      <c r="D3" s="188">
        <v>26.99</v>
      </c>
      <c r="E3" s="189">
        <v>1400</v>
      </c>
    </row>
    <row r="4" spans="1:24" x14ac:dyDescent="0.2">
      <c r="A4" s="176" t="s">
        <v>253</v>
      </c>
      <c r="B4" s="178" t="s">
        <v>534</v>
      </c>
      <c r="C4" s="176" t="s">
        <v>535</v>
      </c>
      <c r="D4" s="188"/>
      <c r="E4" s="189"/>
    </row>
    <row r="5" spans="1:24" x14ac:dyDescent="0.2">
      <c r="A5" s="176" t="s">
        <v>253</v>
      </c>
      <c r="B5" s="145" t="s">
        <v>394</v>
      </c>
      <c r="C5" s="176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zoomScale="175" zoomScaleNormal="17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B2" sqref="B2:X2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9.28515625" style="10" customWidth="1"/>
    <col min="11" max="16384" width="9.140625" style="10"/>
  </cols>
  <sheetData>
    <row r="1" spans="1:24" x14ac:dyDescent="0.2">
      <c r="A1" s="5" t="s">
        <v>142</v>
      </c>
    </row>
    <row r="2" spans="1:24" s="66" customFormat="1" x14ac:dyDescent="0.2">
      <c r="B2" s="67" t="s">
        <v>0</v>
      </c>
      <c r="C2" s="68" t="s">
        <v>1</v>
      </c>
      <c r="D2" s="69" t="s">
        <v>2</v>
      </c>
      <c r="E2" s="70" t="s">
        <v>3</v>
      </c>
      <c r="F2" s="71" t="s">
        <v>4</v>
      </c>
      <c r="G2" s="71" t="s">
        <v>5</v>
      </c>
      <c r="H2" s="71" t="s">
        <v>213</v>
      </c>
      <c r="I2" s="71" t="s">
        <v>6</v>
      </c>
      <c r="J2" s="71" t="s">
        <v>224</v>
      </c>
      <c r="K2" s="72" t="s">
        <v>208</v>
      </c>
      <c r="L2" s="72" t="s">
        <v>212</v>
      </c>
      <c r="M2" s="72" t="s">
        <v>209</v>
      </c>
      <c r="N2" s="72" t="s">
        <v>210</v>
      </c>
      <c r="O2" s="73" t="s">
        <v>211</v>
      </c>
      <c r="P2" s="74" t="s">
        <v>229</v>
      </c>
      <c r="Q2" s="75" t="s">
        <v>230</v>
      </c>
      <c r="R2" s="75" t="s">
        <v>231</v>
      </c>
      <c r="S2" s="73">
        <v>2025</v>
      </c>
      <c r="T2" s="74" t="s">
        <v>228</v>
      </c>
      <c r="U2" s="72">
        <v>2023</v>
      </c>
      <c r="V2" s="72">
        <v>2024</v>
      </c>
      <c r="W2" s="73">
        <v>2025</v>
      </c>
      <c r="X2" s="66" t="s">
        <v>214</v>
      </c>
    </row>
    <row r="3" spans="1:24" x14ac:dyDescent="0.2">
      <c r="A3" s="197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[6]Main!$K$5-[6]Main!$K$6</f>
        <v>27440</v>
      </c>
      <c r="G3" s="3">
        <f>+E3-F3</f>
        <v>1719832.7429785002</v>
      </c>
      <c r="H3" s="47">
        <f>+[6]Main!$K$3</f>
        <v>10406.627415000001</v>
      </c>
      <c r="I3" s="4" t="s">
        <v>616</v>
      </c>
      <c r="J3" s="61">
        <v>45506</v>
      </c>
    </row>
    <row r="4" spans="1:24" s="20" customFormat="1" x14ac:dyDescent="0.2">
      <c r="A4" s="197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([43]Main!$O$5-[43]Main!$O$6)/RMB</f>
        <v>121948.96142433234</v>
      </c>
      <c r="G4" s="22">
        <f>+E4-F4</f>
        <v>111256.03232566765</v>
      </c>
      <c r="H4" s="22">
        <f>+[43]Main!$L$3</f>
        <v>2449.375</v>
      </c>
      <c r="I4" s="223" t="s">
        <v>619</v>
      </c>
      <c r="J4" s="61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97" t="s">
        <v>253</v>
      </c>
      <c r="B5" s="5" t="s">
        <v>17</v>
      </c>
      <c r="C5" s="232" t="s">
        <v>638</v>
      </c>
      <c r="D5" s="233">
        <v>92</v>
      </c>
      <c r="E5" s="3">
        <f>+D5*H5/HKD</f>
        <v>229654.2587072282</v>
      </c>
      <c r="F5" s="3" cm="1">
        <f t="array" ref="F5">([43]Main!$O$5-[43]Main!$O$6)/RMB</f>
        <v>121948.96142433234</v>
      </c>
      <c r="G5" s="3">
        <f>+E5-F5</f>
        <v>107705.29728289586</v>
      </c>
      <c r="H5" s="47">
        <f>+[43]Main!$O$3</f>
        <v>19595</v>
      </c>
      <c r="I5" s="4" t="s">
        <v>619</v>
      </c>
      <c r="J5" s="61">
        <f>+J4</f>
        <v>45559</v>
      </c>
    </row>
    <row r="6" spans="1:24" x14ac:dyDescent="0.2">
      <c r="A6" s="76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76"/>
      <c r="B7" s="76" t="s">
        <v>254</v>
      </c>
      <c r="C7" s="76" t="s">
        <v>255</v>
      </c>
    </row>
    <row r="8" spans="1:24" x14ac:dyDescent="0.2">
      <c r="A8" s="197" t="s">
        <v>253</v>
      </c>
      <c r="B8" s="11" t="s">
        <v>198</v>
      </c>
      <c r="C8" s="11" t="s">
        <v>199</v>
      </c>
    </row>
    <row r="9" spans="1:24" x14ac:dyDescent="0.2">
      <c r="A9" s="197" t="s">
        <v>253</v>
      </c>
      <c r="B9" s="5" t="s">
        <v>34</v>
      </c>
      <c r="C9" s="10" t="s">
        <v>35</v>
      </c>
      <c r="D9" s="10">
        <v>116.42</v>
      </c>
      <c r="E9" s="47">
        <f>+D9*H9</f>
        <v>73714.487644859997</v>
      </c>
      <c r="F9" s="47">
        <f>+[44]Main!$L$5-[44]Main!$L$6</f>
        <v>7643.4470000000001</v>
      </c>
      <c r="G9" s="22">
        <f>E9-F9</f>
        <v>66071.040644859997</v>
      </c>
      <c r="H9" s="47">
        <f>+[44]Main!$L$3</f>
        <v>633.17718300000001</v>
      </c>
      <c r="I9" s="136" t="s">
        <v>351</v>
      </c>
      <c r="J9" s="61">
        <v>44971</v>
      </c>
    </row>
    <row r="10" spans="1:24" x14ac:dyDescent="0.2">
      <c r="A10" s="197" t="s">
        <v>253</v>
      </c>
      <c r="B10" s="11" t="s">
        <v>196</v>
      </c>
      <c r="C10" s="11" t="s">
        <v>197</v>
      </c>
    </row>
    <row r="11" spans="1:24" x14ac:dyDescent="0.2">
      <c r="A11" s="90"/>
      <c r="B11" s="90" t="s">
        <v>285</v>
      </c>
      <c r="C11" s="90" t="s">
        <v>286</v>
      </c>
    </row>
    <row r="12" spans="1:24" x14ac:dyDescent="0.2">
      <c r="A12" s="197" t="s">
        <v>253</v>
      </c>
      <c r="B12" s="10" t="s">
        <v>42</v>
      </c>
      <c r="C12" s="10" t="s">
        <v>43</v>
      </c>
    </row>
    <row r="13" spans="1:24" s="20" customFormat="1" x14ac:dyDescent="0.2">
      <c r="A13" s="176" t="s">
        <v>253</v>
      </c>
      <c r="B13" s="5" t="s">
        <v>36</v>
      </c>
      <c r="C13" s="20" t="s">
        <v>37</v>
      </c>
      <c r="D13" s="21">
        <v>36.71</v>
      </c>
      <c r="E13" s="22">
        <f>+D13*[45]Main!$M$3</f>
        <v>46254.6</v>
      </c>
      <c r="F13" s="22">
        <f>+[45]Main!$M$5-[45]Main!$M$6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0"/>
      <c r="B14" s="90" t="s">
        <v>287</v>
      </c>
      <c r="C14" s="90" t="s">
        <v>288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0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0"/>
      <c r="B16" s="100" t="s">
        <v>303</v>
      </c>
      <c r="C16" s="100" t="s">
        <v>304</v>
      </c>
    </row>
    <row r="17" spans="1:23" x14ac:dyDescent="0.2">
      <c r="A17" s="100"/>
      <c r="B17" s="100" t="s">
        <v>305</v>
      </c>
      <c r="C17" s="100" t="s">
        <v>306</v>
      </c>
    </row>
    <row r="18" spans="1:23" x14ac:dyDescent="0.2">
      <c r="A18" s="102"/>
      <c r="B18" s="102" t="s">
        <v>309</v>
      </c>
      <c r="C18" s="102" t="s">
        <v>310</v>
      </c>
    </row>
    <row r="19" spans="1:23" x14ac:dyDescent="0.2">
      <c r="A19" s="103"/>
      <c r="B19" s="103" t="s">
        <v>311</v>
      </c>
      <c r="C19" s="103" t="s">
        <v>312</v>
      </c>
    </row>
    <row r="20" spans="1:23" x14ac:dyDescent="0.2">
      <c r="A20" s="12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379</v>
      </c>
      <c r="C24" s="131" t="s">
        <v>380</v>
      </c>
      <c r="D24" s="10">
        <v>8.86</v>
      </c>
      <c r="E24" s="47">
        <f>+D24*H24</f>
        <v>963.51364147999993</v>
      </c>
      <c r="F24" s="47">
        <f>+[46]Main!$K$5-[46]Main!$K$6</f>
        <v>-1163.2909999999999</v>
      </c>
      <c r="G24" s="47">
        <f>+E24-F24</f>
        <v>2126.8046414800001</v>
      </c>
      <c r="H24" s="47">
        <f>+[46]Main!$K$3</f>
        <v>108.748718</v>
      </c>
      <c r="I24" s="135" t="s">
        <v>351</v>
      </c>
      <c r="J24" s="61">
        <v>44965</v>
      </c>
    </row>
    <row r="25" spans="1:23" x14ac:dyDescent="0.2">
      <c r="B25" s="5" t="s">
        <v>633</v>
      </c>
      <c r="C25" s="218" t="s">
        <v>634</v>
      </c>
      <c r="D25" s="10">
        <v>1.77</v>
      </c>
      <c r="E25" s="47">
        <f>+D25*H25</f>
        <v>183.49568582999999</v>
      </c>
      <c r="F25" s="47">
        <f>+[47]Main!$K$5-[47]Main!$K$6</f>
        <v>4.47199999999998</v>
      </c>
      <c r="G25" s="47">
        <f>+E25-F25</f>
        <v>179.02368583000001</v>
      </c>
      <c r="H25" s="47">
        <f>+[47]Main!$K$3</f>
        <v>103.66987899999999</v>
      </c>
      <c r="I25" s="219" t="s">
        <v>635</v>
      </c>
      <c r="J25" s="61">
        <v>45556</v>
      </c>
    </row>
    <row r="26" spans="1:23" x14ac:dyDescent="0.2">
      <c r="B26" s="134" t="s">
        <v>381</v>
      </c>
    </row>
    <row r="27" spans="1:23" x14ac:dyDescent="0.2">
      <c r="B27" s="176" t="s">
        <v>513</v>
      </c>
      <c r="C27" s="176" t="s">
        <v>514</v>
      </c>
    </row>
    <row r="28" spans="1:23" x14ac:dyDescent="0.2">
      <c r="B28" s="192" t="s">
        <v>556</v>
      </c>
      <c r="C28" s="192" t="s">
        <v>557</v>
      </c>
    </row>
    <row r="29" spans="1:23" x14ac:dyDescent="0.2">
      <c r="B29" s="192" t="s">
        <v>564</v>
      </c>
      <c r="C29" s="192" t="s">
        <v>565</v>
      </c>
    </row>
    <row r="30" spans="1:23" x14ac:dyDescent="0.2">
      <c r="B30" s="198" t="s">
        <v>618</v>
      </c>
      <c r="C30" s="198" t="s">
        <v>617</v>
      </c>
    </row>
    <row r="31" spans="1:23" x14ac:dyDescent="0.2">
      <c r="B31" s="192"/>
      <c r="C31" s="192"/>
    </row>
    <row r="33" spans="2:12" x14ac:dyDescent="0.2">
      <c r="B33" s="1" t="s">
        <v>115</v>
      </c>
      <c r="C33" s="1"/>
      <c r="D33" s="2"/>
      <c r="E33" s="3">
        <v>8333</v>
      </c>
    </row>
    <row r="34" spans="2:12" x14ac:dyDescent="0.2">
      <c r="B34" s="20" t="s">
        <v>63</v>
      </c>
      <c r="C34" s="20"/>
      <c r="D34" s="21"/>
      <c r="E34" s="22">
        <v>22000</v>
      </c>
    </row>
    <row r="35" spans="2:12" x14ac:dyDescent="0.2">
      <c r="B35" s="20" t="s">
        <v>55</v>
      </c>
      <c r="C35" s="20"/>
      <c r="D35" s="21"/>
      <c r="E35" s="22">
        <v>30000</v>
      </c>
    </row>
    <row r="36" spans="2:12" x14ac:dyDescent="0.2">
      <c r="B36" s="170" t="s">
        <v>454</v>
      </c>
      <c r="L36" s="170" t="s">
        <v>455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62"/>
    <col min="11" max="16384" width="9.140625" style="10"/>
  </cols>
  <sheetData>
    <row r="1" spans="1:24" x14ac:dyDescent="0.2">
      <c r="A1" s="5" t="s">
        <v>142</v>
      </c>
    </row>
    <row r="2" spans="1:24" x14ac:dyDescent="0.2">
      <c r="B2" s="67" t="s">
        <v>0</v>
      </c>
      <c r="C2" s="68" t="s">
        <v>1</v>
      </c>
      <c r="D2" s="69" t="s">
        <v>2</v>
      </c>
      <c r="E2" s="70" t="s">
        <v>3</v>
      </c>
      <c r="F2" s="71" t="s">
        <v>4</v>
      </c>
      <c r="G2" s="71" t="s">
        <v>5</v>
      </c>
      <c r="H2" s="71" t="s">
        <v>213</v>
      </c>
      <c r="I2" s="71" t="s">
        <v>6</v>
      </c>
      <c r="J2" s="71" t="s">
        <v>224</v>
      </c>
      <c r="K2" s="72" t="s">
        <v>208</v>
      </c>
      <c r="L2" s="72" t="s">
        <v>212</v>
      </c>
      <c r="M2" s="72" t="s">
        <v>209</v>
      </c>
      <c r="N2" s="72" t="s">
        <v>210</v>
      </c>
      <c r="O2" s="73" t="s">
        <v>211</v>
      </c>
      <c r="P2" s="74" t="s">
        <v>229</v>
      </c>
      <c r="Q2" s="75" t="s">
        <v>230</v>
      </c>
      <c r="R2" s="75" t="s">
        <v>231</v>
      </c>
      <c r="S2" s="73">
        <v>2025</v>
      </c>
      <c r="T2" s="74" t="s">
        <v>228</v>
      </c>
      <c r="U2" s="72">
        <v>2023</v>
      </c>
      <c r="V2" s="72">
        <v>2024</v>
      </c>
      <c r="W2" s="73">
        <v>2025</v>
      </c>
      <c r="X2" s="66" t="s">
        <v>214</v>
      </c>
    </row>
    <row r="3" spans="1:24" x14ac:dyDescent="0.2">
      <c r="A3" s="82" t="s">
        <v>253</v>
      </c>
      <c r="B3" s="10" t="s">
        <v>151</v>
      </c>
      <c r="C3" s="10" t="s">
        <v>152</v>
      </c>
    </row>
    <row r="4" spans="1:24" x14ac:dyDescent="0.2">
      <c r="A4" s="176" t="s">
        <v>253</v>
      </c>
      <c r="B4" s="10" t="s">
        <v>156</v>
      </c>
      <c r="C4" s="10" t="s">
        <v>155</v>
      </c>
    </row>
    <row r="5" spans="1:24" x14ac:dyDescent="0.2">
      <c r="A5" s="176" t="s">
        <v>253</v>
      </c>
      <c r="B5" s="10" t="s">
        <v>153</v>
      </c>
      <c r="C5" s="10" t="s">
        <v>154</v>
      </c>
    </row>
    <row r="6" spans="1:24" x14ac:dyDescent="0.2">
      <c r="A6" s="93"/>
      <c r="B6" s="93" t="s">
        <v>292</v>
      </c>
      <c r="C6" s="93" t="s">
        <v>293</v>
      </c>
    </row>
    <row r="7" spans="1:24" x14ac:dyDescent="0.2">
      <c r="A7" s="176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76" t="s">
        <v>253</v>
      </c>
      <c r="B9" s="5" t="s">
        <v>189</v>
      </c>
      <c r="C9" s="10" t="s">
        <v>190</v>
      </c>
      <c r="D9" s="10">
        <v>83.39</v>
      </c>
      <c r="E9" s="47">
        <f>+D9*H9</f>
        <v>28494.590988259999</v>
      </c>
      <c r="F9" s="47">
        <f>+[48]Main!$N$5-[48]Main!$N$6</f>
        <v>472.05500000000006</v>
      </c>
      <c r="G9" s="47">
        <f>+E9-F9</f>
        <v>28022.535988259999</v>
      </c>
      <c r="H9" s="47">
        <f>+[48]Main!$N$3</f>
        <v>341.70273399999996</v>
      </c>
      <c r="I9" s="235" t="s">
        <v>619</v>
      </c>
      <c r="J9" s="236">
        <v>45561</v>
      </c>
    </row>
    <row r="10" spans="1:24" x14ac:dyDescent="0.2">
      <c r="A10" s="176" t="s">
        <v>253</v>
      </c>
      <c r="B10" s="166" t="s">
        <v>436</v>
      </c>
      <c r="C10" s="166" t="s">
        <v>437</v>
      </c>
    </row>
    <row r="11" spans="1:24" x14ac:dyDescent="0.2">
      <c r="A11" s="176" t="s">
        <v>253</v>
      </c>
      <c r="B11" s="176" t="s">
        <v>94</v>
      </c>
      <c r="C11" s="176" t="s">
        <v>95</v>
      </c>
    </row>
    <row r="12" spans="1:24" x14ac:dyDescent="0.2">
      <c r="A12" s="176" t="s">
        <v>253</v>
      </c>
      <c r="B12" s="176" t="s">
        <v>507</v>
      </c>
      <c r="C12" s="176" t="s">
        <v>508</v>
      </c>
    </row>
    <row r="13" spans="1:24" x14ac:dyDescent="0.2">
      <c r="A13" s="176" t="s">
        <v>253</v>
      </c>
      <c r="B13" s="176" t="s">
        <v>536</v>
      </c>
      <c r="C13" s="176" t="s">
        <v>537</v>
      </c>
    </row>
    <row r="14" spans="1:24" x14ac:dyDescent="0.2">
      <c r="A14" s="176" t="s">
        <v>253</v>
      </c>
      <c r="B14" s="176" t="s">
        <v>542</v>
      </c>
      <c r="C14" s="176" t="s">
        <v>543</v>
      </c>
    </row>
    <row r="15" spans="1:24" x14ac:dyDescent="0.2">
      <c r="A15" s="192" t="s">
        <v>253</v>
      </c>
      <c r="B15" s="192" t="s">
        <v>560</v>
      </c>
      <c r="C15" s="192" t="s">
        <v>561</v>
      </c>
    </row>
    <row r="16" spans="1:24" x14ac:dyDescent="0.2">
      <c r="A16" s="192" t="s">
        <v>253</v>
      </c>
      <c r="B16" s="192" t="s">
        <v>574</v>
      </c>
      <c r="C16" s="192" t="s">
        <v>575</v>
      </c>
    </row>
    <row r="17" spans="1:3" x14ac:dyDescent="0.2">
      <c r="A17" s="192" t="s">
        <v>253</v>
      </c>
      <c r="B17" s="192" t="s">
        <v>604</v>
      </c>
      <c r="C17" s="192" t="s">
        <v>605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1" bestFit="1" customWidth="1"/>
    <col min="2" max="16384" width="9.140625" style="41"/>
  </cols>
  <sheetData>
    <row r="1" spans="1:3" x14ac:dyDescent="0.2">
      <c r="A1" s="5" t="s">
        <v>142</v>
      </c>
    </row>
    <row r="2" spans="1:3" x14ac:dyDescent="0.2">
      <c r="B2" s="41" t="s">
        <v>146</v>
      </c>
      <c r="C2" s="41">
        <v>7.8498000000000001</v>
      </c>
    </row>
    <row r="3" spans="1:3" x14ac:dyDescent="0.2">
      <c r="B3" s="41" t="s">
        <v>147</v>
      </c>
      <c r="C3" s="41">
        <v>6.74</v>
      </c>
    </row>
    <row r="4" spans="1:3" x14ac:dyDescent="0.2">
      <c r="B4" s="41" t="s">
        <v>207</v>
      </c>
      <c r="C4" s="41">
        <v>1.01</v>
      </c>
    </row>
    <row r="5" spans="1:3" x14ac:dyDescent="0.2">
      <c r="B5" s="41" t="s">
        <v>225</v>
      </c>
      <c r="C5" s="41">
        <v>10.3437</v>
      </c>
    </row>
    <row r="6" spans="1:3" x14ac:dyDescent="0.2">
      <c r="B6" s="42" t="s">
        <v>233</v>
      </c>
      <c r="C6" s="41">
        <v>136.93</v>
      </c>
    </row>
    <row r="7" spans="1:3" x14ac:dyDescent="0.2">
      <c r="B7" s="42" t="s">
        <v>234</v>
      </c>
      <c r="C7" s="41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2" t="s">
        <v>214</v>
      </c>
      <c r="F2" s="42" t="s">
        <v>236</v>
      </c>
      <c r="G2" s="48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2" t="s">
        <v>235</v>
      </c>
      <c r="D9" s="42" t="s">
        <v>204</v>
      </c>
      <c r="E9" s="6">
        <v>2021</v>
      </c>
      <c r="F9" s="42" t="s">
        <v>237</v>
      </c>
      <c r="G9" s="48" t="s">
        <v>241</v>
      </c>
    </row>
    <row r="10" spans="1:7" x14ac:dyDescent="0.2">
      <c r="B10" s="48" t="s">
        <v>238</v>
      </c>
      <c r="D10" s="48" t="s">
        <v>239</v>
      </c>
      <c r="E10" s="6">
        <v>2021</v>
      </c>
      <c r="G10" s="48" t="s">
        <v>241</v>
      </c>
    </row>
    <row r="11" spans="1:7" x14ac:dyDescent="0.2">
      <c r="B11" s="144" t="s">
        <v>391</v>
      </c>
      <c r="D11" s="144" t="s">
        <v>392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2024-09-26T17:57:19Z</dcterms:modified>
  <cp:category/>
  <cp:contentStatus/>
</cp:coreProperties>
</file>