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fda80931a57275/Models Backup/"/>
    </mc:Choice>
  </mc:AlternateContent>
  <xr:revisionPtr revIDLastSave="1535" documentId="8_{BC85837C-CA42-4681-AA00-2D9500534D23}" xr6:coauthVersionLast="47" xr6:coauthVersionMax="47" xr10:uidLastSave="{12140A0D-9E94-4111-A3A8-880D2DFD1D49}"/>
  <bookViews>
    <workbookView xWindow="885" yWindow="4170" windowWidth="27720" windowHeight="16485" tabRatio="524" activeTab="1" xr2:uid="{00000000-000D-0000-FFFF-FFFF00000000}"/>
  </bookViews>
  <sheets>
    <sheet name="Master" sheetId="32" r:id="rId1"/>
    <sheet name="Main" sheetId="1" r:id="rId2"/>
    <sheet name="Model" sheetId="7" r:id="rId3"/>
    <sheet name="Tagrisso" sheetId="34" r:id="rId4"/>
    <sheet name="Soliris" sheetId="33" r:id="rId5"/>
    <sheet name="Farxiga" sheetId="29" r:id="rId6"/>
    <sheet name="Lynparza" sheetId="35" r:id="rId7"/>
    <sheet name="Symbicort" sheetId="10" r:id="rId8"/>
    <sheet name="Koselugo" sheetId="26" r:id="rId9"/>
    <sheet name="Nexium" sheetId="3" r:id="rId10"/>
    <sheet name="Seroquel" sheetId="4" r:id="rId11"/>
    <sheet name="Crestor" sheetId="2" r:id="rId12"/>
    <sheet name="Brilinta" sheetId="14" r:id="rId13"/>
    <sheet name="2171" sheetId="25" r:id="rId14"/>
    <sheet name="Iressa" sheetId="30" r:id="rId15"/>
    <sheet name="Zactima" sheetId="1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17" i="7" l="1"/>
  <c r="CL17" i="7"/>
  <c r="CM17" i="7"/>
  <c r="CN17" i="7"/>
  <c r="CO17" i="7"/>
  <c r="CP17" i="7"/>
  <c r="CK18" i="7"/>
  <c r="CO18" i="7" s="1"/>
  <c r="CL18" i="7"/>
  <c r="CM18" i="7"/>
  <c r="CN18" i="7"/>
  <c r="CP18" i="7"/>
  <c r="CL16" i="7"/>
  <c r="CM16" i="7"/>
  <c r="CN16" i="7"/>
  <c r="CO16" i="7"/>
  <c r="CP16" i="7"/>
  <c r="CK16" i="7"/>
  <c r="CL14" i="7"/>
  <c r="CM14" i="7"/>
  <c r="CN14" i="7"/>
  <c r="CO14" i="7"/>
  <c r="CP14" i="7"/>
  <c r="CK14" i="7"/>
  <c r="CL15" i="7"/>
  <c r="CM15" i="7"/>
  <c r="CN15" i="7"/>
  <c r="CO15" i="7"/>
  <c r="CP15" i="7"/>
  <c r="CK15" i="7"/>
  <c r="CL19" i="7"/>
  <c r="CM19" i="7" s="1"/>
  <c r="CN19" i="7" s="1"/>
  <c r="CO19" i="7" s="1"/>
  <c r="CP19" i="7" s="1"/>
  <c r="CK19" i="7"/>
  <c r="CL20" i="7"/>
  <c r="CM20" i="7" s="1"/>
  <c r="CN20" i="7" s="1"/>
  <c r="CO20" i="7" s="1"/>
  <c r="CP20" i="7" s="1"/>
  <c r="CK20" i="7"/>
  <c r="CL13" i="7"/>
  <c r="CM13" i="7"/>
  <c r="CN13" i="7"/>
  <c r="CO13" i="7"/>
  <c r="CP13" i="7"/>
  <c r="CK13" i="7"/>
  <c r="CL11" i="7"/>
  <c r="CM11" i="7" s="1"/>
  <c r="CN11" i="7" s="1"/>
  <c r="CO11" i="7" s="1"/>
  <c r="CP11" i="7" s="1"/>
  <c r="CK11" i="7"/>
  <c r="CK10" i="7"/>
  <c r="CL10" i="7" s="1"/>
  <c r="CM10" i="7" s="1"/>
  <c r="CN10" i="7" s="1"/>
  <c r="CO10" i="7" s="1"/>
  <c r="CP10" i="7" s="1"/>
  <c r="CL8" i="7"/>
  <c r="CM8" i="7" s="1"/>
  <c r="CN8" i="7" s="1"/>
  <c r="CO8" i="7" s="1"/>
  <c r="CP8" i="7" s="1"/>
  <c r="CK8" i="7"/>
  <c r="CL7" i="7"/>
  <c r="CM7" i="7"/>
  <c r="CN7" i="7"/>
  <c r="CO7" i="7"/>
  <c r="CP7" i="7"/>
  <c r="CK7" i="7"/>
  <c r="CL6" i="7"/>
  <c r="CM6" i="7" s="1"/>
  <c r="CN6" i="7" s="1"/>
  <c r="CO6" i="7" s="1"/>
  <c r="CP6" i="7" s="1"/>
  <c r="CK6" i="7"/>
  <c r="CO5" i="7"/>
  <c r="CN5" i="7"/>
  <c r="CM5" i="7"/>
  <c r="CL5" i="7"/>
  <c r="CP5" i="7" s="1"/>
  <c r="CK5" i="7"/>
  <c r="CP4" i="7"/>
  <c r="CP98" i="7" s="1"/>
  <c r="CO4" i="7"/>
  <c r="CN4" i="7"/>
  <c r="CM4" i="7"/>
  <c r="CL4" i="7"/>
  <c r="CK4" i="7"/>
  <c r="CJ98" i="7"/>
  <c r="CO98" i="7"/>
  <c r="CN98" i="7"/>
  <c r="CM98" i="7"/>
  <c r="CL98" i="7"/>
  <c r="CK98" i="7"/>
  <c r="CI98" i="7"/>
  <c r="CH98" i="7"/>
  <c r="CG98" i="7"/>
  <c r="CF98" i="7"/>
  <c r="CE98" i="7"/>
  <c r="CD98" i="7"/>
  <c r="CC98" i="7"/>
  <c r="CA77" i="7"/>
  <c r="CE77" i="7"/>
  <c r="CE71" i="7"/>
  <c r="CA71" i="7"/>
  <c r="BZ21" i="7"/>
  <c r="BZ70" i="7" s="1"/>
  <c r="BY21" i="7"/>
  <c r="BY70" i="7" s="1"/>
  <c r="BX21" i="7"/>
  <c r="BW21" i="7"/>
  <c r="BX70" i="7"/>
  <c r="BW70" i="7"/>
  <c r="CN3" i="7"/>
  <c r="CM3" i="7"/>
  <c r="CL3" i="7"/>
  <c r="CP3" i="7" s="1"/>
  <c r="CP97" i="7" s="1"/>
  <c r="CK3" i="7"/>
  <c r="CK97" i="7" s="1"/>
  <c r="CN97" i="7"/>
  <c r="CM97" i="7"/>
  <c r="CL97" i="7"/>
  <c r="CD97" i="7"/>
  <c r="CC97" i="7"/>
  <c r="CI97" i="7"/>
  <c r="CH97" i="7"/>
  <c r="CG97" i="7"/>
  <c r="CF97" i="7"/>
  <c r="CE97" i="7"/>
  <c r="CJ97" i="7"/>
  <c r="CN12" i="7"/>
  <c r="CM12" i="7"/>
  <c r="CL12" i="7"/>
  <c r="CP12" i="7" s="1"/>
  <c r="CK12" i="7"/>
  <c r="CO12" i="7" s="1"/>
  <c r="CK9" i="7"/>
  <c r="CL9" i="7" s="1"/>
  <c r="CM9" i="7" s="1"/>
  <c r="CN9" i="7" s="1"/>
  <c r="CO9" i="7" s="1"/>
  <c r="CP9" i="7" s="1"/>
  <c r="CD77" i="7"/>
  <c r="CD71" i="7"/>
  <c r="BZ77" i="7"/>
  <c r="BZ71" i="7"/>
  <c r="CF77" i="7"/>
  <c r="CF71" i="7"/>
  <c r="CB71" i="7"/>
  <c r="CB77" i="7"/>
  <c r="CG77" i="7"/>
  <c r="CG71" i="7"/>
  <c r="CC77" i="7"/>
  <c r="CC71" i="7"/>
  <c r="CM70" i="7" l="1"/>
  <c r="CN70" i="7"/>
  <c r="CK70" i="7"/>
  <c r="CL70" i="7"/>
  <c r="CO3" i="7"/>
  <c r="CP70" i="7"/>
  <c r="CI71" i="7"/>
  <c r="CJ77" i="7"/>
  <c r="CJ71" i="7"/>
  <c r="CJ70" i="7"/>
  <c r="CJ87" i="7" s="1"/>
  <c r="CD21" i="7"/>
  <c r="CD70" i="7" s="1"/>
  <c r="CD95" i="7" s="1"/>
  <c r="CC21" i="7"/>
  <c r="CC70" i="7" s="1"/>
  <c r="CC95" i="7" s="1"/>
  <c r="CB21" i="7"/>
  <c r="CB70" i="7" s="1"/>
  <c r="CB95" i="7" s="1"/>
  <c r="CA21" i="7"/>
  <c r="CA70" i="7" s="1"/>
  <c r="V70" i="7"/>
  <c r="AC70" i="7"/>
  <c r="AV70" i="7"/>
  <c r="AW70" i="7"/>
  <c r="AX70" i="7"/>
  <c r="BA70" i="7"/>
  <c r="BB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CG21" i="7"/>
  <c r="CG70" i="7" s="1"/>
  <c r="CG95" i="7" s="1"/>
  <c r="CF21" i="7"/>
  <c r="CF70" i="7" s="1"/>
  <c r="CF72" i="7" s="1"/>
  <c r="CF76" i="7" s="1"/>
  <c r="CF89" i="7" s="1"/>
  <c r="CE21" i="7"/>
  <c r="CE70" i="7" s="1"/>
  <c r="CH77" i="7"/>
  <c r="CH71" i="7"/>
  <c r="CH21" i="7"/>
  <c r="CI70" i="7"/>
  <c r="CI87" i="7" s="1"/>
  <c r="CH70" i="7"/>
  <c r="CH87" i="7" s="1"/>
  <c r="CP95" i="7" l="1"/>
  <c r="CG88" i="7"/>
  <c r="CG87" i="7"/>
  <c r="CJ88" i="7"/>
  <c r="CJ95" i="7"/>
  <c r="CL95" i="7"/>
  <c r="CH72" i="7"/>
  <c r="CH76" i="7" s="1"/>
  <c r="CH89" i="7" s="1"/>
  <c r="CH95" i="7"/>
  <c r="CI88" i="7"/>
  <c r="CI95" i="7"/>
  <c r="CO70" i="7"/>
  <c r="CO95" i="7" s="1"/>
  <c r="CO97" i="7"/>
  <c r="CK95" i="7"/>
  <c r="CA72" i="7"/>
  <c r="CA88" i="7"/>
  <c r="CA87" i="7"/>
  <c r="CA95" i="7"/>
  <c r="CM95" i="7"/>
  <c r="CF87" i="7"/>
  <c r="CF95" i="7"/>
  <c r="CE87" i="7"/>
  <c r="CE95" i="7"/>
  <c r="CN95" i="7"/>
  <c r="CE72" i="7"/>
  <c r="CC72" i="7"/>
  <c r="CC87" i="7"/>
  <c r="CC88" i="7"/>
  <c r="CE88" i="7"/>
  <c r="CF88" i="7"/>
  <c r="CJ72" i="7"/>
  <c r="BZ88" i="7"/>
  <c r="BZ87" i="7"/>
  <c r="CH86" i="7"/>
  <c r="CG72" i="7"/>
  <c r="CG76" i="7" s="1"/>
  <c r="CB87" i="7"/>
  <c r="CB88" i="7"/>
  <c r="CB72" i="7"/>
  <c r="CD88" i="7"/>
  <c r="CD87" i="7"/>
  <c r="CD72" i="7"/>
  <c r="CH88" i="7"/>
  <c r="BZ72" i="7"/>
  <c r="CF86" i="7"/>
  <c r="CF78" i="7"/>
  <c r="CH78" i="7"/>
  <c r="CA76" i="7" l="1"/>
  <c r="CA86" i="7"/>
  <c r="BZ76" i="7"/>
  <c r="BZ86" i="7"/>
  <c r="CG78" i="7"/>
  <c r="CG89" i="7"/>
  <c r="CJ76" i="7"/>
  <c r="CJ86" i="7"/>
  <c r="CD76" i="7"/>
  <c r="CD86" i="7"/>
  <c r="CB76" i="7"/>
  <c r="CB86" i="7"/>
  <c r="CG86" i="7"/>
  <c r="CC86" i="7"/>
  <c r="CC76" i="7"/>
  <c r="CH81" i="7"/>
  <c r="CH82" i="7" s="1"/>
  <c r="CH90" i="7"/>
  <c r="CE76" i="7"/>
  <c r="CE86" i="7"/>
  <c r="CF81" i="7"/>
  <c r="CF82" i="7" s="1"/>
  <c r="CF90" i="7"/>
  <c r="BD77" i="7"/>
  <c r="BD71" i="7"/>
  <c r="BD48" i="7"/>
  <c r="BD70" i="7" s="1"/>
  <c r="AZ48" i="7"/>
  <c r="AZ70" i="7" s="1"/>
  <c r="BB71" i="7"/>
  <c r="BA71" i="7"/>
  <c r="BC48" i="7"/>
  <c r="BC70" i="7" s="1"/>
  <c r="AY48" i="7"/>
  <c r="AY70" i="7" s="1"/>
  <c r="DF46" i="7"/>
  <c r="DG46" i="7" s="1"/>
  <c r="DH46" i="7" s="1"/>
  <c r="DI46" i="7" s="1"/>
  <c r="DJ46" i="7" s="1"/>
  <c r="DK46" i="7" s="1"/>
  <c r="DL46" i="7" s="1"/>
  <c r="DM46" i="7" s="1"/>
  <c r="DN46" i="7" s="1"/>
  <c r="DO46" i="7" s="1"/>
  <c r="DP46" i="7" s="1"/>
  <c r="DQ46" i="7" s="1"/>
  <c r="DR46" i="7" s="1"/>
  <c r="DJ44" i="7"/>
  <c r="DK44" i="7" s="1"/>
  <c r="DL44" i="7" s="1"/>
  <c r="DM44" i="7" s="1"/>
  <c r="DN44" i="7" s="1"/>
  <c r="DO44" i="7" s="1"/>
  <c r="DP44" i="7" s="1"/>
  <c r="DQ44" i="7" s="1"/>
  <c r="DR44" i="7" s="1"/>
  <c r="DC83" i="7"/>
  <c r="DN16" i="7"/>
  <c r="DO16" i="7" s="1"/>
  <c r="DP16" i="7" s="1"/>
  <c r="DQ16" i="7" s="1"/>
  <c r="DR16" i="7" s="1"/>
  <c r="DD80" i="7"/>
  <c r="DE69" i="7"/>
  <c r="DE60" i="7"/>
  <c r="DF60" i="7" s="1"/>
  <c r="DG60" i="7" s="1"/>
  <c r="DH60" i="7" s="1"/>
  <c r="DI60" i="7" s="1"/>
  <c r="DJ60" i="7" s="1"/>
  <c r="DK60" i="7" s="1"/>
  <c r="DL60" i="7" s="1"/>
  <c r="DM60" i="7" s="1"/>
  <c r="DN60" i="7" s="1"/>
  <c r="DO60" i="7" s="1"/>
  <c r="DP60" i="7" s="1"/>
  <c r="DQ60" i="7" s="1"/>
  <c r="DR60" i="7" s="1"/>
  <c r="AV83" i="7"/>
  <c r="AW83" i="7" s="1"/>
  <c r="AX74" i="7"/>
  <c r="AW74" i="7"/>
  <c r="DE54" i="7"/>
  <c r="DF54" i="7" s="1"/>
  <c r="DG54" i="7" s="1"/>
  <c r="DH54" i="7" s="1"/>
  <c r="DI54" i="7" s="1"/>
  <c r="DJ54" i="7" s="1"/>
  <c r="DK54" i="7" s="1"/>
  <c r="DL54" i="7" s="1"/>
  <c r="DM54" i="7" s="1"/>
  <c r="DN54" i="7" s="1"/>
  <c r="DO54" i="7" s="1"/>
  <c r="DP54" i="7" s="1"/>
  <c r="DQ54" i="7" s="1"/>
  <c r="DR54" i="7" s="1"/>
  <c r="DE56" i="7"/>
  <c r="DF56" i="7" s="1"/>
  <c r="DG56" i="7" s="1"/>
  <c r="DH56" i="7" s="1"/>
  <c r="DI56" i="7" s="1"/>
  <c r="DJ56" i="7" s="1"/>
  <c r="DK56" i="7" s="1"/>
  <c r="DL56" i="7" s="1"/>
  <c r="DM56" i="7" s="1"/>
  <c r="DN56" i="7" s="1"/>
  <c r="DO56" i="7" s="1"/>
  <c r="DP56" i="7" s="1"/>
  <c r="DQ56" i="7" s="1"/>
  <c r="DR56" i="7" s="1"/>
  <c r="DE40" i="7"/>
  <c r="DF40" i="7" s="1"/>
  <c r="DG40" i="7" s="1"/>
  <c r="DH40" i="7" s="1"/>
  <c r="DI40" i="7" s="1"/>
  <c r="DJ40" i="7" s="1"/>
  <c r="DK40" i="7" s="1"/>
  <c r="DL40" i="7" s="1"/>
  <c r="DM40" i="7" s="1"/>
  <c r="AS77" i="7"/>
  <c r="AS71" i="7"/>
  <c r="AS69" i="7"/>
  <c r="DE33" i="7"/>
  <c r="DF33" i="7" s="1"/>
  <c r="DG33" i="7" s="1"/>
  <c r="DH33" i="7" s="1"/>
  <c r="DI33" i="7" s="1"/>
  <c r="DJ33" i="7" s="1"/>
  <c r="DK33" i="7" s="1"/>
  <c r="DL33" i="7" s="1"/>
  <c r="DM33" i="7" s="1"/>
  <c r="DN33" i="7" s="1"/>
  <c r="DO33" i="7" s="1"/>
  <c r="DP33" i="7" s="1"/>
  <c r="DQ33" i="7" s="1"/>
  <c r="DR33" i="7" s="1"/>
  <c r="DE16" i="7"/>
  <c r="DF16" i="7" s="1"/>
  <c r="DG16" i="7" s="1"/>
  <c r="AS48" i="7"/>
  <c r="AT77" i="7"/>
  <c r="AT71" i="7"/>
  <c r="AT48" i="7"/>
  <c r="AT70" i="7" s="1"/>
  <c r="AU80" i="7"/>
  <c r="AU77" i="7"/>
  <c r="AU71" i="7"/>
  <c r="AU36" i="7"/>
  <c r="AU48" i="7"/>
  <c r="DE48" i="7" s="1"/>
  <c r="DF48" i="7" s="1"/>
  <c r="DG48" i="7" s="1"/>
  <c r="DH48" i="7" s="1"/>
  <c r="DI48" i="7" s="1"/>
  <c r="DJ48" i="7" s="1"/>
  <c r="DK48" i="7" s="1"/>
  <c r="DL48" i="7" s="1"/>
  <c r="DM48" i="7" s="1"/>
  <c r="DN48" i="7" s="1"/>
  <c r="DO48" i="7" s="1"/>
  <c r="DP48" i="7" s="1"/>
  <c r="DQ48" i="7" s="1"/>
  <c r="DR48" i="7" s="1"/>
  <c r="AR16" i="7"/>
  <c r="DD16" i="7" s="1"/>
  <c r="DD59" i="7"/>
  <c r="AR83" i="7"/>
  <c r="DD83" i="7" s="1"/>
  <c r="AR77" i="7"/>
  <c r="AR75" i="7"/>
  <c r="DD75" i="7" s="1"/>
  <c r="AR74" i="7"/>
  <c r="DD74" i="7" s="1"/>
  <c r="AR73" i="7"/>
  <c r="DD73" i="7" s="1"/>
  <c r="AR55" i="7"/>
  <c r="DD55" i="7" s="1"/>
  <c r="AR41" i="7"/>
  <c r="DD41" i="7" s="1"/>
  <c r="AR56" i="7"/>
  <c r="DD56" i="7" s="1"/>
  <c r="AR25" i="7"/>
  <c r="DD25" i="7" s="1"/>
  <c r="AR57" i="7"/>
  <c r="DD57" i="7" s="1"/>
  <c r="AR60" i="7"/>
  <c r="DD60" i="7" s="1"/>
  <c r="AR40" i="7"/>
  <c r="DD40" i="7" s="1"/>
  <c r="AR14" i="7"/>
  <c r="DD14" i="7" s="1"/>
  <c r="AR64" i="7"/>
  <c r="DD64" i="7" s="1"/>
  <c r="DF64" i="7"/>
  <c r="DG64" i="7" s="1"/>
  <c r="DH64" i="7" s="1"/>
  <c r="DI64" i="7" s="1"/>
  <c r="DJ64" i="7" s="1"/>
  <c r="DK64" i="7" s="1"/>
  <c r="DL64" i="7" s="1"/>
  <c r="AR43" i="7"/>
  <c r="DD43" i="7" s="1"/>
  <c r="AR32" i="7"/>
  <c r="DD32" i="7" s="1"/>
  <c r="DE32" i="7"/>
  <c r="DF32" i="7" s="1"/>
  <c r="DG32" i="7" s="1"/>
  <c r="DH32" i="7" s="1"/>
  <c r="DI32" i="7" s="1"/>
  <c r="DJ32" i="7" s="1"/>
  <c r="DK32" i="7" s="1"/>
  <c r="DL32" i="7" s="1"/>
  <c r="DM32" i="7" s="1"/>
  <c r="DN32" i="7" s="1"/>
  <c r="DO32" i="7" s="1"/>
  <c r="DP32" i="7" s="1"/>
  <c r="DQ32" i="7" s="1"/>
  <c r="DR32" i="7" s="1"/>
  <c r="AR54" i="7"/>
  <c r="DD54" i="7" s="1"/>
  <c r="AR53" i="7"/>
  <c r="DD53" i="7" s="1"/>
  <c r="AR52" i="7"/>
  <c r="DD52" i="7" s="1"/>
  <c r="AR49" i="7"/>
  <c r="DD49" i="7" s="1"/>
  <c r="AR21" i="7"/>
  <c r="DD21" i="7" s="1"/>
  <c r="AR51" i="7"/>
  <c r="DD51" i="7" s="1"/>
  <c r="AR42" i="7"/>
  <c r="DD42" i="7" s="1"/>
  <c r="AR17" i="7"/>
  <c r="DD17" i="7" s="1"/>
  <c r="AR50" i="7"/>
  <c r="DD50" i="7" s="1"/>
  <c r="AR18" i="7"/>
  <c r="DD18" i="7" s="1"/>
  <c r="AR45" i="7"/>
  <c r="DD45" i="7" s="1"/>
  <c r="AR47" i="7"/>
  <c r="DD47" i="7" s="1"/>
  <c r="AR19" i="7"/>
  <c r="DD19" i="7" s="1"/>
  <c r="DE19" i="7"/>
  <c r="DF19" i="7" s="1"/>
  <c r="DG19" i="7" s="1"/>
  <c r="DH19" i="7" s="1"/>
  <c r="DI19" i="7" s="1"/>
  <c r="DJ19" i="7" s="1"/>
  <c r="DK19" i="7" s="1"/>
  <c r="DL19" i="7" s="1"/>
  <c r="DM19" i="7" s="1"/>
  <c r="DN19" i="7" s="1"/>
  <c r="DO19" i="7" s="1"/>
  <c r="DP19" i="7" s="1"/>
  <c r="DQ19" i="7" s="1"/>
  <c r="DR19" i="7" s="1"/>
  <c r="AR34" i="7"/>
  <c r="DD34" i="7" s="1"/>
  <c r="AQ77" i="7"/>
  <c r="AQ71" i="7"/>
  <c r="AQ58" i="7"/>
  <c r="AR58" i="7" s="1"/>
  <c r="AQ69" i="7"/>
  <c r="AR69" i="7" s="1"/>
  <c r="AQ36" i="7"/>
  <c r="C21" i="4"/>
  <c r="C22" i="4"/>
  <c r="CZ2" i="7"/>
  <c r="DA2" i="7" s="1"/>
  <c r="DB2" i="7" s="1"/>
  <c r="DC2" i="7" s="1"/>
  <c r="DD2" i="7" s="1"/>
  <c r="DE2" i="7" s="1"/>
  <c r="DF2" i="7" s="1"/>
  <c r="DG2" i="7" s="1"/>
  <c r="DH2" i="7" s="1"/>
  <c r="AM13" i="7"/>
  <c r="AR13" i="7"/>
  <c r="AT99" i="7"/>
  <c r="CX13" i="7"/>
  <c r="CY13" i="7"/>
  <c r="CZ13" i="7"/>
  <c r="DA13" i="7"/>
  <c r="DB13" i="7"/>
  <c r="AN48" i="7"/>
  <c r="AR48" i="7" s="1"/>
  <c r="AO48" i="7"/>
  <c r="AP48" i="7"/>
  <c r="CX48" i="7"/>
  <c r="CY48" i="7"/>
  <c r="CZ48" i="7"/>
  <c r="DA48" i="7"/>
  <c r="DB48" i="7"/>
  <c r="AM16" i="7"/>
  <c r="AM101" i="7" s="1"/>
  <c r="CX16" i="7"/>
  <c r="CY16" i="7"/>
  <c r="CZ16" i="7"/>
  <c r="DA16" i="7"/>
  <c r="DB16" i="7"/>
  <c r="AR7" i="7"/>
  <c r="DD7" i="7" s="1"/>
  <c r="DE7" i="7"/>
  <c r="DF7" i="7" s="1"/>
  <c r="DG7" i="7" s="1"/>
  <c r="DH7" i="7" s="1"/>
  <c r="DI7" i="7" s="1"/>
  <c r="DJ7" i="7" s="1"/>
  <c r="DK7" i="7" s="1"/>
  <c r="DL7" i="7" s="1"/>
  <c r="DM7" i="7" s="1"/>
  <c r="DN7" i="7" s="1"/>
  <c r="DO7" i="7" s="1"/>
  <c r="DP7" i="7" s="1"/>
  <c r="DQ7" i="7" s="1"/>
  <c r="DR7" i="7" s="1"/>
  <c r="CX7" i="7"/>
  <c r="CY7" i="7"/>
  <c r="CZ7" i="7"/>
  <c r="DA7" i="7"/>
  <c r="DB7" i="7"/>
  <c r="DC7" i="7"/>
  <c r="W33" i="7"/>
  <c r="CY33" i="7" s="1"/>
  <c r="AA33" i="7"/>
  <c r="CZ33" i="7" s="1"/>
  <c r="AR33" i="7"/>
  <c r="DD33" i="7" s="1"/>
  <c r="CX33" i="7"/>
  <c r="DA33" i="7"/>
  <c r="DB33" i="7"/>
  <c r="DC33" i="7"/>
  <c r="W34" i="7"/>
  <c r="CY34" i="7" s="1"/>
  <c r="AA34" i="7"/>
  <c r="CZ34" i="7" s="1"/>
  <c r="CX34" i="7"/>
  <c r="DA34" i="7"/>
  <c r="DB34" i="7"/>
  <c r="DC34" i="7"/>
  <c r="W19" i="7"/>
  <c r="AA19" i="7"/>
  <c r="CZ19" i="7" s="1"/>
  <c r="CX19" i="7"/>
  <c r="DA19" i="7"/>
  <c r="DB19" i="7"/>
  <c r="DC19" i="7"/>
  <c r="W47" i="7"/>
  <c r="CY47" i="7" s="1"/>
  <c r="AA47" i="7"/>
  <c r="CZ47" i="7" s="1"/>
  <c r="AM47" i="7"/>
  <c r="DC47" i="7" s="1"/>
  <c r="CX47" i="7"/>
  <c r="DA47" i="7"/>
  <c r="DB47" i="7"/>
  <c r="W45" i="7"/>
  <c r="CY45" i="7" s="1"/>
  <c r="AA45" i="7"/>
  <c r="CZ45" i="7" s="1"/>
  <c r="AM45" i="7"/>
  <c r="DC45" i="7" s="1"/>
  <c r="CX45" i="7"/>
  <c r="DA45" i="7"/>
  <c r="DB45" i="7"/>
  <c r="W18" i="7"/>
  <c r="CY18" i="7" s="1"/>
  <c r="AA18" i="7"/>
  <c r="CX18" i="7"/>
  <c r="DA18" i="7"/>
  <c r="DB18" i="7"/>
  <c r="DC18" i="7"/>
  <c r="CX50" i="7"/>
  <c r="CY50" i="7"/>
  <c r="CZ50" i="7"/>
  <c r="DA50" i="7"/>
  <c r="DB50" i="7"/>
  <c r="DC50" i="7"/>
  <c r="W17" i="7"/>
  <c r="AA17" i="7"/>
  <c r="AM17" i="7"/>
  <c r="DC17" i="7" s="1"/>
  <c r="CX17" i="7"/>
  <c r="DA17" i="7"/>
  <c r="DB17" i="7"/>
  <c r="CZ42" i="7"/>
  <c r="DA42" i="7"/>
  <c r="DB42" i="7"/>
  <c r="DC42" i="7"/>
  <c r="CX51" i="7"/>
  <c r="CY51" i="7"/>
  <c r="CZ51" i="7"/>
  <c r="DA51" i="7" s="1"/>
  <c r="DB51" i="7"/>
  <c r="DC51" i="7"/>
  <c r="CX21" i="7"/>
  <c r="CY21" i="7"/>
  <c r="CZ21" i="7"/>
  <c r="DA21" i="7" s="1"/>
  <c r="DB21" i="7"/>
  <c r="DC21" i="7"/>
  <c r="W49" i="7"/>
  <c r="CY49" i="7" s="1"/>
  <c r="AA49" i="7"/>
  <c r="CZ49" i="7" s="1"/>
  <c r="DA49" i="7" s="1"/>
  <c r="CX49" i="7"/>
  <c r="DB49" i="7"/>
  <c r="DC49" i="7"/>
  <c r="W52" i="7"/>
  <c r="CY52" i="7" s="1"/>
  <c r="AA52" i="7"/>
  <c r="CZ52" i="7" s="1"/>
  <c r="DA52" i="7" s="1"/>
  <c r="CX52" i="7"/>
  <c r="DB52" i="7"/>
  <c r="DC52" i="7"/>
  <c r="W53" i="7"/>
  <c r="CY53" i="7" s="1"/>
  <c r="AA53" i="7"/>
  <c r="CZ53" i="7" s="1"/>
  <c r="DA53" i="7" s="1"/>
  <c r="CX53" i="7"/>
  <c r="DB53" i="7"/>
  <c r="DC53" i="7"/>
  <c r="W54" i="7"/>
  <c r="CY54" i="7" s="1"/>
  <c r="AA54" i="7"/>
  <c r="CZ54" i="7" s="1"/>
  <c r="DA54" i="7" s="1"/>
  <c r="CX54" i="7"/>
  <c r="DB54" i="7"/>
  <c r="DC54" i="7"/>
  <c r="W32" i="7"/>
  <c r="CY32" i="7" s="1"/>
  <c r="AA32" i="7"/>
  <c r="CZ32" i="7" s="1"/>
  <c r="CX32" i="7"/>
  <c r="DA32" i="7"/>
  <c r="DB32" i="7"/>
  <c r="DC32" i="7"/>
  <c r="CX43" i="7"/>
  <c r="CY43" i="7"/>
  <c r="CZ43" i="7"/>
  <c r="DA43" i="7" s="1"/>
  <c r="DB43" i="7"/>
  <c r="DC43" i="7"/>
  <c r="CX41" i="7"/>
  <c r="CY41" i="7"/>
  <c r="CZ41" i="7"/>
  <c r="DA41" i="7" s="1"/>
  <c r="DB41" i="7"/>
  <c r="DC41" i="7"/>
  <c r="AB36" i="7"/>
  <c r="CX36" i="7"/>
  <c r="CY36" i="7"/>
  <c r="DB36" i="7"/>
  <c r="DC36" i="7"/>
  <c r="CX55" i="7"/>
  <c r="CY55" i="7"/>
  <c r="CZ55" i="7"/>
  <c r="DA55" i="7" s="1"/>
  <c r="DB55" i="7"/>
  <c r="DC55" i="7"/>
  <c r="CX56" i="7"/>
  <c r="CY56" i="7"/>
  <c r="CZ56" i="7"/>
  <c r="DA56" i="7" s="1"/>
  <c r="DB56" i="7"/>
  <c r="DC56" i="7"/>
  <c r="CX57" i="7"/>
  <c r="CY57" i="7"/>
  <c r="CZ57" i="7"/>
  <c r="DA57" i="7" s="1"/>
  <c r="DB57" i="7"/>
  <c r="DC57" i="7"/>
  <c r="AE58" i="7"/>
  <c r="CX58" i="7"/>
  <c r="CY58" i="7"/>
  <c r="CZ58" i="7"/>
  <c r="DA58" i="7" s="1"/>
  <c r="DB58" i="7"/>
  <c r="DC58" i="7"/>
  <c r="DB25" i="7"/>
  <c r="DC25" i="7"/>
  <c r="DB40" i="7"/>
  <c r="DC40" i="7"/>
  <c r="DB59" i="7"/>
  <c r="DC59" i="7"/>
  <c r="W61" i="7"/>
  <c r="CY61" i="7" s="1"/>
  <c r="AA61" i="7"/>
  <c r="CZ61" i="7" s="1"/>
  <c r="DA61" i="7" s="1"/>
  <c r="CX61" i="7"/>
  <c r="DB61" i="7"/>
  <c r="W62" i="7"/>
  <c r="CY62" i="7" s="1"/>
  <c r="AA62" i="7"/>
  <c r="CZ62" i="7" s="1"/>
  <c r="DA62" i="7" s="1"/>
  <c r="CX62" i="7"/>
  <c r="DB62" i="7"/>
  <c r="CZ63" i="7"/>
  <c r="DA63" i="7" s="1"/>
  <c r="DB63" i="7"/>
  <c r="W22" i="7"/>
  <c r="CY22" i="7" s="1"/>
  <c r="AA22" i="7"/>
  <c r="CX22" i="7"/>
  <c r="W64" i="7"/>
  <c r="CY64" i="7" s="1"/>
  <c r="AA64" i="7"/>
  <c r="CZ64" i="7" s="1"/>
  <c r="DA64" i="7" s="1"/>
  <c r="CX64" i="7"/>
  <c r="DB64" i="7"/>
  <c r="W69" i="7"/>
  <c r="X69" i="7"/>
  <c r="Y69" i="7"/>
  <c r="Y70" i="7" s="1"/>
  <c r="Z69" i="7"/>
  <c r="AA69" i="7"/>
  <c r="AB69" i="7"/>
  <c r="AD69" i="7"/>
  <c r="AD70" i="7" s="1"/>
  <c r="AF69" i="7"/>
  <c r="AF70" i="7" s="1"/>
  <c r="AG69" i="7"/>
  <c r="AG70" i="7" s="1"/>
  <c r="AH69" i="7"/>
  <c r="AH70" i="7" s="1"/>
  <c r="AI69" i="7"/>
  <c r="AI70" i="7" s="1"/>
  <c r="AJ69" i="7"/>
  <c r="AK69" i="7"/>
  <c r="AL69" i="7"/>
  <c r="AM69" i="7"/>
  <c r="AN69" i="7"/>
  <c r="AO69" i="7"/>
  <c r="AP69" i="7"/>
  <c r="CX69" i="7"/>
  <c r="V89" i="7"/>
  <c r="AC87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DA86" i="7"/>
  <c r="DB71" i="7"/>
  <c r="CY73" i="7"/>
  <c r="CZ73" i="7" s="1"/>
  <c r="DA73" i="7" s="1"/>
  <c r="DB73" i="7"/>
  <c r="DC73" i="7"/>
  <c r="CY74" i="7"/>
  <c r="CZ74" i="7" s="1"/>
  <c r="DA74" i="7" s="1"/>
  <c r="DB74" i="7"/>
  <c r="DC74" i="7"/>
  <c r="CY75" i="7"/>
  <c r="CZ75" i="7" s="1"/>
  <c r="DA75" i="7" s="1"/>
  <c r="DB75" i="7"/>
  <c r="DC75" i="7"/>
  <c r="W77" i="7"/>
  <c r="X77" i="7"/>
  <c r="Y77" i="7"/>
  <c r="Z77" i="7"/>
  <c r="AA77" i="7"/>
  <c r="AB77" i="7"/>
  <c r="AC77" i="7"/>
  <c r="AD77" i="7"/>
  <c r="AF77" i="7"/>
  <c r="AG77" i="7"/>
  <c r="AH77" i="7"/>
  <c r="AI77" i="7"/>
  <c r="AJ77" i="7"/>
  <c r="AK77" i="7"/>
  <c r="AL77" i="7"/>
  <c r="AM77" i="7"/>
  <c r="AN77" i="7"/>
  <c r="AO77" i="7"/>
  <c r="AP77" i="7"/>
  <c r="DA77" i="7"/>
  <c r="DC79" i="7"/>
  <c r="CY79" i="7"/>
  <c r="DB79" i="7"/>
  <c r="DB80" i="7"/>
  <c r="DC80" i="7"/>
  <c r="AD83" i="7"/>
  <c r="DA83" i="7"/>
  <c r="DB83" i="7"/>
  <c r="R86" i="7"/>
  <c r="S86" i="7"/>
  <c r="T86" i="7"/>
  <c r="U86" i="7"/>
  <c r="S89" i="7"/>
  <c r="T89" i="7"/>
  <c r="U89" i="7"/>
  <c r="AE92" i="7"/>
  <c r="AD92" i="7" s="1"/>
  <c r="AN104" i="7"/>
  <c r="AN92" i="7" s="1"/>
  <c r="AB93" i="7"/>
  <c r="AN114" i="7"/>
  <c r="AN93" i="7" s="1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N99" i="7"/>
  <c r="AO99" i="7"/>
  <c r="AP99" i="7"/>
  <c r="AS99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Q100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N101" i="7"/>
  <c r="AO101" i="7"/>
  <c r="AP101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M105" i="7"/>
  <c r="AN105" i="7"/>
  <c r="AM106" i="7"/>
  <c r="AM110" i="7"/>
  <c r="AN110" i="7"/>
  <c r="AM114" i="7"/>
  <c r="AM117" i="7"/>
  <c r="AN117" i="7"/>
  <c r="AM118" i="7"/>
  <c r="AN118" i="7"/>
  <c r="K4" i="1"/>
  <c r="K7" i="1" s="1"/>
  <c r="DG69" i="7"/>
  <c r="DH69" i="7" s="1"/>
  <c r="DI69" i="7" s="1"/>
  <c r="DJ69" i="7" s="1"/>
  <c r="DK69" i="7" s="1"/>
  <c r="DL69" i="7" s="1"/>
  <c r="DM69" i="7" s="1"/>
  <c r="DN69" i="7" s="1"/>
  <c r="DO69" i="7" s="1"/>
  <c r="DP69" i="7" s="1"/>
  <c r="DQ69" i="7" s="1"/>
  <c r="DR69" i="7" s="1"/>
  <c r="DE57" i="7"/>
  <c r="DF57" i="7" s="1"/>
  <c r="DG57" i="7" s="1"/>
  <c r="DH57" i="7" s="1"/>
  <c r="DI57" i="7" s="1"/>
  <c r="DJ57" i="7" s="1"/>
  <c r="DK57" i="7" s="1"/>
  <c r="DL57" i="7" s="1"/>
  <c r="DM57" i="7" s="1"/>
  <c r="DN57" i="7" s="1"/>
  <c r="DO57" i="7" s="1"/>
  <c r="DP57" i="7" s="1"/>
  <c r="DQ57" i="7" s="1"/>
  <c r="DR57" i="7" s="1"/>
  <c r="DD22" i="7"/>
  <c r="DE77" i="7"/>
  <c r="DF77" i="7"/>
  <c r="DE22" i="7"/>
  <c r="DF22" i="7" s="1"/>
  <c r="DG22" i="7" s="1"/>
  <c r="DH22" i="7" s="1"/>
  <c r="DI22" i="7" s="1"/>
  <c r="DJ22" i="7" s="1"/>
  <c r="DK22" i="7" s="1"/>
  <c r="DL22" i="7" s="1"/>
  <c r="DE42" i="7"/>
  <c r="DF42" i="7" s="1"/>
  <c r="DG42" i="7" s="1"/>
  <c r="DH42" i="7" s="1"/>
  <c r="DI42" i="7" s="1"/>
  <c r="DJ42" i="7" s="1"/>
  <c r="DK42" i="7" s="1"/>
  <c r="DL42" i="7" s="1"/>
  <c r="DM42" i="7" s="1"/>
  <c r="DN42" i="7" s="1"/>
  <c r="DO42" i="7" s="1"/>
  <c r="DP42" i="7" s="1"/>
  <c r="DQ42" i="7" s="1"/>
  <c r="DR42" i="7" s="1"/>
  <c r="DE25" i="7"/>
  <c r="DF25" i="7" s="1"/>
  <c r="DG25" i="7" s="1"/>
  <c r="DH25" i="7" s="1"/>
  <c r="DI25" i="7" s="1"/>
  <c r="DJ25" i="7" s="1"/>
  <c r="DK25" i="7" s="1"/>
  <c r="DL25" i="7" s="1"/>
  <c r="DM25" i="7" s="1"/>
  <c r="DN25" i="7" s="1"/>
  <c r="DO25" i="7" s="1"/>
  <c r="DP25" i="7" s="1"/>
  <c r="DQ25" i="7" s="1"/>
  <c r="DR25" i="7" s="1"/>
  <c r="DE58" i="7"/>
  <c r="DF58" i="7" s="1"/>
  <c r="DG58" i="7" s="1"/>
  <c r="DH58" i="7" s="1"/>
  <c r="DI58" i="7" s="1"/>
  <c r="DJ58" i="7" s="1"/>
  <c r="DK58" i="7" s="1"/>
  <c r="DL58" i="7" s="1"/>
  <c r="DM58" i="7" s="1"/>
  <c r="DN58" i="7" s="1"/>
  <c r="DO58" i="7" s="1"/>
  <c r="DP58" i="7" s="1"/>
  <c r="DQ58" i="7" s="1"/>
  <c r="DR58" i="7" s="1"/>
  <c r="DE51" i="7"/>
  <c r="DF51" i="7" s="1"/>
  <c r="DG51" i="7" s="1"/>
  <c r="DH51" i="7" s="1"/>
  <c r="DI51" i="7" s="1"/>
  <c r="DJ51" i="7" s="1"/>
  <c r="DK51" i="7" s="1"/>
  <c r="DL51" i="7" s="1"/>
  <c r="DM51" i="7" s="1"/>
  <c r="DN51" i="7" s="1"/>
  <c r="DO51" i="7" s="1"/>
  <c r="DP51" i="7" s="1"/>
  <c r="DQ51" i="7" s="1"/>
  <c r="DR51" i="7" s="1"/>
  <c r="DE52" i="7"/>
  <c r="DF52" i="7" s="1"/>
  <c r="DG52" i="7" s="1"/>
  <c r="DH52" i="7" s="1"/>
  <c r="DI52" i="7" s="1"/>
  <c r="DJ52" i="7" s="1"/>
  <c r="DK52" i="7" s="1"/>
  <c r="DL52" i="7" s="1"/>
  <c r="DM52" i="7" s="1"/>
  <c r="DN52" i="7" s="1"/>
  <c r="DO52" i="7" s="1"/>
  <c r="DP52" i="7" s="1"/>
  <c r="DQ52" i="7" s="1"/>
  <c r="DR52" i="7" s="1"/>
  <c r="DE50" i="7"/>
  <c r="DF50" i="7" s="1"/>
  <c r="DG50" i="7" s="1"/>
  <c r="DH50" i="7" s="1"/>
  <c r="DI50" i="7" s="1"/>
  <c r="DJ50" i="7" s="1"/>
  <c r="DK50" i="7" s="1"/>
  <c r="DL50" i="7" s="1"/>
  <c r="DM50" i="7" s="1"/>
  <c r="DN50" i="7" s="1"/>
  <c r="DO50" i="7" s="1"/>
  <c r="DP50" i="7" s="1"/>
  <c r="DQ50" i="7" s="1"/>
  <c r="DR50" i="7" s="1"/>
  <c r="DE66" i="7"/>
  <c r="DF66" i="7" s="1"/>
  <c r="DG66" i="7" s="1"/>
  <c r="DH66" i="7" s="1"/>
  <c r="DI66" i="7" s="1"/>
  <c r="DJ66" i="7" s="1"/>
  <c r="DK66" i="7" s="1"/>
  <c r="DL66" i="7" s="1"/>
  <c r="DM66" i="7" s="1"/>
  <c r="DN66" i="7" s="1"/>
  <c r="DO66" i="7" s="1"/>
  <c r="DP66" i="7" s="1"/>
  <c r="DQ66" i="7" s="1"/>
  <c r="DR66" i="7" s="1"/>
  <c r="DE13" i="7"/>
  <c r="DF13" i="7" s="1"/>
  <c r="DG13" i="7" s="1"/>
  <c r="DH13" i="7" s="1"/>
  <c r="DI13" i="7" s="1"/>
  <c r="AV87" i="7"/>
  <c r="DE21" i="7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DE17" i="7"/>
  <c r="DF17" i="7" s="1"/>
  <c r="DG17" i="7" s="1"/>
  <c r="DH17" i="7" s="1"/>
  <c r="DI17" i="7" s="1"/>
  <c r="DJ17" i="7" s="1"/>
  <c r="DK17" i="7" s="1"/>
  <c r="DL17" i="7" s="1"/>
  <c r="DM17" i="7" s="1"/>
  <c r="DN17" i="7" s="1"/>
  <c r="DO17" i="7" s="1"/>
  <c r="DP17" i="7" s="1"/>
  <c r="DQ17" i="7" s="1"/>
  <c r="DR17" i="7" s="1"/>
  <c r="DE14" i="7"/>
  <c r="DF14" i="7" s="1"/>
  <c r="DG14" i="7" s="1"/>
  <c r="DH14" i="7" s="1"/>
  <c r="DI14" i="7" s="1"/>
  <c r="DJ14" i="7" s="1"/>
  <c r="DK14" i="7" s="1"/>
  <c r="DL14" i="7" s="1"/>
  <c r="DM14" i="7" s="1"/>
  <c r="DN14" i="7" s="1"/>
  <c r="DO14" i="7" s="1"/>
  <c r="DP14" i="7" s="1"/>
  <c r="DQ14" i="7" s="1"/>
  <c r="DR14" i="7" s="1"/>
  <c r="DE55" i="7"/>
  <c r="DF55" i="7" s="1"/>
  <c r="DG55" i="7" s="1"/>
  <c r="DH55" i="7" s="1"/>
  <c r="DI55" i="7" s="1"/>
  <c r="DJ55" i="7" s="1"/>
  <c r="DK55" i="7" s="1"/>
  <c r="DL55" i="7" s="1"/>
  <c r="DM55" i="7" s="1"/>
  <c r="DN55" i="7" s="1"/>
  <c r="DO55" i="7" s="1"/>
  <c r="DP55" i="7" s="1"/>
  <c r="DQ55" i="7" s="1"/>
  <c r="DR55" i="7" s="1"/>
  <c r="DE41" i="7"/>
  <c r="DF41" i="7" s="1"/>
  <c r="DG41" i="7" s="1"/>
  <c r="DH41" i="7" s="1"/>
  <c r="DI41" i="7" s="1"/>
  <c r="DJ41" i="7" s="1"/>
  <c r="DK41" i="7" s="1"/>
  <c r="DL41" i="7" s="1"/>
  <c r="DM41" i="7" s="1"/>
  <c r="DN41" i="7" s="1"/>
  <c r="DO41" i="7" s="1"/>
  <c r="DP41" i="7" s="1"/>
  <c r="DQ41" i="7" s="1"/>
  <c r="DR41" i="7" s="1"/>
  <c r="DE45" i="7"/>
  <c r="DF45" i="7" s="1"/>
  <c r="DG45" i="7" s="1"/>
  <c r="DH45" i="7" s="1"/>
  <c r="DI45" i="7" s="1"/>
  <c r="DJ45" i="7" s="1"/>
  <c r="DK45" i="7" s="1"/>
  <c r="DL45" i="7" s="1"/>
  <c r="DM45" i="7" s="1"/>
  <c r="DN45" i="7" s="1"/>
  <c r="DO45" i="7" s="1"/>
  <c r="DP45" i="7" s="1"/>
  <c r="DQ45" i="7" s="1"/>
  <c r="DR45" i="7" s="1"/>
  <c r="DE47" i="7"/>
  <c r="DF47" i="7" s="1"/>
  <c r="DG47" i="7" s="1"/>
  <c r="DH47" i="7" s="1"/>
  <c r="DI47" i="7" s="1"/>
  <c r="DJ47" i="7" s="1"/>
  <c r="DK47" i="7" s="1"/>
  <c r="DL47" i="7" s="1"/>
  <c r="DM47" i="7" s="1"/>
  <c r="DN47" i="7" s="1"/>
  <c r="DO47" i="7" s="1"/>
  <c r="DP47" i="7" s="1"/>
  <c r="DQ47" i="7" s="1"/>
  <c r="DR47" i="7" s="1"/>
  <c r="DE34" i="7"/>
  <c r="DE49" i="7"/>
  <c r="DF49" i="7" s="1"/>
  <c r="DG49" i="7" s="1"/>
  <c r="DE18" i="7"/>
  <c r="DF18" i="7" s="1"/>
  <c r="DG18" i="7" s="1"/>
  <c r="DH18" i="7" s="1"/>
  <c r="DI18" i="7" s="1"/>
  <c r="DJ18" i="7" s="1"/>
  <c r="DK18" i="7" s="1"/>
  <c r="DL18" i="7" s="1"/>
  <c r="DM18" i="7" s="1"/>
  <c r="DN18" i="7" s="1"/>
  <c r="DO18" i="7" s="1"/>
  <c r="DP18" i="7" s="1"/>
  <c r="DQ18" i="7" s="1"/>
  <c r="DR18" i="7" s="1"/>
  <c r="AX87" i="7"/>
  <c r="AW72" i="7"/>
  <c r="DE43" i="7"/>
  <c r="DF43" i="7" s="1"/>
  <c r="DG43" i="7" s="1"/>
  <c r="DH43" i="7" s="1"/>
  <c r="DI43" i="7" s="1"/>
  <c r="DJ43" i="7" s="1"/>
  <c r="DK43" i="7" s="1"/>
  <c r="DL43" i="7" s="1"/>
  <c r="DM43" i="7" s="1"/>
  <c r="DN43" i="7" s="1"/>
  <c r="DO43" i="7" s="1"/>
  <c r="DP43" i="7" s="1"/>
  <c r="DQ43" i="7" s="1"/>
  <c r="DR43" i="7" s="1"/>
  <c r="CA89" i="7" l="1"/>
  <c r="CA78" i="7"/>
  <c r="CE89" i="7"/>
  <c r="CE78" i="7"/>
  <c r="CC89" i="7"/>
  <c r="CC78" i="7"/>
  <c r="CB78" i="7"/>
  <c r="CB89" i="7"/>
  <c r="CD78" i="7"/>
  <c r="CD89" i="7"/>
  <c r="CJ89" i="7"/>
  <c r="CJ78" i="7"/>
  <c r="CG81" i="7"/>
  <c r="CG82" i="7" s="1"/>
  <c r="CG90" i="7"/>
  <c r="AS70" i="7"/>
  <c r="BZ89" i="7"/>
  <c r="BZ78" i="7"/>
  <c r="AO70" i="7"/>
  <c r="AO88" i="7" s="1"/>
  <c r="AQ70" i="7"/>
  <c r="AK70" i="7"/>
  <c r="AK87" i="7" s="1"/>
  <c r="AP100" i="7"/>
  <c r="AP70" i="7"/>
  <c r="AP72" i="7" s="1"/>
  <c r="AJ70" i="7"/>
  <c r="AJ87" i="7" s="1"/>
  <c r="AN100" i="7"/>
  <c r="AN70" i="7"/>
  <c r="CZ36" i="7"/>
  <c r="DA36" i="7" s="1"/>
  <c r="AB70" i="7"/>
  <c r="AE69" i="7"/>
  <c r="AE70" i="7" s="1"/>
  <c r="AI95" i="7" s="1"/>
  <c r="DE36" i="7"/>
  <c r="DF36" i="7" s="1"/>
  <c r="DG36" i="7" s="1"/>
  <c r="DH36" i="7" s="1"/>
  <c r="DI36" i="7" s="1"/>
  <c r="DJ36" i="7" s="1"/>
  <c r="DK36" i="7" s="1"/>
  <c r="DL36" i="7" s="1"/>
  <c r="DM36" i="7" s="1"/>
  <c r="DN36" i="7" s="1"/>
  <c r="DO36" i="7" s="1"/>
  <c r="DP36" i="7" s="1"/>
  <c r="DQ36" i="7" s="1"/>
  <c r="DR36" i="7" s="1"/>
  <c r="AU70" i="7"/>
  <c r="AU88" i="7" s="1"/>
  <c r="CZ17" i="7"/>
  <c r="AA70" i="7"/>
  <c r="Z70" i="7"/>
  <c r="Z88" i="7" s="1"/>
  <c r="CY17" i="7"/>
  <c r="W70" i="7"/>
  <c r="AR99" i="7"/>
  <c r="DC13" i="7"/>
  <c r="AM70" i="7"/>
  <c r="AL70" i="7"/>
  <c r="AL88" i="7" s="1"/>
  <c r="X70" i="7"/>
  <c r="X88" i="7" s="1"/>
  <c r="AW87" i="7"/>
  <c r="CI72" i="7"/>
  <c r="AS88" i="7"/>
  <c r="AS100" i="7"/>
  <c r="DD58" i="7"/>
  <c r="DD13" i="7"/>
  <c r="AX88" i="7"/>
  <c r="DD48" i="7"/>
  <c r="AT100" i="7"/>
  <c r="AV74" i="7"/>
  <c r="AV88" i="7" s="1"/>
  <c r="DB69" i="7"/>
  <c r="DB70" i="7" s="1"/>
  <c r="DB72" i="7" s="1"/>
  <c r="CY69" i="7"/>
  <c r="AM121" i="7"/>
  <c r="AM123" i="7" s="1"/>
  <c r="AN121" i="7"/>
  <c r="AN123" i="7" s="1"/>
  <c r="AH87" i="7"/>
  <c r="AH72" i="7"/>
  <c r="DB77" i="7"/>
  <c r="AC72" i="7"/>
  <c r="DD69" i="7"/>
  <c r="AM112" i="7"/>
  <c r="AG95" i="7"/>
  <c r="AG88" i="7"/>
  <c r="AM99" i="7"/>
  <c r="AG72" i="7"/>
  <c r="DD77" i="7"/>
  <c r="CY77" i="7"/>
  <c r="AG87" i="7"/>
  <c r="AQ99" i="7"/>
  <c r="Y88" i="7"/>
  <c r="Y95" i="7"/>
  <c r="Y87" i="7"/>
  <c r="Y72" i="7"/>
  <c r="AC95" i="7"/>
  <c r="CY71" i="7"/>
  <c r="AX72" i="7"/>
  <c r="AH95" i="7"/>
  <c r="AW88" i="7"/>
  <c r="DC77" i="7"/>
  <c r="DC16" i="7"/>
  <c r="AN112" i="7"/>
  <c r="V86" i="7"/>
  <c r="AC88" i="7"/>
  <c r="DH16" i="7"/>
  <c r="DI16" i="7" s="1"/>
  <c r="DJ16" i="7" s="1"/>
  <c r="DK16" i="7" s="1"/>
  <c r="DL16" i="7" s="1"/>
  <c r="AW76" i="7"/>
  <c r="AW86" i="7"/>
  <c r="DJ13" i="7"/>
  <c r="AI88" i="7"/>
  <c r="AI72" i="7"/>
  <c r="DC48" i="7"/>
  <c r="AR36" i="7"/>
  <c r="DD36" i="7" s="1"/>
  <c r="AV72" i="7"/>
  <c r="AF88" i="7"/>
  <c r="AF72" i="7"/>
  <c r="AF87" i="7"/>
  <c r="AD87" i="7"/>
  <c r="AD88" i="7"/>
  <c r="AD72" i="7"/>
  <c r="CX70" i="7"/>
  <c r="BD87" i="7"/>
  <c r="BD88" i="7"/>
  <c r="BD72" i="7"/>
  <c r="AW71" i="7"/>
  <c r="CZ69" i="7"/>
  <c r="DA69" i="7" s="1"/>
  <c r="AX83" i="7"/>
  <c r="DE83" i="7" s="1"/>
  <c r="DF83" i="7" s="1"/>
  <c r="DG83" i="7" s="1"/>
  <c r="DH83" i="7" s="1"/>
  <c r="DI83" i="7" s="1"/>
  <c r="DJ83" i="7" s="1"/>
  <c r="DK83" i="7" s="1"/>
  <c r="DL83" i="7" s="1"/>
  <c r="DM83" i="7" s="1"/>
  <c r="DN83" i="7" s="1"/>
  <c r="DO83" i="7" s="1"/>
  <c r="DP83" i="7" s="1"/>
  <c r="DQ83" i="7" s="1"/>
  <c r="DR83" i="7" s="1"/>
  <c r="AT88" i="7"/>
  <c r="AT87" i="7"/>
  <c r="AT72" i="7"/>
  <c r="AR100" i="7"/>
  <c r="DF34" i="7"/>
  <c r="DG34" i="7" s="1"/>
  <c r="DH34" i="7" s="1"/>
  <c r="DI34" i="7" s="1"/>
  <c r="DJ34" i="7" s="1"/>
  <c r="DK34" i="7" s="1"/>
  <c r="DL34" i="7" s="1"/>
  <c r="DM34" i="7" s="1"/>
  <c r="DN34" i="7" s="1"/>
  <c r="DO34" i="7" s="1"/>
  <c r="DP34" i="7" s="1"/>
  <c r="DQ34" i="7" s="1"/>
  <c r="DR34" i="7" s="1"/>
  <c r="AI87" i="7"/>
  <c r="CZ18" i="7"/>
  <c r="AO100" i="7"/>
  <c r="CY19" i="7"/>
  <c r="DC69" i="7"/>
  <c r="AH88" i="7"/>
  <c r="CA90" i="7" l="1"/>
  <c r="CA81" i="7"/>
  <c r="CA82" i="7" s="1"/>
  <c r="BZ81" i="7"/>
  <c r="BZ82" i="7" s="1"/>
  <c r="BZ90" i="7"/>
  <c r="CJ81" i="7"/>
  <c r="CJ82" i="7" s="1"/>
  <c r="CJ90" i="7"/>
  <c r="CC81" i="7"/>
  <c r="CC82" i="7" s="1"/>
  <c r="CC90" i="7"/>
  <c r="CD81" i="7"/>
  <c r="CD82" i="7" s="1"/>
  <c r="CD90" i="7"/>
  <c r="AK72" i="7"/>
  <c r="AK95" i="7"/>
  <c r="CE81" i="7"/>
  <c r="CE82" i="7" s="1"/>
  <c r="CE90" i="7"/>
  <c r="AK88" i="7"/>
  <c r="CB81" i="7"/>
  <c r="CB82" i="7" s="1"/>
  <c r="CB90" i="7"/>
  <c r="AJ95" i="7"/>
  <c r="CI76" i="7"/>
  <c r="CI86" i="7"/>
  <c r="AJ72" i="7"/>
  <c r="AJ86" i="7" s="1"/>
  <c r="AJ88" i="7"/>
  <c r="AD95" i="7"/>
  <c r="Z95" i="7"/>
  <c r="AL95" i="7"/>
  <c r="Z87" i="7"/>
  <c r="X72" i="7"/>
  <c r="X86" i="7" s="1"/>
  <c r="X87" i="7"/>
  <c r="AB95" i="7"/>
  <c r="AL87" i="7"/>
  <c r="DE70" i="7"/>
  <c r="DE74" i="7" s="1"/>
  <c r="Z72" i="7"/>
  <c r="Z86" i="7" s="1"/>
  <c r="AL72" i="7"/>
  <c r="AL86" i="7" s="1"/>
  <c r="DA70" i="7"/>
  <c r="DA88" i="7" s="1"/>
  <c r="Z76" i="7"/>
  <c r="Z78" i="7" s="1"/>
  <c r="Z90" i="7" s="1"/>
  <c r="AR70" i="7"/>
  <c r="AS87" i="7"/>
  <c r="AS72" i="7"/>
  <c r="AS76" i="7" s="1"/>
  <c r="X76" i="7"/>
  <c r="X89" i="7" s="1"/>
  <c r="DD70" i="7"/>
  <c r="DD87" i="7" s="1"/>
  <c r="AP95" i="7"/>
  <c r="AR87" i="7"/>
  <c r="AP87" i="7"/>
  <c r="AP88" i="7"/>
  <c r="AO95" i="7"/>
  <c r="CY70" i="7"/>
  <c r="CY88" i="7" s="1"/>
  <c r="AO87" i="7"/>
  <c r="AO72" i="7"/>
  <c r="AO86" i="7" s="1"/>
  <c r="AU87" i="7"/>
  <c r="AU72" i="7"/>
  <c r="AU86" i="7" s="1"/>
  <c r="CZ70" i="7"/>
  <c r="CZ72" i="7" s="1"/>
  <c r="CZ76" i="7" s="1"/>
  <c r="CZ78" i="7" s="1"/>
  <c r="AC86" i="7"/>
  <c r="AC76" i="7"/>
  <c r="AB72" i="7"/>
  <c r="AB76" i="7" s="1"/>
  <c r="AB87" i="7"/>
  <c r="AF95" i="7"/>
  <c r="AB88" i="7"/>
  <c r="AH86" i="7"/>
  <c r="AH76" i="7"/>
  <c r="DB88" i="7"/>
  <c r="AG86" i="7"/>
  <c r="AG76" i="7"/>
  <c r="AM87" i="7"/>
  <c r="AM95" i="7"/>
  <c r="AM72" i="7"/>
  <c r="AM88" i="7"/>
  <c r="Y76" i="7"/>
  <c r="Y86" i="7"/>
  <c r="DC70" i="7"/>
  <c r="AE72" i="7"/>
  <c r="AE88" i="7"/>
  <c r="AE87" i="7"/>
  <c r="W88" i="7"/>
  <c r="W72" i="7"/>
  <c r="W87" i="7"/>
  <c r="AX71" i="7"/>
  <c r="AX76" i="7"/>
  <c r="AX86" i="7"/>
  <c r="AV76" i="7"/>
  <c r="AV86" i="7"/>
  <c r="AN88" i="7"/>
  <c r="AN87" i="7"/>
  <c r="AN95" i="7"/>
  <c r="AN72" i="7"/>
  <c r="DJ70" i="7"/>
  <c r="DK13" i="7"/>
  <c r="AP86" i="7"/>
  <c r="AP76" i="7"/>
  <c r="DF70" i="7"/>
  <c r="AI76" i="7"/>
  <c r="AI86" i="7"/>
  <c r="AK76" i="7"/>
  <c r="AK86" i="7"/>
  <c r="AJ76" i="7"/>
  <c r="AQ87" i="7"/>
  <c r="AQ72" i="7"/>
  <c r="AQ88" i="7"/>
  <c r="DH70" i="7"/>
  <c r="BD86" i="7"/>
  <c r="BD76" i="7"/>
  <c r="DB86" i="7"/>
  <c r="DB76" i="7"/>
  <c r="DB78" i="7" s="1"/>
  <c r="DB81" i="7" s="1"/>
  <c r="DB82" i="7" s="1"/>
  <c r="AF86" i="7"/>
  <c r="AF76" i="7"/>
  <c r="DG70" i="7"/>
  <c r="DI70" i="7"/>
  <c r="AW89" i="7"/>
  <c r="AW78" i="7"/>
  <c r="AA87" i="7"/>
  <c r="AA72" i="7"/>
  <c r="AA88" i="7"/>
  <c r="AE95" i="7"/>
  <c r="AA95" i="7"/>
  <c r="AD76" i="7"/>
  <c r="AD86" i="7"/>
  <c r="AT86" i="7"/>
  <c r="AT76" i="7"/>
  <c r="AV71" i="7"/>
  <c r="CI78" i="7" l="1"/>
  <c r="CI89" i="7"/>
  <c r="DE87" i="7"/>
  <c r="Z89" i="7"/>
  <c r="DA72" i="7"/>
  <c r="DA76" i="7" s="1"/>
  <c r="DA78" i="7" s="1"/>
  <c r="AL76" i="7"/>
  <c r="AL78" i="7" s="1"/>
  <c r="AL90" i="7" s="1"/>
  <c r="Z81" i="7"/>
  <c r="Z82" i="7" s="1"/>
  <c r="AS86" i="7"/>
  <c r="X78" i="7"/>
  <c r="X81" i="7" s="1"/>
  <c r="X82" i="7" s="1"/>
  <c r="DE95" i="7"/>
  <c r="DD95" i="7"/>
  <c r="AR72" i="7"/>
  <c r="AR71" i="7" s="1"/>
  <c r="DD71" i="7" s="1"/>
  <c r="AR88" i="7"/>
  <c r="DC87" i="7"/>
  <c r="CY72" i="7"/>
  <c r="CY86" i="7" s="1"/>
  <c r="CY87" i="7"/>
  <c r="AO76" i="7"/>
  <c r="AO89" i="7" s="1"/>
  <c r="CZ88" i="7"/>
  <c r="DC95" i="7"/>
  <c r="CZ71" i="7"/>
  <c r="AB86" i="7"/>
  <c r="AU76" i="7"/>
  <c r="AU78" i="7" s="1"/>
  <c r="DA71" i="7"/>
  <c r="AH89" i="7"/>
  <c r="AH78" i="7"/>
  <c r="AG78" i="7"/>
  <c r="AG89" i="7"/>
  <c r="AC89" i="7"/>
  <c r="AC78" i="7"/>
  <c r="DC88" i="7"/>
  <c r="Y89" i="7"/>
  <c r="Y78" i="7"/>
  <c r="W86" i="7"/>
  <c r="W76" i="7"/>
  <c r="AS89" i="7"/>
  <c r="AS78" i="7"/>
  <c r="AX78" i="7"/>
  <c r="AX79" i="7" s="1"/>
  <c r="AX89" i="7"/>
  <c r="AM76" i="7"/>
  <c r="AM86" i="7"/>
  <c r="AE86" i="7"/>
  <c r="AE76" i="7"/>
  <c r="AN76" i="7"/>
  <c r="AN86" i="7"/>
  <c r="DC72" i="7"/>
  <c r="DI95" i="7"/>
  <c r="DI74" i="7"/>
  <c r="DI87" i="7"/>
  <c r="AK89" i="7"/>
  <c r="AK78" i="7"/>
  <c r="AA86" i="7"/>
  <c r="AA76" i="7"/>
  <c r="CZ79" i="7"/>
  <c r="CZ81" i="7" s="1"/>
  <c r="AV78" i="7"/>
  <c r="AV89" i="7"/>
  <c r="BD89" i="7"/>
  <c r="BD78" i="7"/>
  <c r="DG95" i="7"/>
  <c r="DG87" i="7"/>
  <c r="DG74" i="7"/>
  <c r="AI89" i="7"/>
  <c r="AI78" i="7"/>
  <c r="DH95" i="7"/>
  <c r="DH87" i="7"/>
  <c r="DH74" i="7"/>
  <c r="AF78" i="7"/>
  <c r="AF89" i="7"/>
  <c r="DA79" i="7"/>
  <c r="DA81" i="7" s="1"/>
  <c r="DA82" i="7" s="1"/>
  <c r="DL13" i="7"/>
  <c r="DK70" i="7"/>
  <c r="AD89" i="7"/>
  <c r="AD78" i="7"/>
  <c r="DF95" i="7"/>
  <c r="DF74" i="7"/>
  <c r="DF87" i="7"/>
  <c r="AP89" i="7"/>
  <c r="AP78" i="7"/>
  <c r="AW79" i="7"/>
  <c r="AW90" i="7" s="1"/>
  <c r="AT89" i="7"/>
  <c r="AT78" i="7"/>
  <c r="AQ86" i="7"/>
  <c r="AQ76" i="7"/>
  <c r="AB78" i="7"/>
  <c r="AB89" i="7"/>
  <c r="AJ89" i="7"/>
  <c r="AJ78" i="7"/>
  <c r="DJ95" i="7"/>
  <c r="DJ87" i="7"/>
  <c r="DJ74" i="7"/>
  <c r="CI81" i="7" l="1"/>
  <c r="CI82" i="7" s="1"/>
  <c r="CI90" i="7"/>
  <c r="AL81" i="7"/>
  <c r="AL82" i="7" s="1"/>
  <c r="X90" i="7"/>
  <c r="AL89" i="7"/>
  <c r="AR76" i="7"/>
  <c r="AR78" i="7" s="1"/>
  <c r="AR86" i="7"/>
  <c r="DD72" i="7"/>
  <c r="DD76" i="7" s="1"/>
  <c r="CY76" i="7"/>
  <c r="AU89" i="7"/>
  <c r="AO78" i="7"/>
  <c r="AO90" i="7" s="1"/>
  <c r="AG90" i="7"/>
  <c r="AG81" i="7"/>
  <c r="AG82" i="7" s="1"/>
  <c r="AH81" i="7"/>
  <c r="AH82" i="7" s="1"/>
  <c r="AH90" i="7"/>
  <c r="AC81" i="7"/>
  <c r="AC82" i="7" s="1"/>
  <c r="AC90" i="7"/>
  <c r="AM78" i="7"/>
  <c r="AM89" i="7"/>
  <c r="AX81" i="7"/>
  <c r="AX82" i="7" s="1"/>
  <c r="AX90" i="7"/>
  <c r="AU90" i="7"/>
  <c r="AU81" i="7"/>
  <c r="AU82" i="7" s="1"/>
  <c r="AS90" i="7"/>
  <c r="AS81" i="7"/>
  <c r="AS82" i="7" s="1"/>
  <c r="W89" i="7"/>
  <c r="W78" i="7"/>
  <c r="AE89" i="7"/>
  <c r="AE78" i="7"/>
  <c r="Y90" i="7"/>
  <c r="Y81" i="7"/>
  <c r="Y82" i="7" s="1"/>
  <c r="BD90" i="7"/>
  <c r="BD81" i="7"/>
  <c r="BD82" i="7" s="1"/>
  <c r="AJ81" i="7"/>
  <c r="AJ82" i="7" s="1"/>
  <c r="AJ90" i="7"/>
  <c r="AA89" i="7"/>
  <c r="AA78" i="7"/>
  <c r="AW81" i="7"/>
  <c r="AW82" i="7" s="1"/>
  <c r="AV79" i="7"/>
  <c r="AV90" i="7" s="1"/>
  <c r="DK74" i="7"/>
  <c r="DK95" i="7"/>
  <c r="DK87" i="7"/>
  <c r="DM13" i="7"/>
  <c r="DL70" i="7"/>
  <c r="AK81" i="7"/>
  <c r="AK82" i="7" s="1"/>
  <c r="AK90" i="7"/>
  <c r="DD89" i="7"/>
  <c r="DD78" i="7"/>
  <c r="DC76" i="7"/>
  <c r="DC86" i="7"/>
  <c r="DD86" i="7" s="1"/>
  <c r="DE86" i="7" s="1"/>
  <c r="DC71" i="7"/>
  <c r="AP90" i="7"/>
  <c r="AP81" i="7"/>
  <c r="AP82" i="7" s="1"/>
  <c r="AD81" i="7"/>
  <c r="AD82" i="7" s="1"/>
  <c r="AD90" i="7"/>
  <c r="AB81" i="7"/>
  <c r="AB82" i="7" s="1"/>
  <c r="AB90" i="7"/>
  <c r="AI81" i="7"/>
  <c r="AI82" i="7" s="1"/>
  <c r="AI90" i="7"/>
  <c r="AQ89" i="7"/>
  <c r="AQ78" i="7"/>
  <c r="CY89" i="7"/>
  <c r="CY78" i="7"/>
  <c r="AT90" i="7"/>
  <c r="AT81" i="7"/>
  <c r="AT82" i="7" s="1"/>
  <c r="AF81" i="7"/>
  <c r="AF82" i="7" s="1"/>
  <c r="AF90" i="7"/>
  <c r="AN78" i="7"/>
  <c r="AN89" i="7"/>
  <c r="AO81" i="7" l="1"/>
  <c r="AO82" i="7" s="1"/>
  <c r="AR89" i="7"/>
  <c r="AE90" i="7"/>
  <c r="AE81" i="7"/>
  <c r="AE82" i="7" s="1"/>
  <c r="W90" i="7"/>
  <c r="W81" i="7"/>
  <c r="W82" i="7" s="1"/>
  <c r="AM81" i="7"/>
  <c r="AM82" i="7" s="1"/>
  <c r="AM90" i="7"/>
  <c r="AN90" i="7"/>
  <c r="AN81" i="7"/>
  <c r="AN82" i="7" s="1"/>
  <c r="AQ81" i="7"/>
  <c r="AQ82" i="7" s="1"/>
  <c r="AQ90" i="7"/>
  <c r="AA81" i="7"/>
  <c r="AA82" i="7" s="1"/>
  <c r="AA90" i="7"/>
  <c r="DL74" i="7"/>
  <c r="DL87" i="7"/>
  <c r="DL95" i="7"/>
  <c r="AR79" i="7"/>
  <c r="AR81" i="7" s="1"/>
  <c r="AR82" i="7" s="1"/>
  <c r="DF86" i="7"/>
  <c r="DE72" i="7"/>
  <c r="DC78" i="7"/>
  <c r="DC89" i="7"/>
  <c r="AV81" i="7"/>
  <c r="AV82" i="7" s="1"/>
  <c r="DM70" i="7"/>
  <c r="DN13" i="7"/>
  <c r="CY81" i="7"/>
  <c r="CY90" i="7"/>
  <c r="DN70" i="7" l="1"/>
  <c r="DO13" i="7"/>
  <c r="DM74" i="7"/>
  <c r="DM87" i="7"/>
  <c r="DM95" i="7"/>
  <c r="DC90" i="7"/>
  <c r="DC81" i="7"/>
  <c r="DC82" i="7" s="1"/>
  <c r="DE76" i="7"/>
  <c r="DE71" i="7"/>
  <c r="DG86" i="7"/>
  <c r="DF72" i="7"/>
  <c r="DD79" i="7"/>
  <c r="AR90" i="7"/>
  <c r="DE78" i="7" l="1"/>
  <c r="DE89" i="7"/>
  <c r="DD90" i="7"/>
  <c r="DD81" i="7"/>
  <c r="DP13" i="7"/>
  <c r="DO70" i="7"/>
  <c r="DH86" i="7"/>
  <c r="DG72" i="7"/>
  <c r="DF76" i="7"/>
  <c r="DF71" i="7"/>
  <c r="DN74" i="7"/>
  <c r="DN87" i="7"/>
  <c r="DN95" i="7"/>
  <c r="DO95" i="7" l="1"/>
  <c r="DO74" i="7"/>
  <c r="DO87" i="7"/>
  <c r="DF89" i="7"/>
  <c r="DF78" i="7"/>
  <c r="DG76" i="7"/>
  <c r="DG71" i="7"/>
  <c r="DI86" i="7"/>
  <c r="DH72" i="7"/>
  <c r="DQ13" i="7"/>
  <c r="DP70" i="7"/>
  <c r="DD82" i="7"/>
  <c r="DE79" i="7"/>
  <c r="DE90" i="7" s="1"/>
  <c r="DR13" i="7" l="1"/>
  <c r="DR70" i="7" s="1"/>
  <c r="DQ70" i="7"/>
  <c r="DH76" i="7"/>
  <c r="DH71" i="7"/>
  <c r="DJ86" i="7"/>
  <c r="DI72" i="7"/>
  <c r="DG89" i="7"/>
  <c r="DF79" i="7"/>
  <c r="DF90" i="7" s="1"/>
  <c r="DE81" i="7"/>
  <c r="DP74" i="7"/>
  <c r="DP87" i="7"/>
  <c r="DP95" i="7"/>
  <c r="DF81" i="7" l="1"/>
  <c r="DF82" i="7" s="1"/>
  <c r="DI76" i="7"/>
  <c r="DI71" i="7"/>
  <c r="DQ87" i="7"/>
  <c r="DQ74" i="7"/>
  <c r="DQ95" i="7"/>
  <c r="DE82" i="7"/>
  <c r="DK86" i="7"/>
  <c r="DJ72" i="7"/>
  <c r="DH89" i="7"/>
  <c r="DR74" i="7"/>
  <c r="DR87" i="7"/>
  <c r="DR95" i="7"/>
  <c r="DF92" i="7" l="1"/>
  <c r="DG77" i="7" s="1"/>
  <c r="DG78" i="7" s="1"/>
  <c r="DL86" i="7"/>
  <c r="DK72" i="7"/>
  <c r="DJ76" i="7"/>
  <c r="DJ71" i="7"/>
  <c r="DI89" i="7"/>
  <c r="DJ89" i="7" l="1"/>
  <c r="DG79" i="7"/>
  <c r="DG90" i="7" s="1"/>
  <c r="DK76" i="7"/>
  <c r="DK71" i="7"/>
  <c r="DM86" i="7"/>
  <c r="DL72" i="7"/>
  <c r="DL76" i="7" l="1"/>
  <c r="DL71" i="7"/>
  <c r="DN86" i="7"/>
  <c r="DM72" i="7"/>
  <c r="DK89" i="7"/>
  <c r="DG81" i="7"/>
  <c r="DM76" i="7" l="1"/>
  <c r="DM71" i="7"/>
  <c r="DG82" i="7"/>
  <c r="DG92" i="7"/>
  <c r="DO86" i="7"/>
  <c r="DN72" i="7"/>
  <c r="DL89" i="7"/>
  <c r="DP86" i="7" l="1"/>
  <c r="DO72" i="7"/>
  <c r="DN76" i="7"/>
  <c r="DN71" i="7"/>
  <c r="DH77" i="7"/>
  <c r="DH78" i="7" s="1"/>
  <c r="DM89" i="7"/>
  <c r="DH79" i="7" l="1"/>
  <c r="DH90" i="7" s="1"/>
  <c r="DN89" i="7"/>
  <c r="DO76" i="7"/>
  <c r="DO71" i="7"/>
  <c r="DQ86" i="7"/>
  <c r="DP72" i="7"/>
  <c r="DR86" i="7" l="1"/>
  <c r="DR72" i="7" s="1"/>
  <c r="DQ72" i="7"/>
  <c r="DP76" i="7"/>
  <c r="DP71" i="7"/>
  <c r="DO89" i="7"/>
  <c r="DH81" i="7"/>
  <c r="DH82" i="7" l="1"/>
  <c r="DH92" i="7"/>
  <c r="DP89" i="7"/>
  <c r="DQ76" i="7"/>
  <c r="DQ71" i="7"/>
  <c r="DR76" i="7"/>
  <c r="DR71" i="7"/>
  <c r="DQ89" i="7" l="1"/>
  <c r="DR89" i="7"/>
  <c r="DI77" i="7"/>
  <c r="DI78" i="7" s="1"/>
  <c r="DI79" i="7" l="1"/>
  <c r="DI90" i="7" s="1"/>
  <c r="DI81" i="7" l="1"/>
  <c r="DI82" i="7" s="1"/>
  <c r="DI92" i="7" l="1"/>
  <c r="DJ77" i="7" s="1"/>
  <c r="DJ78" i="7" s="1"/>
  <c r="DJ79" i="7" l="1"/>
  <c r="DJ90" i="7" s="1"/>
  <c r="DJ81" i="7" l="1"/>
  <c r="DJ82" i="7" s="1"/>
  <c r="DJ92" i="7" l="1"/>
  <c r="DK77" i="7" s="1"/>
  <c r="DK78" i="7" s="1"/>
  <c r="DK79" i="7" l="1"/>
  <c r="DK90" i="7" s="1"/>
  <c r="DK81" i="7" l="1"/>
  <c r="DK82" i="7" s="1"/>
  <c r="DK92" i="7" l="1"/>
  <c r="DL77" i="7" s="1"/>
  <c r="DL78" i="7" s="1"/>
  <c r="DL79" i="7" l="1"/>
  <c r="DL90" i="7" s="1"/>
  <c r="DL81" i="7" l="1"/>
  <c r="DL82" i="7" s="1"/>
  <c r="DL92" i="7" l="1"/>
  <c r="DM77" i="7" s="1"/>
  <c r="DM78" i="7" s="1"/>
  <c r="DM79" i="7" l="1"/>
  <c r="DM90" i="7" s="1"/>
  <c r="DM81" i="7" l="1"/>
  <c r="DM82" i="7" s="1"/>
  <c r="DM92" i="7" l="1"/>
  <c r="DN77" i="7" s="1"/>
  <c r="DN78" i="7" s="1"/>
  <c r="DN79" i="7" l="1"/>
  <c r="DN90" i="7" s="1"/>
  <c r="DN81" i="7" l="1"/>
  <c r="DN82" i="7" l="1"/>
  <c r="DN92" i="7"/>
  <c r="DO77" i="7" l="1"/>
  <c r="DO78" i="7" s="1"/>
  <c r="DO79" i="7" l="1"/>
  <c r="DO90" i="7" s="1"/>
  <c r="DO81" i="7" l="1"/>
  <c r="DO82" i="7" s="1"/>
  <c r="DO92" i="7" l="1"/>
  <c r="DP77" i="7" s="1"/>
  <c r="DP78" i="7" s="1"/>
  <c r="DP79" i="7" l="1"/>
  <c r="DP90" i="7" s="1"/>
  <c r="DP81" i="7" l="1"/>
  <c r="DP82" i="7" s="1"/>
  <c r="DP92" i="7" l="1"/>
  <c r="DQ77" i="7" s="1"/>
  <c r="DQ78" i="7" s="1"/>
  <c r="DQ79" i="7" l="1"/>
  <c r="DQ90" i="7" s="1"/>
  <c r="DQ81" i="7" l="1"/>
  <c r="DQ82" i="7" l="1"/>
  <c r="DQ92" i="7"/>
  <c r="DR77" i="7" l="1"/>
  <c r="DR78" i="7" s="1"/>
  <c r="DR79" i="7" l="1"/>
  <c r="DR90" i="7" s="1"/>
  <c r="DR81" i="7" l="1"/>
  <c r="DR82" i="7" l="1"/>
  <c r="DS81" i="7"/>
  <c r="DT81" i="7" s="1"/>
  <c r="DU81" i="7" s="1"/>
  <c r="DV81" i="7" s="1"/>
  <c r="DW81" i="7" s="1"/>
  <c r="DX81" i="7" s="1"/>
  <c r="DY81" i="7" s="1"/>
  <c r="DZ81" i="7" s="1"/>
  <c r="EA81" i="7" s="1"/>
  <c r="EB81" i="7" s="1"/>
  <c r="EC81" i="7" s="1"/>
  <c r="ED81" i="7" s="1"/>
  <c r="EE81" i="7" s="1"/>
  <c r="EF81" i="7" s="1"/>
  <c r="EG81" i="7" s="1"/>
  <c r="EH81" i="7" s="1"/>
  <c r="EI81" i="7" s="1"/>
  <c r="EJ81" i="7" s="1"/>
  <c r="EK81" i="7" s="1"/>
  <c r="EL81" i="7" s="1"/>
  <c r="EM81" i="7" s="1"/>
  <c r="EN81" i="7" s="1"/>
  <c r="EO81" i="7" s="1"/>
  <c r="EP81" i="7" s="1"/>
  <c r="EQ81" i="7" s="1"/>
  <c r="ER81" i="7" s="1"/>
  <c r="ES81" i="7" s="1"/>
  <c r="ET81" i="7" s="1"/>
  <c r="EU81" i="7" s="1"/>
  <c r="EV81" i="7" s="1"/>
  <c r="EW81" i="7" s="1"/>
  <c r="EX81" i="7" s="1"/>
  <c r="EY81" i="7" s="1"/>
  <c r="EZ81" i="7" s="1"/>
  <c r="FA81" i="7" s="1"/>
  <c r="FB81" i="7" s="1"/>
  <c r="FC81" i="7" s="1"/>
  <c r="FD81" i="7" s="1"/>
  <c r="FE81" i="7" s="1"/>
  <c r="FF81" i="7" s="1"/>
  <c r="FG81" i="7" s="1"/>
  <c r="FH81" i="7" s="1"/>
  <c r="FI81" i="7" s="1"/>
  <c r="FJ81" i="7" s="1"/>
  <c r="FK81" i="7" s="1"/>
  <c r="FL81" i="7" s="1"/>
  <c r="FM81" i="7" s="1"/>
  <c r="FN81" i="7" s="1"/>
  <c r="FO81" i="7" s="1"/>
  <c r="FP81" i="7" s="1"/>
  <c r="FQ81" i="7" s="1"/>
  <c r="FR81" i="7" s="1"/>
  <c r="FS81" i="7" s="1"/>
  <c r="FT81" i="7" s="1"/>
  <c r="FU81" i="7" s="1"/>
  <c r="FV81" i="7" s="1"/>
  <c r="FW81" i="7" s="1"/>
  <c r="FX81" i="7" s="1"/>
  <c r="FY81" i="7" s="1"/>
  <c r="FZ81" i="7" s="1"/>
  <c r="GA81" i="7" s="1"/>
  <c r="GB81" i="7" s="1"/>
  <c r="GC81" i="7" s="1"/>
  <c r="GD81" i="7" s="1"/>
  <c r="GE81" i="7" s="1"/>
  <c r="GF81" i="7" s="1"/>
  <c r="GG81" i="7" s="1"/>
  <c r="DV88" i="7" s="1"/>
  <c r="DV89" i="7" s="1"/>
  <c r="DR9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</author>
    <author xml:space="preserve"> </author>
    <author>Martin Shkreli</author>
  </authors>
  <commentList>
    <comment ref="AM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G1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6" authorId="2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I1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J17" authorId="2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B21" authorId="3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AP3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33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AM4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4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E48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F48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J48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DD70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AS75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C7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DC8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AJ95" authorId="2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C95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AM10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</commentList>
</comments>
</file>

<file path=xl/sharedStrings.xml><?xml version="1.0" encoding="utf-8"?>
<sst xmlns="http://schemas.openxmlformats.org/spreadsheetml/2006/main" count="777" uniqueCount="611">
  <si>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</si>
  <si>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</si>
  <si>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</si>
  <si>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</si>
  <si>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</si>
  <si>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</si>
  <si>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</si>
  <si>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</si>
  <si>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</si>
  <si>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</si>
  <si>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</si>
  <si>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</si>
  <si>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</si>
  <si>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</si>
  <si>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</si>
  <si>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</si>
  <si>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</si>
  <si>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</si>
  <si>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</si>
  <si>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</si>
  <si>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</si>
  <si>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</si>
  <si>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</si>
  <si>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</si>
  <si>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</si>
  <si>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</si>
  <si>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</si>
  <si>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</si>
  <si>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</si>
  <si>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</si>
  <si>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</si>
  <si>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</si>
  <si>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</si>
  <si>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</si>
  <si>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</si>
  <si>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</si>
  <si>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</si>
  <si>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</si>
  <si>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</si>
  <si>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</si>
  <si>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</si>
  <si>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</si>
  <si>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</si>
  <si>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</si>
  <si>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</si>
  <si>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</si>
  <si>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</si>
  <si>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</si>
  <si>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</si>
  <si>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</si>
  <si>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</si>
  <si>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</si>
  <si>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</si>
  <si>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</si>
  <si>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</si>
  <si>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</si>
  <si>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</si>
  <si>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</si>
  <si>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</si>
  <si>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I/II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</si>
  <si>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</si>
  <si>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</si>
  <si>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</si>
  <si>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</si>
  <si>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</si>
  <si>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</si>
  <si>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</si>
  <si>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</si>
  <si>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</si>
  <si>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</si>
  <si>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</si>
  <si>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</si>
  <si>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</si>
  <si>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</si>
  <si>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</si>
  <si>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</si>
  <si>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</si>
  <si>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</si>
  <si>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</si>
  <si>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</si>
  <si>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</si>
  <si>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</si>
  <si>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</si>
  <si>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</si>
  <si>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</si>
  <si>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</si>
  <si>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</si>
  <si>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</si>
  <si>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</si>
  <si>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</si>
  <si>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</si>
  <si>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</si>
  <si>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</si>
  <si>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</si>
  <si>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</si>
  <si>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</si>
  <si>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</si>
  <si>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</si>
  <si>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</si>
  <si>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</si>
  <si>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</si>
  <si>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</si>
  <si>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</si>
  <si>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</si>
  <si>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</si>
  <si>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</si>
  <si>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</si>
  <si>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</si>
  <si>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</si>
  <si>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</si>
  <si>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</si>
  <si>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</si>
  <si>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</si>
  <si>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</si>
  <si>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chemokine antagonist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</si>
  <si>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</si>
  <si>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</si>
  <si>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</si>
  <si>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</si>
  <si>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</si>
  <si>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</si>
  <si>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</si>
  <si>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</si>
  <si>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</si>
  <si>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</si>
  <si>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</si>
  <si>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</si>
  <si>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</si>
  <si>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</si>
  <si>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</si>
  <si>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</si>
  <si>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</si>
  <si>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</si>
  <si>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</si>
  <si>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</si>
  <si>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</si>
  <si>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</si>
  <si>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</si>
  <si>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</si>
  <si>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</si>
  <si>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</si>
  <si>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</si>
  <si>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</si>
  <si>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</si>
  <si>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</si>
  <si>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</si>
  <si>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</si>
  <si>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</si>
  <si>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</si>
  <si>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</si>
  <si>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</si>
  <si>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</si>
  <si>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</si>
  <si>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</si>
  <si>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</si>
  <si>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</si>
  <si>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</si>
  <si>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</si>
  <si>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</si>
  <si>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</si>
  <si>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</si>
  <si>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</si>
  <si>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</si>
  <si>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</si>
  <si>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</si>
  <si>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</si>
  <si>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</si>
  <si>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</si>
  <si>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</si>
  <si>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</si>
  <si>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</si>
  <si>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</si>
  <si>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</si>
  <si>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</si>
  <si>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</si>
  <si>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</si>
  <si>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</si>
  <si>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</si>
  <si>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</si>
  <si>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</si>
  <si>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</si>
  <si>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</si>
  <si>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</si>
  <si>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</si>
  <si>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</si>
  <si>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</si>
  <si>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</si>
  <si>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</si>
  <si>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(GI)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</si>
  <si>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</si>
  <si>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</si>
  <si>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</si>
  <si>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</si>
  <si>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</si>
  <si>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</si>
  <si>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</si>
  <si>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</si>
  <si>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</si>
  <si>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</si>
  <si>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</si>
  <si>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</si>
  <si>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</si>
  <si>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</si>
  <si>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</si>
  <si>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</si>
  <si>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</si>
  <si>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</si>
  <si>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</si>
  <si>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</si>
  <si>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</si>
  <si>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</si>
  <si>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</si>
  <si>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</si>
  <si>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</si>
  <si>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</si>
  <si>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</si>
  <si>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</si>
  <si>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</si>
  <si>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</si>
  <si>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</si>
  <si>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</si>
  <si>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</si>
  <si>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</si>
  <si>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</si>
  <si>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</si>
  <si>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</si>
  <si>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</si>
  <si>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</si>
  <si>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</si>
  <si>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</si>
  <si>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</si>
  <si>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</si>
  <si>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</si>
  <si>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</si>
  <si>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</si>
  <si>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</si>
  <si>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</si>
  <si>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</si>
  <si>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</si>
  <si>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</si>
  <si>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</si>
  <si>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</si>
  <si>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</si>
  <si>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</si>
  <si>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</si>
  <si>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</si>
  <si>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In-licensed from BMY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</si>
  <si>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</si>
  <si>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</si>
  <si>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</si>
  <si>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</si>
  <si>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</si>
  <si>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</si>
  <si>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6370</t>
  </si>
  <si>
    <t>Diabetes</t>
  </si>
  <si>
    <t>GK Activator</t>
  </si>
  <si>
    <t>Pain</t>
  </si>
  <si>
    <t>1386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</si>
  <si>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</si>
  <si>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</si>
  <si>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</si>
  <si>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</si>
  <si>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</si>
  <si>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</si>
  <si>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</si>
  <si>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</si>
  <si>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</si>
  <si>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</si>
  <si>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</si>
  <si>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</si>
  <si>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</si>
  <si>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</si>
  <si>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</si>
  <si>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</si>
  <si>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</si>
  <si>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</si>
  <si>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</si>
  <si>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</si>
  <si>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</si>
  <si>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</si>
  <si>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</si>
  <si>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</si>
  <si>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</si>
  <si>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</si>
  <si>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</si>
  <si>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</si>
  <si>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</si>
  <si>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</si>
  <si>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</si>
  <si>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</si>
  <si>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</si>
  <si>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</si>
  <si>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</si>
  <si>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</si>
  <si>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</si>
  <si>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</si>
  <si>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</si>
  <si>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</si>
  <si>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</si>
  <si>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</si>
  <si>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</si>
  <si>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</si>
  <si>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</si>
  <si>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</si>
  <si>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</si>
  <si>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</si>
  <si>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</si>
  <si>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</si>
  <si>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</si>
  <si>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</si>
  <si>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</si>
  <si>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</si>
  <si>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</si>
  <si>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</si>
  <si>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</si>
  <si>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</si>
  <si>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</si>
  <si>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</si>
  <si>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</si>
  <si>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</si>
  <si>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</si>
  <si>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</si>
  <si>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MEDI-545</t>
  </si>
  <si>
    <t>SLE</t>
  </si>
  <si>
    <t>Anti-interferon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</si>
  <si>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</si>
  <si>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</si>
  <si>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</si>
  <si>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</si>
  <si>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</si>
  <si>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</si>
  <si>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</si>
  <si>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</si>
  <si>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</si>
  <si>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PDGF</t>
  </si>
  <si>
    <t>Epha2</t>
  </si>
  <si>
    <t>SGEN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</si>
  <si>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</si>
  <si>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</si>
  <si>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</si>
  <si>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</si>
  <si>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</si>
  <si>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</si>
  <si>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</si>
  <si>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</si>
  <si>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</si>
  <si>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</si>
  <si>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</si>
  <si>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</si>
  <si>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</si>
  <si>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</si>
  <si>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</si>
  <si>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</si>
  <si>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</si>
  <si>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</si>
  <si>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</si>
  <si>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</si>
  <si>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</si>
  <si>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</si>
  <si>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</si>
  <si>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</si>
  <si>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</si>
  <si>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</si>
  <si>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</si>
  <si>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</si>
  <si>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</si>
  <si>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</si>
  <si>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</si>
  <si>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7295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</si>
  <si>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</si>
  <si>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</si>
  <si>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</si>
  <si>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</si>
  <si>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</si>
  <si>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</si>
  <si>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</si>
  <si>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</si>
  <si>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</si>
  <si>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</si>
  <si>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</si>
  <si>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</si>
  <si>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</si>
  <si>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</si>
  <si>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Scleroderma</t>
  </si>
  <si>
    <t>AZD3342</t>
  </si>
  <si>
    <t>AZD0328</t>
  </si>
  <si>
    <t>AZD2479</t>
  </si>
  <si>
    <t>AZD6610</t>
  </si>
  <si>
    <t>Movatizumab/Numax</t>
  </si>
  <si>
    <t>AZD7009</t>
  </si>
  <si>
    <t>Exanta</t>
  </si>
  <si>
    <t>6765</t>
  </si>
  <si>
    <t>Depression</t>
  </si>
  <si>
    <t>Enkephalinergic</t>
  </si>
  <si>
    <t>AZD5180</t>
  </si>
  <si>
    <t>AZD2043</t>
  </si>
  <si>
    <t>6482</t>
  </si>
  <si>
    <t>PI3K-beta</t>
  </si>
  <si>
    <t>4017</t>
  </si>
  <si>
    <t>11BHSD</t>
  </si>
  <si>
    <t>8329</t>
  </si>
  <si>
    <t>7687</t>
  </si>
  <si>
    <t>DAT-1</t>
  </si>
  <si>
    <t>3355 (lesogaberan)</t>
  </si>
  <si>
    <t>2066</t>
  </si>
  <si>
    <t>MEDI-546</t>
  </si>
  <si>
    <t>mGlu5 antagonist</t>
  </si>
  <si>
    <t>2516</t>
  </si>
  <si>
    <t>ADHD</t>
  </si>
  <si>
    <t>NMDA</t>
  </si>
  <si>
    <t>2327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</si>
  <si>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</si>
  <si>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</si>
  <si>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</si>
  <si>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</si>
  <si>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</si>
  <si>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</si>
  <si>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</si>
  <si>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</si>
  <si>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</si>
  <si>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</si>
  <si>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</si>
  <si>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</si>
  <si>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</si>
  <si>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</si>
  <si>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</si>
  <si>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</si>
  <si>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</si>
  <si>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</si>
  <si>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</si>
  <si>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</si>
  <si>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</si>
  <si>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</si>
  <si>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</si>
  <si>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</si>
  <si>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</si>
  <si>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</si>
  <si>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</si>
  <si>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</si>
  <si>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</si>
  <si>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</si>
  <si>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</si>
  <si>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</si>
  <si>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</si>
  <si>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</si>
  <si>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</si>
  <si>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</si>
  <si>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</si>
  <si>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</si>
  <si>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</si>
  <si>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</si>
  <si>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</si>
  <si>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</si>
  <si>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</si>
  <si>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</si>
  <si>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</si>
  <si>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</si>
  <si>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</si>
  <si>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</si>
  <si>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</si>
  <si>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</si>
  <si>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</si>
  <si>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</si>
  <si>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</si>
  <si>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</si>
  <si>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</si>
  <si>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</si>
  <si>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</si>
  <si>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</si>
  <si>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</si>
  <si>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</si>
  <si>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</si>
  <si>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</si>
  <si>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</si>
  <si>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</si>
  <si>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</si>
  <si>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</si>
  <si>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</si>
  <si>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</si>
  <si>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</si>
  <si>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</si>
  <si>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</si>
  <si>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</si>
  <si>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</si>
  <si>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</si>
  <si>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</si>
  <si>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AZD-1152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</si>
  <si>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</si>
  <si>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</si>
  <si>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</si>
  <si>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</si>
  <si>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</si>
  <si>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</si>
  <si>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</si>
  <si>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</si>
  <si>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</si>
  <si>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</si>
  <si>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</si>
  <si>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</si>
  <si>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</si>
  <si>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</si>
  <si>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</si>
  <si>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</si>
  <si>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</si>
  <si>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</si>
  <si>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</si>
  <si>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</si>
  <si>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</si>
  <si>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</si>
  <si>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</si>
  <si>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</si>
  <si>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</si>
  <si>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</si>
  <si>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</si>
  <si>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</si>
  <si>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</si>
  <si>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</si>
  <si>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</si>
  <si>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</si>
  <si>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</si>
  <si>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</si>
  <si>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</si>
  <si>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</si>
  <si>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</si>
  <si>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</si>
  <si>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</si>
  <si>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</si>
  <si>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</si>
  <si>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</si>
  <si>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</si>
  <si>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Imfinzi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</si>
  <si>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</si>
  <si>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</si>
  <si>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</si>
  <si>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</si>
  <si>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</si>
  <si>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</si>
  <si>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</si>
  <si>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</si>
  <si>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</si>
  <si>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</si>
  <si>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</si>
  <si>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</si>
  <si>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</si>
  <si>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</si>
  <si>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</si>
  <si>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</si>
  <si>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</si>
  <si>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</si>
  <si>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</si>
  <si>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</si>
  <si>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</si>
  <si>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</si>
  <si>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</si>
  <si>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</si>
  <si>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</si>
  <si>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7/29/22: 1H22 results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</si>
  <si>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</si>
  <si>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</si>
  <si>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</si>
  <si>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</si>
  <si>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</si>
  <si>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</si>
  <si>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</si>
  <si>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</si>
  <si>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</si>
  <si>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</si>
  <si>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</si>
  <si>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</si>
  <si>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</si>
  <si>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</si>
  <si>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</si>
  <si>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</si>
  <si>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</si>
  <si>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</si>
  <si>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MYGN?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</si>
  <si>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</si>
  <si>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</si>
  <si>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</si>
  <si>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</si>
  <si>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</si>
  <si>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</si>
  <si>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</si>
  <si>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</si>
  <si>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</si>
  <si>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</si>
  <si>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</si>
  <si>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</si>
  <si>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</si>
  <si>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</si>
  <si>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</si>
  <si>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</si>
  <si>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EGFRm NSCLC</t>
  </si>
  <si>
    <t>EGFR inhibitor</t>
  </si>
  <si>
    <t>EGFR TKI</t>
  </si>
  <si>
    <t>ADD0837 (atecegatran)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</si>
  <si>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</si>
  <si>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</si>
  <si>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</si>
  <si>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</si>
  <si>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</si>
  <si>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</si>
  <si>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</si>
  <si>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</si>
  <si>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</si>
  <si>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MRK, ARRY/PFE</t>
  </si>
  <si>
    <t>ARRY/PFE, MRK</t>
  </si>
  <si>
    <t>NF1</t>
  </si>
  <si>
    <t>AZD1480</t>
  </si>
  <si>
    <t>MPN</t>
  </si>
  <si>
    <t>Imfinzi (durvalumab), FKA MEDI-4736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</si>
</sst>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2" borderId="4" xfId="0" quotePrefix="1" applyFill="1" applyBorder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4" fillId="2" borderId="0" xfId="0" applyFont="1" applyFill="1" applyAlignment="1">
      <alignment horizontal="center"/>
    </xf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9" fontId="4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2" fillId="2" borderId="0" xfId="3" applyFill="1" applyBorder="1" applyAlignment="1" applyProtection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0</xdr:colOff>
      <xdr:row>0</xdr:row>
      <xdr:rowOff>0</xdr:rowOff>
    </xdr:from>
    <xdr:to>
      <xdr:col>88</xdr:col>
      <xdr:colOff>0</xdr:colOff>
      <xdr:row>115</xdr:row>
      <xdr:rowOff>38100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0262175" y="0"/>
          <a:ext cx="0" cy="18516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108</xdr:col>
      <xdr:colOff>19050</xdr:colOff>
      <xdr:row>0</xdr:row>
      <xdr:rowOff>0</xdr:rowOff>
    </xdr:from>
    <xdr:to>
      <xdr:col>108</xdr:col>
      <xdr:colOff>19050</xdr:colOff>
      <xdr:row>115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31422975" y="0"/>
          <a:ext cx="0" cy="14954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4</xdr:row>
      <xdr:rowOff>100303</xdr:rowOff>
    </xdr:from>
    <xdr:to>
      <xdr:col>17</xdr:col>
      <xdr:colOff>373381</xdr:colOff>
      <xdr:row>19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B2:I80"/>
  <sheetViews>
    <sheetView topLeftCell="A42" workbookViewId="0">
      <selection activeCell="B78" sqref="B78:B80"/>
    </sheetView>
  </sheetViews>
  <sheetFormatPr defaultRowHeight="12.75"/>
  <sheetData>
    <row r="2" spans="2:9">
      <c r="B2" s="61" t="s">
        <v>447</v>
      </c>
    </row>
    <row r="3" spans="2:9">
      <c r="B3" s="11" t="s">
        <v>36</v>
      </c>
    </row>
    <row r="4" spans="2:9">
      <c r="B4" s="11" t="s">
        <v>37</v>
      </c>
    </row>
    <row r="5" spans="2:9">
      <c r="B5" s="11" t="s">
        <v>42</v>
      </c>
    </row>
    <row r="6" spans="2:9">
      <c r="B6" s="34" t="s">
        <v>284</v>
      </c>
      <c r="C6" s="7" t="s">
        <v>96</v>
      </c>
      <c r="D6" s="7" t="s">
        <v>208</v>
      </c>
      <c r="E6" s="41">
        <v>40298</v>
      </c>
      <c r="F6" s="22" t="s">
        <v>422</v>
      </c>
      <c r="G6" s="22" t="s">
        <v>423</v>
      </c>
      <c r="H6" s="22" t="s">
        <v>95</v>
      </c>
      <c r="I6" s="42" t="s">
        <v>424</v>
      </c>
    </row>
    <row r="7" spans="2:9">
      <c r="B7" s="5" t="s">
        <v>119</v>
      </c>
      <c r="C7" s="7" t="s">
        <v>121</v>
      </c>
      <c r="D7" s="6" t="s">
        <v>120</v>
      </c>
      <c r="E7" s="6"/>
      <c r="F7" s="7" t="s">
        <v>214</v>
      </c>
    </row>
    <row r="8" spans="2:9">
      <c r="B8" s="39" t="s">
        <v>339</v>
      </c>
      <c r="C8" s="22" t="s">
        <v>340</v>
      </c>
      <c r="D8" s="22" t="s">
        <v>574</v>
      </c>
      <c r="E8" s="22" t="s">
        <v>52</v>
      </c>
      <c r="F8" s="22" t="s">
        <v>412</v>
      </c>
    </row>
    <row r="9" spans="2:9">
      <c r="B9" s="13" t="s">
        <v>297</v>
      </c>
      <c r="C9" s="7" t="s">
        <v>82</v>
      </c>
      <c r="D9" s="6"/>
      <c r="E9" s="6"/>
      <c r="F9" s="7"/>
      <c r="G9" s="7" t="s">
        <v>95</v>
      </c>
    </row>
    <row r="10" spans="2:9">
      <c r="B10" s="124"/>
      <c r="C10" s="7"/>
      <c r="D10" s="6"/>
      <c r="E10" s="6"/>
      <c r="F10" s="7"/>
      <c r="G10" s="7"/>
    </row>
    <row r="11" spans="2:9">
      <c r="B11" s="13" t="s">
        <v>448</v>
      </c>
      <c r="C11" s="7" t="s">
        <v>82</v>
      </c>
      <c r="D11" s="6"/>
      <c r="E11" s="6"/>
      <c r="F11" s="7"/>
      <c r="G11" s="7" t="s">
        <v>95</v>
      </c>
    </row>
    <row r="12" spans="2:9">
      <c r="B12" s="13" t="s">
        <v>292</v>
      </c>
      <c r="C12" s="7" t="s">
        <v>96</v>
      </c>
      <c r="D12" s="6">
        <v>1</v>
      </c>
      <c r="E12" s="6"/>
      <c r="F12" s="7" t="s">
        <v>163</v>
      </c>
      <c r="G12" s="7" t="s">
        <v>95</v>
      </c>
      <c r="H12" s="31"/>
    </row>
    <row r="13" spans="2:9">
      <c r="B13" s="13" t="s">
        <v>319</v>
      </c>
      <c r="C13" s="7" t="s">
        <v>60</v>
      </c>
      <c r="D13" s="6" t="s">
        <v>58</v>
      </c>
      <c r="E13" s="41">
        <v>37845</v>
      </c>
      <c r="F13" s="7" t="s">
        <v>162</v>
      </c>
      <c r="G13" s="7" t="s">
        <v>95</v>
      </c>
      <c r="H13" s="8"/>
    </row>
    <row r="14" spans="2:9">
      <c r="B14" s="13" t="s">
        <v>320</v>
      </c>
      <c r="C14" s="7" t="s">
        <v>94</v>
      </c>
      <c r="D14" s="6">
        <v>1</v>
      </c>
      <c r="E14" s="23">
        <v>39219</v>
      </c>
      <c r="F14" s="7" t="s">
        <v>164</v>
      </c>
      <c r="G14" s="7" t="s">
        <v>95</v>
      </c>
      <c r="H14" s="42"/>
    </row>
    <row r="15" spans="2:9">
      <c r="B15" s="13" t="s">
        <v>321</v>
      </c>
      <c r="C15" s="7" t="s">
        <v>94</v>
      </c>
      <c r="D15" s="6">
        <v>1</v>
      </c>
      <c r="E15" s="23">
        <v>35699</v>
      </c>
      <c r="F15" s="22" t="s">
        <v>164</v>
      </c>
      <c r="G15" s="22" t="s">
        <v>95</v>
      </c>
      <c r="H15" s="42"/>
    </row>
    <row r="16" spans="2:9">
      <c r="B16" s="39" t="s">
        <v>294</v>
      </c>
      <c r="C16" s="22" t="s">
        <v>295</v>
      </c>
      <c r="D16" s="40" t="s">
        <v>207</v>
      </c>
      <c r="E16" s="40"/>
      <c r="F16" s="22" t="s">
        <v>296</v>
      </c>
      <c r="G16" s="22" t="s">
        <v>95</v>
      </c>
      <c r="H16" s="8"/>
    </row>
    <row r="17" spans="2:8">
      <c r="B17" s="5" t="s">
        <v>40</v>
      </c>
      <c r="C17" s="22" t="s">
        <v>127</v>
      </c>
      <c r="D17" s="6"/>
      <c r="E17" s="6"/>
      <c r="F17" s="7"/>
      <c r="G17" s="7"/>
      <c r="H17" s="8"/>
    </row>
    <row r="18" spans="2:8">
      <c r="B18" s="5" t="s">
        <v>39</v>
      </c>
      <c r="C18" s="22" t="s">
        <v>127</v>
      </c>
      <c r="D18" s="6"/>
      <c r="E18" s="6"/>
      <c r="F18" s="7"/>
      <c r="G18" s="7"/>
    </row>
    <row r="19" spans="2:8">
      <c r="B19" s="133" t="s">
        <v>417</v>
      </c>
      <c r="C19" s="7"/>
      <c r="D19" s="6"/>
      <c r="E19" s="6"/>
      <c r="F19" s="7"/>
      <c r="G19" s="7"/>
    </row>
    <row r="20" spans="2:8">
      <c r="B20" s="34" t="s">
        <v>327</v>
      </c>
      <c r="C20" s="22" t="s">
        <v>328</v>
      </c>
      <c r="D20" s="40" t="s">
        <v>329</v>
      </c>
      <c r="E20" s="22" t="s">
        <v>52</v>
      </c>
      <c r="F20" s="22" t="s">
        <v>446</v>
      </c>
      <c r="G20" s="7"/>
    </row>
    <row r="21" spans="2:8">
      <c r="B21" s="124"/>
      <c r="C21" s="7"/>
      <c r="D21" s="6"/>
      <c r="E21" s="6"/>
      <c r="F21" s="7"/>
      <c r="G21" s="7"/>
    </row>
    <row r="22" spans="2:8">
      <c r="B22" s="61" t="s">
        <v>372</v>
      </c>
    </row>
    <row r="23" spans="2:8">
      <c r="B23" s="126" t="s">
        <v>578</v>
      </c>
      <c r="C23" s="130" t="s">
        <v>577</v>
      </c>
    </row>
    <row r="24" spans="2:8">
      <c r="B24" s="11" t="s">
        <v>373</v>
      </c>
    </row>
    <row r="25" spans="2:8">
      <c r="B25" s="126" t="s">
        <v>584</v>
      </c>
      <c r="C25" s="130" t="s">
        <v>293</v>
      </c>
    </row>
    <row r="26" spans="2:8">
      <c r="B26" s="11" t="s">
        <v>376</v>
      </c>
    </row>
    <row r="27" spans="2:8">
      <c r="B27" s="11" t="s">
        <v>377</v>
      </c>
    </row>
    <row r="28" spans="2:8">
      <c r="B28" s="11" t="s">
        <v>378</v>
      </c>
    </row>
    <row r="29" spans="2:8">
      <c r="B29" s="126" t="s">
        <v>608</v>
      </c>
      <c r="C29" s="130" t="s">
        <v>609</v>
      </c>
      <c r="D29" s="130" t="s">
        <v>371</v>
      </c>
    </row>
    <row r="30" spans="2:8">
      <c r="B30" s="11" t="s">
        <v>379</v>
      </c>
    </row>
    <row r="31" spans="2:8">
      <c r="B31" s="11" t="s">
        <v>381</v>
      </c>
    </row>
    <row r="32" spans="2:8">
      <c r="B32" s="11" t="s">
        <v>382</v>
      </c>
    </row>
    <row r="33" spans="2:4">
      <c r="B33" s="126" t="s">
        <v>596</v>
      </c>
      <c r="C33" s="130" t="s">
        <v>597</v>
      </c>
    </row>
    <row r="34" spans="2:4">
      <c r="B34" s="11" t="s">
        <v>252</v>
      </c>
    </row>
    <row r="35" spans="2:4">
      <c r="B35" s="11" t="s">
        <v>384</v>
      </c>
    </row>
    <row r="36" spans="2:4">
      <c r="B36" s="11" t="s">
        <v>385</v>
      </c>
    </row>
    <row r="37" spans="2:4">
      <c r="B37" s="11" t="s">
        <v>386</v>
      </c>
    </row>
    <row r="38" spans="2:4">
      <c r="B38" s="11" t="s">
        <v>387</v>
      </c>
    </row>
    <row r="39" spans="2:4">
      <c r="B39" s="11" t="s">
        <v>388</v>
      </c>
    </row>
    <row r="40" spans="2:4">
      <c r="B40" s="11" t="s">
        <v>389</v>
      </c>
    </row>
    <row r="41" spans="2:4">
      <c r="B41" s="11" t="s">
        <v>390</v>
      </c>
    </row>
    <row r="42" spans="2:4">
      <c r="B42" s="11" t="s">
        <v>394</v>
      </c>
    </row>
    <row r="43" spans="2:4">
      <c r="B43" s="11" t="s">
        <v>395</v>
      </c>
    </row>
    <row r="44" spans="2:4">
      <c r="B44" s="126" t="s">
        <v>599</v>
      </c>
      <c r="C44" s="130" t="s">
        <v>598</v>
      </c>
      <c r="D44" s="130" t="s">
        <v>128</v>
      </c>
    </row>
    <row r="45" spans="2:4">
      <c r="B45" s="126" t="s">
        <v>595</v>
      </c>
      <c r="C45" s="130" t="s">
        <v>577</v>
      </c>
    </row>
    <row r="46" spans="2:4">
      <c r="B46" s="11" t="s">
        <v>463</v>
      </c>
    </row>
    <row r="47" spans="2:4">
      <c r="B47" s="11" t="s">
        <v>470</v>
      </c>
    </row>
    <row r="48" spans="2:4">
      <c r="B48" s="11" t="s">
        <v>413</v>
      </c>
    </row>
    <row r="49" spans="2:8">
      <c r="B49" s="11" t="s">
        <v>481</v>
      </c>
    </row>
    <row r="50" spans="2:8">
      <c r="B50" s="11" t="s">
        <v>482</v>
      </c>
    </row>
    <row r="51" spans="2:8">
      <c r="B51" s="11" t="s">
        <v>483</v>
      </c>
    </row>
    <row r="52" spans="2:8">
      <c r="B52" s="11" t="s">
        <v>484</v>
      </c>
    </row>
    <row r="53" spans="2:8">
      <c r="B53" s="11" t="s">
        <v>485</v>
      </c>
    </row>
    <row r="54" spans="2:8">
      <c r="B54" s="11" t="s">
        <v>414</v>
      </c>
    </row>
    <row r="55" spans="2:8">
      <c r="B55" s="34" t="s">
        <v>361</v>
      </c>
      <c r="C55" s="16" t="s">
        <v>362</v>
      </c>
      <c r="D55" s="28" t="s">
        <v>573</v>
      </c>
      <c r="E55" s="16" t="s">
        <v>52</v>
      </c>
      <c r="F55" s="16" t="s">
        <v>363</v>
      </c>
      <c r="G55" s="16" t="s">
        <v>95</v>
      </c>
      <c r="H55" s="29" t="s">
        <v>364</v>
      </c>
    </row>
    <row r="56" spans="2:8">
      <c r="B56" s="11" t="s">
        <v>486</v>
      </c>
    </row>
    <row r="57" spans="2:8">
      <c r="B57" s="11" t="s">
        <v>487</v>
      </c>
    </row>
    <row r="58" spans="2:8">
      <c r="B58" s="11" t="s">
        <v>172</v>
      </c>
    </row>
    <row r="59" spans="2:8">
      <c r="B59" s="13" t="s">
        <v>136</v>
      </c>
      <c r="C59" s="7" t="s">
        <v>53</v>
      </c>
      <c r="D59" s="6">
        <v>1</v>
      </c>
      <c r="E59" s="22" t="s">
        <v>285</v>
      </c>
      <c r="F59" s="7" t="s">
        <v>124</v>
      </c>
      <c r="G59" s="7" t="s">
        <v>95</v>
      </c>
    </row>
    <row r="60" spans="2:8">
      <c r="B60" s="34" t="s">
        <v>415</v>
      </c>
      <c r="C60" s="7" t="s">
        <v>54</v>
      </c>
      <c r="D60" s="7" t="s">
        <v>128</v>
      </c>
      <c r="E60" s="7" t="s">
        <v>51</v>
      </c>
      <c r="F60" s="22" t="s">
        <v>375</v>
      </c>
      <c r="G60" s="22" t="s">
        <v>95</v>
      </c>
      <c r="H60" s="8"/>
    </row>
    <row r="61" spans="2:8">
      <c r="B61" s="18">
        <v>3480</v>
      </c>
      <c r="C61" s="22" t="s">
        <v>408</v>
      </c>
      <c r="D61" s="7" t="s">
        <v>128</v>
      </c>
      <c r="E61" s="7" t="s">
        <v>51</v>
      </c>
      <c r="F61" s="22" t="s">
        <v>374</v>
      </c>
      <c r="G61" s="22" t="s">
        <v>95</v>
      </c>
      <c r="H61" s="8"/>
    </row>
    <row r="62" spans="2:8">
      <c r="B62" s="19" t="s">
        <v>366</v>
      </c>
      <c r="C62" s="7" t="s">
        <v>94</v>
      </c>
      <c r="D62" s="6">
        <v>1</v>
      </c>
      <c r="E62" s="7" t="s">
        <v>51</v>
      </c>
      <c r="F62" s="7" t="s">
        <v>367</v>
      </c>
      <c r="G62" s="7"/>
      <c r="H62" s="8"/>
    </row>
    <row r="63" spans="2:8">
      <c r="B63" s="19" t="s">
        <v>368</v>
      </c>
      <c r="C63" s="7" t="s">
        <v>369</v>
      </c>
      <c r="D63" s="6">
        <v>1</v>
      </c>
      <c r="E63" s="7" t="s">
        <v>51</v>
      </c>
      <c r="F63" s="7" t="s">
        <v>370</v>
      </c>
    </row>
    <row r="64" spans="2:8">
      <c r="B64" s="34" t="s">
        <v>330</v>
      </c>
      <c r="C64" s="22" t="s">
        <v>127</v>
      </c>
      <c r="D64" s="6">
        <v>1</v>
      </c>
      <c r="E64" s="22" t="s">
        <v>57</v>
      </c>
      <c r="F64" s="22" t="s">
        <v>333</v>
      </c>
    </row>
    <row r="65" spans="2:6">
      <c r="B65" t="s">
        <v>115</v>
      </c>
      <c r="C65" t="s">
        <v>116</v>
      </c>
      <c r="D65" s="35" t="s">
        <v>300</v>
      </c>
      <c r="F65" t="s">
        <v>117</v>
      </c>
    </row>
    <row r="66" spans="2:6">
      <c r="B66" s="63" t="s">
        <v>391</v>
      </c>
      <c r="C66" s="22" t="s">
        <v>392</v>
      </c>
      <c r="D66" s="6">
        <v>1</v>
      </c>
      <c r="E66" s="22" t="s">
        <v>51</v>
      </c>
      <c r="F66" s="22" t="s">
        <v>409</v>
      </c>
    </row>
    <row r="67" spans="2:6">
      <c r="B67" s="63" t="s">
        <v>410</v>
      </c>
      <c r="C67" s="22" t="s">
        <v>411</v>
      </c>
      <c r="D67" s="6">
        <v>1</v>
      </c>
      <c r="E67" s="22" t="s">
        <v>51</v>
      </c>
      <c r="F67" s="22" t="s">
        <v>393</v>
      </c>
    </row>
    <row r="68" spans="2:6">
      <c r="B68" s="63" t="s">
        <v>416</v>
      </c>
      <c r="C68" s="22" t="s">
        <v>411</v>
      </c>
      <c r="D68" s="6">
        <v>1</v>
      </c>
      <c r="E68" s="22" t="s">
        <v>51</v>
      </c>
      <c r="F68" s="22" t="s">
        <v>393</v>
      </c>
    </row>
    <row r="69" spans="2:6">
      <c r="B69" s="63" t="s">
        <v>404</v>
      </c>
      <c r="C69" s="22" t="s">
        <v>256</v>
      </c>
      <c r="D69" s="6">
        <v>1</v>
      </c>
      <c r="E69" s="22" t="s">
        <v>51</v>
      </c>
      <c r="F69" s="22" t="s">
        <v>406</v>
      </c>
    </row>
    <row r="70" spans="2:6">
      <c r="B70" s="68" t="s">
        <v>403</v>
      </c>
      <c r="C70" s="7" t="s">
        <v>56</v>
      </c>
      <c r="D70" s="6">
        <v>1</v>
      </c>
      <c r="E70" s="22" t="s">
        <v>51</v>
      </c>
      <c r="F70" s="22" t="s">
        <v>380</v>
      </c>
    </row>
    <row r="71" spans="2:6">
      <c r="B71" s="12" t="s">
        <v>253</v>
      </c>
      <c r="C71" s="7" t="s">
        <v>254</v>
      </c>
      <c r="D71" s="6">
        <v>1</v>
      </c>
      <c r="E71" s="22" t="s">
        <v>51</v>
      </c>
      <c r="F71" s="7" t="s">
        <v>255</v>
      </c>
    </row>
    <row r="72" spans="2:6">
      <c r="B72" s="68" t="s">
        <v>396</v>
      </c>
      <c r="C72" s="22" t="s">
        <v>55</v>
      </c>
      <c r="D72" s="6">
        <v>1</v>
      </c>
      <c r="E72" s="22" t="s">
        <v>57</v>
      </c>
      <c r="F72" s="22" t="s">
        <v>397</v>
      </c>
    </row>
    <row r="73" spans="2:6">
      <c r="B73" s="68" t="s">
        <v>398</v>
      </c>
      <c r="C73" s="22" t="s">
        <v>254</v>
      </c>
      <c r="D73" s="6">
        <v>1</v>
      </c>
      <c r="E73" s="22" t="s">
        <v>57</v>
      </c>
      <c r="F73" s="22" t="s">
        <v>399</v>
      </c>
    </row>
    <row r="74" spans="2:6">
      <c r="B74" s="68" t="s">
        <v>400</v>
      </c>
      <c r="C74" s="22" t="s">
        <v>254</v>
      </c>
      <c r="D74" s="6">
        <v>1</v>
      </c>
      <c r="E74" s="22" t="s">
        <v>57</v>
      </c>
      <c r="F74" s="22" t="s">
        <v>399</v>
      </c>
    </row>
    <row r="75" spans="2:6">
      <c r="B75" s="68" t="s">
        <v>401</v>
      </c>
      <c r="C75" s="22" t="s">
        <v>254</v>
      </c>
      <c r="D75" s="6">
        <v>1</v>
      </c>
      <c r="E75" s="22" t="s">
        <v>57</v>
      </c>
      <c r="F75" s="22" t="s">
        <v>402</v>
      </c>
    </row>
    <row r="76" spans="2:6">
      <c r="B76" s="12" t="s">
        <v>257</v>
      </c>
      <c r="C76" s="22" t="s">
        <v>56</v>
      </c>
      <c r="D76" s="6">
        <v>1</v>
      </c>
      <c r="E76" s="22" t="s">
        <v>51</v>
      </c>
      <c r="F76" s="7" t="s">
        <v>258</v>
      </c>
    </row>
    <row r="77" spans="2:6">
      <c r="B77" s="68" t="s">
        <v>407</v>
      </c>
      <c r="C77" s="22" t="s">
        <v>56</v>
      </c>
      <c r="D77" s="6">
        <v>1</v>
      </c>
      <c r="E77" s="22" t="s">
        <v>57</v>
      </c>
      <c r="F77" s="22" t="s">
        <v>406</v>
      </c>
    </row>
    <row r="78" spans="2:6">
      <c r="B78" s="35" t="s">
        <v>301</v>
      </c>
    </row>
    <row r="79" spans="2:6">
      <c r="B79" s="35" t="s">
        <v>302</v>
      </c>
    </row>
    <row r="80" spans="2:6">
      <c r="B80" s="35" t="s">
        <v>303</v>
      </c>
    </row>
  </sheetData>
  <hyperlinks>
    <hyperlink ref="B59" location="Zactima!A1" display="Zactima" xr:uid="{00000000-0004-0000-0000-000009000000}"/>
    <hyperlink ref="B9" location="'Toprol-XL'!A1" display="Toprol XL" xr:uid="{00000000-0004-0000-0000-000006000000}"/>
    <hyperlink ref="B11" location="Atacand!A1" display="Atacand" xr:uid="{00000000-0004-0000-0000-000005000000}"/>
    <hyperlink ref="B13" location="Crestor!A1" display="Crestor" xr:uid="{5A900483-973F-4F3D-ADB4-620416E5D4AD}"/>
    <hyperlink ref="B12" location="'Nexium-Prilosec'!A1" display="Nexium" xr:uid="{0C970C23-5C52-48C3-B55D-49238936BD4A}"/>
    <hyperlink ref="B14" location="Seroquel!A1" display="Seroquel" xr:uid="{8913E2A4-8F49-4CF7-A160-574DBB9C1F30}"/>
    <hyperlink ref="B15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RowHeight="12.75"/>
  <cols>
    <col min="1" max="1" width="5" style="1" bestFit="1" customWidth="1"/>
    <col min="2" max="2" width="11.5703125" style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6</v>
      </c>
    </row>
    <row r="3" spans="1:3">
      <c r="B3" s="1" t="s">
        <v>85</v>
      </c>
      <c r="C3" s="1" t="s">
        <v>98</v>
      </c>
    </row>
    <row r="4" spans="1:3">
      <c r="B4" s="1" t="s">
        <v>68</v>
      </c>
      <c r="C4" s="1" t="s">
        <v>69</v>
      </c>
    </row>
    <row r="5" spans="1:3">
      <c r="B5" s="1" t="s">
        <v>4</v>
      </c>
      <c r="C5" s="11" t="s">
        <v>291</v>
      </c>
    </row>
    <row r="6" spans="1:3">
      <c r="C6" s="1" t="s">
        <v>237</v>
      </c>
    </row>
    <row r="7" spans="1:3">
      <c r="C7" s="1" t="s">
        <v>99</v>
      </c>
    </row>
    <row r="8" spans="1:3">
      <c r="C8" s="1" t="s">
        <v>171</v>
      </c>
    </row>
    <row r="9" spans="1:3">
      <c r="C9" s="1" t="s">
        <v>235</v>
      </c>
    </row>
    <row r="10" spans="1:3">
      <c r="C10" s="1" t="s">
        <v>211</v>
      </c>
    </row>
    <row r="11" spans="1:3">
      <c r="C11" s="11" t="s">
        <v>449</v>
      </c>
    </row>
    <row r="12" spans="1:3">
      <c r="B12" s="1" t="s">
        <v>209</v>
      </c>
      <c r="C12" s="1" t="s">
        <v>210</v>
      </c>
    </row>
    <row r="13" spans="1:3">
      <c r="C13" s="1" t="s">
        <v>67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RowHeight="12.75"/>
  <cols>
    <col min="1" max="1" width="5" style="1" bestFit="1" customWidth="1"/>
    <col min="2" max="2" width="14" style="1" bestFit="1" customWidth="1"/>
    <col min="3" max="3" width="9.5703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461</v>
      </c>
    </row>
    <row r="3" spans="1:3">
      <c r="B3" s="1" t="s">
        <v>1</v>
      </c>
      <c r="C3" s="1" t="s">
        <v>103</v>
      </c>
    </row>
    <row r="4" spans="1:3">
      <c r="B4" s="1" t="s">
        <v>80</v>
      </c>
      <c r="C4" s="1" t="s">
        <v>101</v>
      </c>
    </row>
    <row r="5" spans="1:3">
      <c r="B5" s="1" t="s">
        <v>77</v>
      </c>
      <c r="C5" s="1" t="s">
        <v>104</v>
      </c>
    </row>
    <row r="6" spans="1:3">
      <c r="B6" s="1" t="s">
        <v>68</v>
      </c>
      <c r="C6" s="1" t="s">
        <v>100</v>
      </c>
    </row>
    <row r="7" spans="1:3">
      <c r="B7" s="1" t="s">
        <v>3</v>
      </c>
      <c r="C7" s="11" t="s">
        <v>462</v>
      </c>
    </row>
    <row r="8" spans="1:3">
      <c r="B8" s="1" t="s">
        <v>107</v>
      </c>
      <c r="C8" s="1" t="s">
        <v>108</v>
      </c>
    </row>
    <row r="9" spans="1:3">
      <c r="B9" s="1" t="s">
        <v>4</v>
      </c>
      <c r="C9" s="1" t="s">
        <v>251</v>
      </c>
    </row>
    <row r="10" spans="1:3">
      <c r="C10" s="1" t="s">
        <v>250</v>
      </c>
    </row>
    <row r="11" spans="1:3">
      <c r="C11" s="11" t="s">
        <v>450</v>
      </c>
    </row>
    <row r="12" spans="1:3">
      <c r="C12" s="11" t="s">
        <v>451</v>
      </c>
    </row>
    <row r="13" spans="1:3">
      <c r="B13" s="1" t="s">
        <v>81</v>
      </c>
      <c r="C13" s="1" t="s">
        <v>106</v>
      </c>
    </row>
    <row r="14" spans="1:3">
      <c r="C14" s="1" t="s">
        <v>105</v>
      </c>
    </row>
    <row r="16" spans="1:3">
      <c r="C16" s="1" t="s">
        <v>170</v>
      </c>
    </row>
    <row r="19" spans="2:5">
      <c r="B19" s="1" t="s">
        <v>102</v>
      </c>
      <c r="C19" s="7"/>
      <c r="D19" s="7" t="s">
        <v>179</v>
      </c>
      <c r="E19" s="7" t="s">
        <v>180</v>
      </c>
    </row>
    <row r="20" spans="2:5">
      <c r="C20" s="23">
        <v>39234</v>
      </c>
      <c r="D20" s="24">
        <v>287913</v>
      </c>
      <c r="E20" s="24">
        <v>141565</v>
      </c>
    </row>
    <row r="21" spans="2:5">
      <c r="C21" s="23">
        <f>C20-7</f>
        <v>39227</v>
      </c>
      <c r="D21" s="24">
        <v>297841</v>
      </c>
      <c r="E21" s="24">
        <v>152431</v>
      </c>
    </row>
    <row r="22" spans="2:5">
      <c r="C22" s="23">
        <f>C20-365</f>
        <v>38869</v>
      </c>
      <c r="D22" s="24">
        <v>264850</v>
      </c>
      <c r="E22" s="24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RowHeight="12.75"/>
  <cols>
    <col min="1" max="1" width="5" style="1" bestFit="1" customWidth="1"/>
    <col min="2" max="2" width="13.5703125" style="1" customWidth="1"/>
    <col min="3" max="8" width="9.140625" style="7"/>
    <col min="9" max="16384" width="9.140625" style="1"/>
  </cols>
  <sheetData>
    <row r="1" spans="1:8">
      <c r="A1" s="14" t="s">
        <v>66</v>
      </c>
    </row>
    <row r="2" spans="1:8">
      <c r="B2" s="1" t="s">
        <v>79</v>
      </c>
      <c r="C2" s="1" t="s">
        <v>7</v>
      </c>
    </row>
    <row r="3" spans="1:8">
      <c r="B3" s="1" t="s">
        <v>83</v>
      </c>
      <c r="C3" s="11" t="s">
        <v>346</v>
      </c>
    </row>
    <row r="4" spans="1:8">
      <c r="B4" s="1" t="s">
        <v>77</v>
      </c>
      <c r="C4" s="1" t="s">
        <v>78</v>
      </c>
    </row>
    <row r="5" spans="1:8">
      <c r="B5" s="11" t="s">
        <v>93</v>
      </c>
      <c r="C5" s="11" t="s">
        <v>58</v>
      </c>
    </row>
    <row r="6" spans="1:8">
      <c r="B6" s="11" t="s">
        <v>4</v>
      </c>
      <c r="C6" s="11" t="s">
        <v>345</v>
      </c>
    </row>
    <row r="7" spans="1:8">
      <c r="B7" s="11"/>
      <c r="C7" s="11" t="s">
        <v>348</v>
      </c>
      <c r="H7" s="1" t="s">
        <v>357</v>
      </c>
    </row>
    <row r="8" spans="1:8">
      <c r="B8" s="11"/>
      <c r="C8" s="11" t="s">
        <v>349</v>
      </c>
    </row>
    <row r="9" spans="1:8">
      <c r="B9" s="11"/>
      <c r="C9" s="11" t="s">
        <v>350</v>
      </c>
    </row>
    <row r="10" spans="1:8">
      <c r="B10" s="1" t="s">
        <v>61</v>
      </c>
    </row>
    <row r="11" spans="1:8">
      <c r="C11" s="20" t="s">
        <v>249</v>
      </c>
    </row>
    <row r="12" spans="1:8">
      <c r="C12" s="1" t="s">
        <v>278</v>
      </c>
    </row>
    <row r="13" spans="1:8">
      <c r="C13" s="1" t="s">
        <v>279</v>
      </c>
    </row>
    <row r="14" spans="1:8">
      <c r="C14" s="1" t="s">
        <v>281</v>
      </c>
    </row>
    <row r="15" spans="1:8">
      <c r="C15" s="1" t="s">
        <v>280</v>
      </c>
    </row>
    <row r="19" spans="3:3">
      <c r="C19" s="1" t="s">
        <v>75</v>
      </c>
    </row>
    <row r="20" spans="3:3">
      <c r="C20" s="10" t="s">
        <v>73</v>
      </c>
    </row>
    <row r="21" spans="3:3">
      <c r="C21" s="1" t="s">
        <v>74</v>
      </c>
    </row>
    <row r="22" spans="3:3">
      <c r="C22" s="1" t="s">
        <v>71</v>
      </c>
    </row>
    <row r="23" spans="3:3">
      <c r="C23" s="1" t="s">
        <v>72</v>
      </c>
    </row>
    <row r="24" spans="3:3">
      <c r="C24" s="1" t="s">
        <v>76</v>
      </c>
    </row>
    <row r="25" spans="3:3">
      <c r="C25" s="1" t="s">
        <v>62</v>
      </c>
    </row>
    <row r="26" spans="3:3">
      <c r="C26" s="1" t="s">
        <v>63</v>
      </c>
    </row>
    <row r="27" spans="3:3">
      <c r="C27" s="1" t="s">
        <v>64</v>
      </c>
    </row>
    <row r="28" spans="3:3">
      <c r="C28" s="1" t="s">
        <v>65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>
      <selection activeCell="C16" sqref="C16"/>
    </sheetView>
  </sheetViews>
  <sheetFormatPr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1" t="s">
        <v>283</v>
      </c>
    </row>
    <row r="3" spans="1:3">
      <c r="B3" s="1" t="s">
        <v>83</v>
      </c>
      <c r="C3" s="1" t="s">
        <v>286</v>
      </c>
    </row>
    <row r="4" spans="1:3">
      <c r="B4" s="1" t="s">
        <v>80</v>
      </c>
      <c r="C4" s="1" t="s">
        <v>183</v>
      </c>
    </row>
    <row r="5" spans="1:3">
      <c r="C5" s="1" t="s">
        <v>184</v>
      </c>
    </row>
    <row r="6" spans="1:3">
      <c r="B6" s="1" t="s">
        <v>1</v>
      </c>
      <c r="C6" s="1" t="s">
        <v>88</v>
      </c>
    </row>
    <row r="7" spans="1:3">
      <c r="B7" s="1" t="s">
        <v>84</v>
      </c>
      <c r="C7" s="11" t="s">
        <v>318</v>
      </c>
    </row>
    <row r="8" spans="1:3">
      <c r="B8" s="1" t="s">
        <v>3</v>
      </c>
      <c r="C8" s="1" t="s">
        <v>11</v>
      </c>
    </row>
    <row r="9" spans="1:3">
      <c r="B9" s="1" t="s">
        <v>85</v>
      </c>
      <c r="C9" s="1" t="s">
        <v>86</v>
      </c>
    </row>
    <row r="10" spans="1:3">
      <c r="B10" s="1" t="s">
        <v>81</v>
      </c>
      <c r="C10" s="1" t="s">
        <v>87</v>
      </c>
    </row>
    <row r="12" spans="1:3">
      <c r="C12" s="20" t="s">
        <v>306</v>
      </c>
    </row>
    <row r="13" spans="1:3">
      <c r="C13" s="20" t="s">
        <v>305</v>
      </c>
    </row>
    <row r="14" spans="1:3">
      <c r="C14" s="11" t="s">
        <v>307</v>
      </c>
    </row>
    <row r="15" spans="1:3">
      <c r="C15" s="11" t="s">
        <v>464</v>
      </c>
    </row>
    <row r="16" spans="1:3">
      <c r="C16" s="11" t="s">
        <v>465</v>
      </c>
    </row>
    <row r="17" spans="3:4">
      <c r="C17" s="11"/>
    </row>
    <row r="18" spans="3:4">
      <c r="C18" s="20" t="s">
        <v>89</v>
      </c>
    </row>
    <row r="19" spans="3:4">
      <c r="D19" s="1" t="s">
        <v>90</v>
      </c>
    </row>
    <row r="20" spans="3:4">
      <c r="D20" s="1" t="s">
        <v>91</v>
      </c>
    </row>
    <row r="21" spans="3:4">
      <c r="D21" s="1" t="s">
        <v>92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173</v>
      </c>
    </row>
    <row r="3" spans="1:3">
      <c r="B3" s="1" t="s">
        <v>83</v>
      </c>
      <c r="C3" s="1" t="s">
        <v>172</v>
      </c>
    </row>
    <row r="4" spans="1:3">
      <c r="B4" s="1" t="s">
        <v>80</v>
      </c>
      <c r="C4" s="1" t="s">
        <v>194</v>
      </c>
    </row>
    <row r="5" spans="1:3">
      <c r="C5" s="1" t="s">
        <v>199</v>
      </c>
    </row>
    <row r="6" spans="1:3">
      <c r="B6" s="1" t="s">
        <v>84</v>
      </c>
      <c r="C6" s="1" t="s">
        <v>200</v>
      </c>
    </row>
    <row r="7" spans="1:3">
      <c r="B7" s="1" t="s">
        <v>1</v>
      </c>
      <c r="C7" s="1" t="s">
        <v>206</v>
      </c>
    </row>
    <row r="8" spans="1:3">
      <c r="B8" s="1" t="s">
        <v>61</v>
      </c>
    </row>
    <row r="9" spans="1:3">
      <c r="C9" s="20" t="s">
        <v>421</v>
      </c>
    </row>
    <row r="11" spans="1:3">
      <c r="C11" s="20" t="s">
        <v>204</v>
      </c>
    </row>
    <row r="13" spans="1:3">
      <c r="C13" s="20" t="s">
        <v>203</v>
      </c>
    </row>
    <row r="14" spans="1:3">
      <c r="C14" s="11" t="s">
        <v>418</v>
      </c>
    </row>
    <row r="16" spans="1:3">
      <c r="C16" s="20" t="s">
        <v>201</v>
      </c>
    </row>
    <row r="17" spans="3:3">
      <c r="C17" s="11" t="s">
        <v>419</v>
      </c>
    </row>
    <row r="19" spans="3:3">
      <c r="C19" s="20" t="s">
        <v>202</v>
      </c>
    </row>
    <row r="21" spans="3:3">
      <c r="C21" s="20" t="s">
        <v>205</v>
      </c>
    </row>
    <row r="22" spans="3:3">
      <c r="C22" s="20"/>
    </row>
    <row r="23" spans="3:3">
      <c r="C23" s="20" t="s">
        <v>177</v>
      </c>
    </row>
    <row r="24" spans="3:3">
      <c r="C24" s="1" t="s">
        <v>178</v>
      </c>
    </row>
    <row r="26" spans="3:3">
      <c r="C26" s="20" t="s">
        <v>174</v>
      </c>
    </row>
    <row r="27" spans="3:3">
      <c r="C27" s="1" t="s">
        <v>175</v>
      </c>
    </row>
    <row r="28" spans="3:3">
      <c r="C28" s="1" t="s">
        <v>176</v>
      </c>
    </row>
    <row r="31" spans="3:3">
      <c r="C31" s="27" t="s">
        <v>193</v>
      </c>
    </row>
    <row r="32" spans="3:3">
      <c r="C32" s="1" t="s">
        <v>195</v>
      </c>
    </row>
    <row r="33" spans="3:3">
      <c r="C33" s="1" t="s">
        <v>196</v>
      </c>
    </row>
    <row r="34" spans="3:3">
      <c r="C34" s="1" t="s">
        <v>197</v>
      </c>
    </row>
    <row r="35" spans="3:3">
      <c r="C35" s="1" t="s">
        <v>198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8</v>
      </c>
    </row>
    <row r="3" spans="1:3">
      <c r="B3" s="1" t="s">
        <v>83</v>
      </c>
      <c r="C3" s="1" t="s">
        <v>259</v>
      </c>
    </row>
    <row r="4" spans="1:3">
      <c r="B4" s="1" t="s">
        <v>80</v>
      </c>
      <c r="C4" s="1" t="s">
        <v>260</v>
      </c>
    </row>
    <row r="5" spans="1:3">
      <c r="B5" s="1" t="s">
        <v>265</v>
      </c>
      <c r="C5" s="11" t="s">
        <v>266</v>
      </c>
    </row>
    <row r="6" spans="1:3">
      <c r="C6" s="1" t="s">
        <v>267</v>
      </c>
    </row>
    <row r="7" spans="1:3">
      <c r="C7" s="11" t="s">
        <v>317</v>
      </c>
    </row>
    <row r="8" spans="1:3">
      <c r="B8" s="1" t="s">
        <v>3</v>
      </c>
      <c r="C8" s="11" t="s">
        <v>315</v>
      </c>
    </row>
    <row r="9" spans="1:3">
      <c r="B9" s="11" t="s">
        <v>4</v>
      </c>
      <c r="C9" s="11" t="s">
        <v>316</v>
      </c>
    </row>
    <row r="10" spans="1:3">
      <c r="B10" s="1" t="s">
        <v>309</v>
      </c>
      <c r="C10" s="1" t="s">
        <v>310</v>
      </c>
    </row>
    <row r="11" spans="1:3">
      <c r="B11" s="1" t="s">
        <v>61</v>
      </c>
    </row>
    <row r="12" spans="1:3">
      <c r="C12" s="20" t="s">
        <v>312</v>
      </c>
    </row>
    <row r="13" spans="1:3">
      <c r="C13" s="11" t="s">
        <v>314</v>
      </c>
    </row>
    <row r="14" spans="1:3">
      <c r="C14" s="11" t="s">
        <v>313</v>
      </c>
    </row>
    <row r="15" spans="1:3">
      <c r="C15" s="11" t="s">
        <v>311</v>
      </c>
    </row>
    <row r="17" spans="3:3">
      <c r="C17" s="27" t="s">
        <v>269</v>
      </c>
    </row>
    <row r="18" spans="3:3">
      <c r="C18" s="1" t="s">
        <v>271</v>
      </c>
    </row>
    <row r="19" spans="3:3">
      <c r="C19" s="1" t="s">
        <v>270</v>
      </c>
    </row>
    <row r="21" spans="3:3">
      <c r="C21" s="20" t="s">
        <v>268</v>
      </c>
    </row>
    <row r="23" spans="3:3">
      <c r="C23" s="20" t="s">
        <v>274</v>
      </c>
    </row>
    <row r="24" spans="3:3">
      <c r="C24" s="1" t="s">
        <v>275</v>
      </c>
    </row>
    <row r="26" spans="3:3">
      <c r="C26" s="20" t="s">
        <v>272</v>
      </c>
    </row>
    <row r="28" spans="3:3">
      <c r="C28" s="20" t="s">
        <v>273</v>
      </c>
    </row>
    <row r="31" spans="3:3">
      <c r="C31" s="20" t="s">
        <v>276</v>
      </c>
    </row>
    <row r="32" spans="3:3">
      <c r="C32" s="1" t="s">
        <v>277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A2" s="14"/>
      <c r="B2" s="1" t="s">
        <v>79</v>
      </c>
      <c r="C2" s="1" t="s">
        <v>125</v>
      </c>
    </row>
    <row r="3" spans="1:3">
      <c r="A3" s="14"/>
      <c r="B3" s="1" t="s">
        <v>83</v>
      </c>
      <c r="C3" s="1" t="s">
        <v>137</v>
      </c>
    </row>
    <row r="4" spans="1:3">
      <c r="A4" s="14"/>
      <c r="B4" s="1" t="s">
        <v>1</v>
      </c>
      <c r="C4" s="1" t="s">
        <v>9</v>
      </c>
    </row>
    <row r="5" spans="1:3">
      <c r="A5" s="14"/>
      <c r="B5" s="1" t="s">
        <v>80</v>
      </c>
      <c r="C5" s="1" t="s">
        <v>150</v>
      </c>
    </row>
    <row r="6" spans="1:3">
      <c r="A6" s="14"/>
      <c r="B6" s="1" t="s">
        <v>212</v>
      </c>
      <c r="C6" s="1" t="s">
        <v>213</v>
      </c>
    </row>
    <row r="7" spans="1:3">
      <c r="A7" s="14"/>
      <c r="B7" s="1" t="s">
        <v>61</v>
      </c>
    </row>
    <row r="8" spans="1:3">
      <c r="A8" s="14"/>
      <c r="C8" s="20" t="s">
        <v>151</v>
      </c>
    </row>
    <row r="9" spans="1:3">
      <c r="A9" s="14"/>
      <c r="C9" s="1" t="s">
        <v>152</v>
      </c>
    </row>
    <row r="10" spans="1:3">
      <c r="A10" s="14"/>
      <c r="C10" s="1" t="s">
        <v>153</v>
      </c>
    </row>
    <row r="11" spans="1:3">
      <c r="A11" s="14"/>
      <c r="C11" s="1" t="s">
        <v>154</v>
      </c>
    </row>
    <row r="12" spans="1:3">
      <c r="A12" s="14"/>
    </row>
    <row r="13" spans="1:3">
      <c r="C13" s="20" t="s">
        <v>146</v>
      </c>
    </row>
    <row r="14" spans="1:3">
      <c r="C14" s="1" t="s">
        <v>50</v>
      </c>
    </row>
    <row r="15" spans="1:3">
      <c r="C15" s="1" t="s">
        <v>149</v>
      </c>
    </row>
    <row r="16" spans="1:3">
      <c r="C16" s="1" t="s">
        <v>147</v>
      </c>
    </row>
    <row r="17" spans="3:3">
      <c r="C17" s="1" t="s">
        <v>148</v>
      </c>
    </row>
    <row r="19" spans="3:3">
      <c r="C19" s="20" t="s">
        <v>145</v>
      </c>
    </row>
    <row r="20" spans="3:3">
      <c r="C20" s="1" t="s">
        <v>141</v>
      </c>
    </row>
    <row r="21" spans="3:3">
      <c r="C21" s="1" t="s">
        <v>142</v>
      </c>
    </row>
    <row r="22" spans="3:3">
      <c r="C22" s="1" t="s">
        <v>144</v>
      </c>
    </row>
    <row r="23" spans="3:3">
      <c r="C23" s="1" t="s">
        <v>157</v>
      </c>
    </row>
    <row r="24" spans="3:3">
      <c r="C24" s="1" t="s">
        <v>143</v>
      </c>
    </row>
    <row r="25" spans="3:3">
      <c r="C25" s="1" t="s">
        <v>156</v>
      </c>
    </row>
    <row r="27" spans="3:3">
      <c r="C27" s="20" t="s">
        <v>155</v>
      </c>
    </row>
    <row r="30" spans="3:3">
      <c r="C30" s="20" t="s">
        <v>158</v>
      </c>
    </row>
    <row r="33" spans="3:3">
      <c r="C33" s="20" t="s">
        <v>159</v>
      </c>
    </row>
    <row r="34" spans="3:3">
      <c r="C34" s="1" t="s">
        <v>160</v>
      </c>
    </row>
    <row r="35" spans="3:3">
      <c r="C35" s="1" t="s">
        <v>161</v>
      </c>
    </row>
    <row r="40" spans="3:3">
      <c r="C40" s="21" t="s">
        <v>138</v>
      </c>
    </row>
    <row r="41" spans="3:3">
      <c r="C41" s="21" t="s">
        <v>139</v>
      </c>
    </row>
    <row r="42" spans="3:3">
      <c r="C42" s="21" t="s">
        <v>140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tabSelected="1" zoomScale="145" zoomScaleNormal="145" workbookViewId="0">
      <selection activeCell="F22" sqref="F22"/>
    </sheetView>
  </sheetViews>
  <sheetFormatPr defaultRowHeight="12.75"/>
  <cols>
    <col min="1" max="1" width="2.7109375" style="1" customWidth="1"/>
    <col min="2" max="2" width="30.7109375" style="1" customWidth="1"/>
    <col min="3" max="3" width="21" style="1" customWidth="1"/>
    <col min="4" max="4" width="11.85546875" style="1" customWidth="1"/>
    <col min="5" max="5" width="13.42578125" style="1" customWidth="1"/>
    <col min="6" max="6" width="19.7109375" style="1" customWidth="1"/>
    <col min="7" max="7" width="17.28515625" style="1" customWidth="1"/>
    <col min="8" max="8" width="12.8554687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8" t="s">
        <v>347</v>
      </c>
      <c r="F2" s="3" t="s">
        <v>113</v>
      </c>
      <c r="G2" s="3" t="s">
        <v>97</v>
      </c>
      <c r="H2" s="4" t="s">
        <v>4</v>
      </c>
      <c r="J2" s="1" t="s">
        <v>181</v>
      </c>
      <c r="K2" s="30">
        <v>66.98</v>
      </c>
    </row>
    <row r="3" spans="1:12">
      <c r="B3" s="13" t="s">
        <v>579</v>
      </c>
      <c r="C3" s="125" t="s">
        <v>580</v>
      </c>
      <c r="D3" s="6">
        <v>1</v>
      </c>
      <c r="E3" s="23">
        <v>39157</v>
      </c>
      <c r="F3" s="125" t="s">
        <v>583</v>
      </c>
      <c r="G3" s="125" t="s">
        <v>581</v>
      </c>
      <c r="H3" s="8"/>
      <c r="J3" s="1" t="s">
        <v>182</v>
      </c>
      <c r="K3" s="26">
        <v>1560</v>
      </c>
      <c r="L3" s="43" t="s">
        <v>526</v>
      </c>
    </row>
    <row r="4" spans="1:12">
      <c r="B4" s="13" t="s">
        <v>570</v>
      </c>
      <c r="C4" s="125" t="s">
        <v>9</v>
      </c>
      <c r="D4" s="6">
        <v>1</v>
      </c>
      <c r="E4" s="23">
        <v>42321</v>
      </c>
      <c r="F4" s="125" t="s">
        <v>594</v>
      </c>
      <c r="G4" s="7" t="s">
        <v>95</v>
      </c>
      <c r="H4" s="8"/>
      <c r="J4" s="1" t="s">
        <v>216</v>
      </c>
      <c r="K4" s="26">
        <f>K2*K3</f>
        <v>104488.8</v>
      </c>
    </row>
    <row r="5" spans="1:12">
      <c r="B5" s="132" t="s">
        <v>610</v>
      </c>
      <c r="C5" s="125" t="s">
        <v>9</v>
      </c>
      <c r="D5" s="6">
        <v>1</v>
      </c>
      <c r="E5" s="23">
        <v>42856</v>
      </c>
      <c r="F5" s="125" t="s">
        <v>582</v>
      </c>
      <c r="G5" s="125" t="s">
        <v>581</v>
      </c>
      <c r="H5" s="8"/>
      <c r="J5" s="1" t="s">
        <v>185</v>
      </c>
      <c r="K5" s="26">
        <v>0</v>
      </c>
      <c r="L5" s="43" t="s">
        <v>526</v>
      </c>
    </row>
    <row r="6" spans="1:12">
      <c r="B6" s="13" t="s">
        <v>49</v>
      </c>
      <c r="C6" s="7" t="s">
        <v>70</v>
      </c>
      <c r="D6" s="6">
        <v>1</v>
      </c>
      <c r="E6" s="6"/>
      <c r="F6" s="7"/>
      <c r="G6" s="7" t="s">
        <v>123</v>
      </c>
      <c r="H6" s="8"/>
      <c r="J6" s="1" t="s">
        <v>186</v>
      </c>
      <c r="K6" s="26">
        <v>24689</v>
      </c>
      <c r="L6" s="43" t="s">
        <v>526</v>
      </c>
    </row>
    <row r="7" spans="1:12">
      <c r="B7" s="18" t="s">
        <v>236</v>
      </c>
      <c r="C7" s="7" t="s">
        <v>165</v>
      </c>
      <c r="D7" s="6" t="s">
        <v>166</v>
      </c>
      <c r="E7" s="6"/>
      <c r="F7" s="22" t="s">
        <v>287</v>
      </c>
      <c r="G7" s="7" t="s">
        <v>95</v>
      </c>
      <c r="H7" s="8"/>
      <c r="J7" s="1" t="s">
        <v>215</v>
      </c>
      <c r="K7" s="26">
        <f>K4-K5+K6</f>
        <v>129177.8</v>
      </c>
    </row>
    <row r="8" spans="1:12">
      <c r="B8" s="13" t="s">
        <v>304</v>
      </c>
      <c r="C8" s="7" t="s">
        <v>10</v>
      </c>
      <c r="D8" s="6">
        <v>1</v>
      </c>
      <c r="E8" s="22"/>
      <c r="F8" s="7" t="s">
        <v>167</v>
      </c>
      <c r="G8" s="7" t="s">
        <v>95</v>
      </c>
      <c r="H8" s="8"/>
      <c r="J8" s="25"/>
      <c r="K8" s="131"/>
    </row>
    <row r="9" spans="1:12">
      <c r="B9" s="13" t="s">
        <v>601</v>
      </c>
      <c r="C9" s="7" t="s">
        <v>127</v>
      </c>
      <c r="D9" s="6" t="s">
        <v>575</v>
      </c>
      <c r="E9" s="23">
        <v>41992</v>
      </c>
      <c r="F9" s="7" t="s">
        <v>129</v>
      </c>
      <c r="G9" s="7" t="s">
        <v>95</v>
      </c>
      <c r="H9" s="8"/>
      <c r="J9" s="25"/>
      <c r="K9" s="131"/>
    </row>
    <row r="10" spans="1:12">
      <c r="B10" s="132" t="s">
        <v>600</v>
      </c>
      <c r="C10" s="125" t="s">
        <v>580</v>
      </c>
      <c r="D10" s="6">
        <v>1</v>
      </c>
      <c r="E10" s="23">
        <v>43455</v>
      </c>
      <c r="F10" s="7"/>
      <c r="G10" s="7"/>
      <c r="H10" s="8"/>
      <c r="J10" s="25"/>
      <c r="K10" s="131"/>
    </row>
    <row r="11" spans="1:12">
      <c r="B11" s="132" t="s">
        <v>532</v>
      </c>
      <c r="C11" s="7"/>
      <c r="D11" s="6"/>
      <c r="F11" s="7"/>
      <c r="G11" s="7"/>
      <c r="H11" s="8"/>
      <c r="J11" s="25"/>
      <c r="K11" s="131"/>
    </row>
    <row r="12" spans="1:12">
      <c r="B12" s="132" t="s">
        <v>6</v>
      </c>
      <c r="C12" s="7"/>
      <c r="D12" s="6"/>
      <c r="F12" s="7"/>
      <c r="G12" s="7"/>
      <c r="H12" s="8"/>
      <c r="J12" s="25"/>
      <c r="K12" s="131"/>
    </row>
    <row r="13" spans="1:12">
      <c r="B13" s="132" t="s">
        <v>539</v>
      </c>
      <c r="C13" s="7"/>
      <c r="D13" s="6"/>
      <c r="F13" s="7"/>
      <c r="G13" s="7"/>
      <c r="H13" s="8"/>
      <c r="J13" s="25"/>
      <c r="K13" s="131"/>
    </row>
    <row r="14" spans="1:12">
      <c r="B14" s="132" t="s">
        <v>7</v>
      </c>
      <c r="C14" s="7"/>
      <c r="D14" s="6"/>
      <c r="F14" s="7"/>
      <c r="G14" s="7"/>
      <c r="H14" s="8"/>
      <c r="J14" s="25"/>
      <c r="K14" s="131"/>
    </row>
    <row r="15" spans="1:12">
      <c r="B15" s="13" t="s">
        <v>569</v>
      </c>
      <c r="C15" s="7" t="s">
        <v>568</v>
      </c>
      <c r="D15" s="125" t="s">
        <v>605</v>
      </c>
      <c r="F15" s="7" t="s">
        <v>572</v>
      </c>
      <c r="G15" s="7" t="s">
        <v>95</v>
      </c>
      <c r="H15" s="31"/>
      <c r="J15" s="25"/>
      <c r="K15" s="131"/>
    </row>
    <row r="16" spans="1:12">
      <c r="B16" s="13" t="s">
        <v>576</v>
      </c>
      <c r="C16" s="7" t="s">
        <v>165</v>
      </c>
      <c r="D16" s="7" t="s">
        <v>166</v>
      </c>
      <c r="E16" s="22"/>
      <c r="F16" s="7" t="s">
        <v>365</v>
      </c>
      <c r="G16" s="22" t="s">
        <v>95</v>
      </c>
      <c r="H16" s="8"/>
      <c r="K16" s="26"/>
    </row>
    <row r="17" spans="2:11">
      <c r="B17" s="122" t="s">
        <v>261</v>
      </c>
      <c r="C17" s="9" t="s">
        <v>9</v>
      </c>
      <c r="D17" s="123">
        <v>1</v>
      </c>
      <c r="E17" s="123"/>
      <c r="F17" s="9" t="s">
        <v>122</v>
      </c>
      <c r="G17" s="9" t="s">
        <v>95</v>
      </c>
      <c r="H17" s="67"/>
      <c r="K17" s="26"/>
    </row>
    <row r="18" spans="2:11">
      <c r="B18" s="2"/>
      <c r="C18" s="3"/>
      <c r="D18" s="3"/>
      <c r="E18" s="3" t="s">
        <v>5</v>
      </c>
      <c r="F18" s="3"/>
      <c r="G18" s="3"/>
      <c r="H18" s="4" t="s">
        <v>113</v>
      </c>
    </row>
    <row r="19" spans="2:11">
      <c r="B19" s="39" t="s">
        <v>405</v>
      </c>
      <c r="C19" s="22" t="s">
        <v>383</v>
      </c>
      <c r="D19" s="6">
        <v>1</v>
      </c>
      <c r="E19" s="22" t="s">
        <v>57</v>
      </c>
      <c r="F19" s="22" t="s">
        <v>324</v>
      </c>
      <c r="G19" s="7"/>
      <c r="H19" s="42"/>
    </row>
    <row r="20" spans="2:11">
      <c r="B20" s="39" t="s">
        <v>322</v>
      </c>
      <c r="C20" s="22" t="s">
        <v>323</v>
      </c>
      <c r="D20" s="6">
        <v>1</v>
      </c>
      <c r="E20" s="22" t="s">
        <v>51</v>
      </c>
      <c r="F20" s="22" t="s">
        <v>324</v>
      </c>
      <c r="G20" s="7"/>
      <c r="H20" s="42"/>
    </row>
    <row r="21" spans="2:11">
      <c r="B21" s="19">
        <v>8309</v>
      </c>
      <c r="C21" s="7" t="s">
        <v>112</v>
      </c>
      <c r="D21" s="6">
        <v>1</v>
      </c>
      <c r="E21" s="7" t="s">
        <v>59</v>
      </c>
      <c r="F21" s="7" t="s">
        <v>114</v>
      </c>
      <c r="G21" s="7"/>
      <c r="H21" s="8"/>
    </row>
    <row r="22" spans="2:11">
      <c r="B22" s="34" t="s">
        <v>331</v>
      </c>
      <c r="C22" s="22" t="s">
        <v>127</v>
      </c>
      <c r="D22" s="6">
        <v>1</v>
      </c>
      <c r="E22" s="22" t="s">
        <v>57</v>
      </c>
      <c r="F22" s="22" t="s">
        <v>334</v>
      </c>
      <c r="G22" s="7"/>
      <c r="H22" s="42"/>
    </row>
    <row r="23" spans="2:11">
      <c r="B23" s="64" t="s">
        <v>332</v>
      </c>
      <c r="C23" s="65" t="s">
        <v>127</v>
      </c>
      <c r="D23" s="66" t="s">
        <v>336</v>
      </c>
      <c r="E23" s="65" t="s">
        <v>57</v>
      </c>
      <c r="F23" s="65" t="s">
        <v>335</v>
      </c>
      <c r="G23" s="9"/>
      <c r="H23" s="67"/>
    </row>
    <row r="24" spans="2:11">
      <c r="B24" s="62"/>
      <c r="C24" s="7"/>
      <c r="D24" s="6"/>
      <c r="E24" s="7"/>
      <c r="F24" s="7"/>
      <c r="G24" s="7"/>
      <c r="H24" s="7"/>
    </row>
    <row r="25" spans="2:11">
      <c r="B25" s="1" t="s">
        <v>556</v>
      </c>
      <c r="G25" s="32" t="s">
        <v>238</v>
      </c>
    </row>
    <row r="26" spans="2:11">
      <c r="G26" s="32" t="s">
        <v>239</v>
      </c>
    </row>
    <row r="27" spans="2:11">
      <c r="G27" s="32" t="s">
        <v>338</v>
      </c>
    </row>
    <row r="28" spans="2:11">
      <c r="G28" s="32" t="s">
        <v>325</v>
      </c>
    </row>
    <row r="29" spans="2:11">
      <c r="G29" s="32" t="s">
        <v>326</v>
      </c>
    </row>
    <row r="30" spans="2:11">
      <c r="B30" s="10"/>
      <c r="G30" s="32" t="s">
        <v>299</v>
      </c>
    </row>
    <row r="31" spans="2:11">
      <c r="G31" s="11" t="s">
        <v>420</v>
      </c>
      <c r="I31" s="7"/>
    </row>
    <row r="32" spans="2:11">
      <c r="G32" s="11" t="s">
        <v>425</v>
      </c>
    </row>
    <row r="33" spans="6:7">
      <c r="F33" s="126"/>
      <c r="G33" s="32"/>
    </row>
    <row r="34" spans="6:7">
      <c r="G34" s="32"/>
    </row>
    <row r="39" spans="6:7">
      <c r="G39" s="1" t="s">
        <v>571</v>
      </c>
    </row>
  </sheetData>
  <phoneticPr fontId="3" type="noConversion"/>
  <hyperlinks>
    <hyperlink ref="B8" location="Brilinta!A1" display="Brilinta" xr:uid="{00000000-0004-0000-0000-000003000000}"/>
    <hyperlink ref="B6" location="Symbicort!A1" display="Symbicort (budenoside/formoterol)" xr:uid="{00000000-0004-0000-0000-000008000000}"/>
    <hyperlink ref="B16" location="dapagliflozin!A1" display="dapaglifozin" xr:uid="{00000000-0004-0000-0000-00000B000000}"/>
    <hyperlink ref="B17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9" location="Lynparza!A1" display="Lynparza (olaparib)" xr:uid="{8905C321-8CB0-4C60-959B-EB5A1571CC67}"/>
    <hyperlink ref="B15" location="Koselugo!A1" display="Koselugo (selumetinib)" xr:uid="{C079BFF5-88CE-4E31-A28A-9BF18728AC21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G128"/>
  <sheetViews>
    <sheetView zoomScale="145" zoomScaleNormal="145" workbookViewId="0">
      <pane xSplit="2" ySplit="2" topLeftCell="CC3" activePane="bottomRight" state="frozen"/>
      <selection pane="topRight" activeCell="B1" sqref="B1"/>
      <selection pane="bottomLeft" activeCell="A3" sqref="A3"/>
      <selection pane="bottomRight" activeCell="CJ6" sqref="CJ6"/>
    </sheetView>
  </sheetViews>
  <sheetFormatPr defaultRowHeight="12.75"/>
  <cols>
    <col min="1" max="1" width="5" style="106" bestFit="1" customWidth="1"/>
    <col min="2" max="2" width="21.42578125" style="106" customWidth="1"/>
    <col min="3" max="74" width="6.7109375" style="45" customWidth="1"/>
    <col min="75" max="94" width="6.7109375" style="85" customWidth="1"/>
    <col min="95" max="97" width="6.7109375" style="45" customWidth="1"/>
    <col min="98" max="98" width="1.7109375" style="45" customWidth="1"/>
    <col min="99" max="106" width="6.7109375" style="45" customWidth="1"/>
    <col min="107" max="116" width="6.5703125" style="45" customWidth="1"/>
    <col min="117" max="117" width="6.7109375" style="45" customWidth="1"/>
    <col min="118" max="123" width="6.7109375" style="15" customWidth="1"/>
    <col min="124" max="16384" width="9.140625" style="15"/>
  </cols>
  <sheetData>
    <row r="1" spans="1:122" s="11" customFormat="1">
      <c r="A1" s="100" t="s">
        <v>66</v>
      </c>
      <c r="B1" s="101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55"/>
      <c r="AL1" s="43"/>
      <c r="AM1" s="43"/>
      <c r="AN1" s="43"/>
      <c r="AO1" s="43"/>
      <c r="AP1" s="43"/>
      <c r="AQ1" s="55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</row>
    <row r="2" spans="1:122" s="11" customFormat="1">
      <c r="A2" s="35"/>
      <c r="B2" s="102"/>
      <c r="C2" s="97" t="s">
        <v>25</v>
      </c>
      <c r="D2" s="97" t="s">
        <v>26</v>
      </c>
      <c r="E2" s="97" t="s">
        <v>27</v>
      </c>
      <c r="F2" s="97" t="s">
        <v>28</v>
      </c>
      <c r="G2" s="97" t="s">
        <v>29</v>
      </c>
      <c r="H2" s="97" t="s">
        <v>30</v>
      </c>
      <c r="I2" s="97" t="s">
        <v>31</v>
      </c>
      <c r="J2" s="97" t="s">
        <v>32</v>
      </c>
      <c r="K2" s="97" t="s">
        <v>18</v>
      </c>
      <c r="L2" s="97" t="s">
        <v>19</v>
      </c>
      <c r="M2" s="97" t="s">
        <v>20</v>
      </c>
      <c r="N2" s="97" t="s">
        <v>21</v>
      </c>
      <c r="O2" s="97" t="s">
        <v>466</v>
      </c>
      <c r="P2" s="97" t="s">
        <v>469</v>
      </c>
      <c r="Q2" s="97" t="s">
        <v>468</v>
      </c>
      <c r="R2" s="97" t="s">
        <v>467</v>
      </c>
      <c r="S2" s="97" t="s">
        <v>233</v>
      </c>
      <c r="T2" s="97" t="s">
        <v>234</v>
      </c>
      <c r="U2" s="97" t="s">
        <v>232</v>
      </c>
      <c r="V2" s="97" t="s">
        <v>231</v>
      </c>
      <c r="W2" s="97" t="s">
        <v>226</v>
      </c>
      <c r="X2" s="97" t="s">
        <v>224</v>
      </c>
      <c r="Y2" s="97" t="s">
        <v>223</v>
      </c>
      <c r="Z2" s="97" t="s">
        <v>222</v>
      </c>
      <c r="AA2" s="97" t="s">
        <v>221</v>
      </c>
      <c r="AB2" s="97" t="s">
        <v>220</v>
      </c>
      <c r="AC2" s="97" t="s">
        <v>217</v>
      </c>
      <c r="AD2" s="97" t="s">
        <v>219</v>
      </c>
      <c r="AE2" s="97" t="s">
        <v>227</v>
      </c>
      <c r="AF2" s="97" t="s">
        <v>228</v>
      </c>
      <c r="AG2" s="97" t="s">
        <v>229</v>
      </c>
      <c r="AH2" s="97" t="s">
        <v>230</v>
      </c>
      <c r="AI2" s="97" t="s">
        <v>282</v>
      </c>
      <c r="AJ2" s="97" t="s">
        <v>288</v>
      </c>
      <c r="AK2" s="98" t="s">
        <v>289</v>
      </c>
      <c r="AL2" s="97" t="s">
        <v>290</v>
      </c>
      <c r="AM2" s="97" t="s">
        <v>353</v>
      </c>
      <c r="AN2" s="97" t="s">
        <v>354</v>
      </c>
      <c r="AO2" s="97" t="s">
        <v>355</v>
      </c>
      <c r="AP2" s="97" t="s">
        <v>356</v>
      </c>
      <c r="AQ2" s="98" t="s">
        <v>453</v>
      </c>
      <c r="AR2" s="97" t="s">
        <v>454</v>
      </c>
      <c r="AS2" s="97" t="s">
        <v>455</v>
      </c>
      <c r="AT2" s="97" t="s">
        <v>456</v>
      </c>
      <c r="AU2" s="97" t="s">
        <v>471</v>
      </c>
      <c r="AV2" s="97" t="s">
        <v>472</v>
      </c>
      <c r="AW2" s="97" t="s">
        <v>473</v>
      </c>
      <c r="AX2" s="97" t="s">
        <v>474</v>
      </c>
      <c r="AY2" s="97" t="s">
        <v>488</v>
      </c>
      <c r="AZ2" s="97" t="s">
        <v>489</v>
      </c>
      <c r="BA2" s="97" t="s">
        <v>490</v>
      </c>
      <c r="BB2" s="97" t="s">
        <v>491</v>
      </c>
      <c r="BC2" s="97" t="s">
        <v>492</v>
      </c>
      <c r="BD2" s="97" t="s">
        <v>493</v>
      </c>
      <c r="BE2" s="97" t="s">
        <v>494</v>
      </c>
      <c r="BF2" s="97" t="s">
        <v>495</v>
      </c>
      <c r="BG2" s="75" t="s">
        <v>497</v>
      </c>
      <c r="BH2" s="75" t="s">
        <v>498</v>
      </c>
      <c r="BI2" s="75" t="s">
        <v>499</v>
      </c>
      <c r="BJ2" s="75" t="s">
        <v>500</v>
      </c>
      <c r="BK2" s="75" t="s">
        <v>501</v>
      </c>
      <c r="BL2" s="75" t="s">
        <v>502</v>
      </c>
      <c r="BM2" s="75" t="s">
        <v>503</v>
      </c>
      <c r="BN2" s="75" t="s">
        <v>504</v>
      </c>
      <c r="BO2" s="75" t="s">
        <v>505</v>
      </c>
      <c r="BP2" s="75" t="s">
        <v>506</v>
      </c>
      <c r="BQ2" s="75" t="s">
        <v>507</v>
      </c>
      <c r="BR2" s="75" t="s">
        <v>508</v>
      </c>
      <c r="BS2" s="75" t="s">
        <v>509</v>
      </c>
      <c r="BT2" s="75" t="s">
        <v>510</v>
      </c>
      <c r="BU2" s="75" t="s">
        <v>511</v>
      </c>
      <c r="BV2" s="75" t="s">
        <v>512</v>
      </c>
      <c r="BW2" s="81" t="s">
        <v>513</v>
      </c>
      <c r="BX2" s="81" t="s">
        <v>514</v>
      </c>
      <c r="BY2" s="81" t="s">
        <v>515</v>
      </c>
      <c r="BZ2" s="81" t="s">
        <v>516</v>
      </c>
      <c r="CA2" s="81" t="s">
        <v>517</v>
      </c>
      <c r="CB2" s="81" t="s">
        <v>518</v>
      </c>
      <c r="CC2" s="81" t="s">
        <v>519</v>
      </c>
      <c r="CD2" s="81" t="s">
        <v>520</v>
      </c>
      <c r="CE2" s="81" t="s">
        <v>521</v>
      </c>
      <c r="CF2" s="81" t="s">
        <v>522</v>
      </c>
      <c r="CG2" s="81" t="s">
        <v>524</v>
      </c>
      <c r="CH2" s="81" t="s">
        <v>523</v>
      </c>
      <c r="CI2" s="81" t="s">
        <v>525</v>
      </c>
      <c r="CJ2" s="81" t="s">
        <v>526</v>
      </c>
      <c r="CK2" s="81" t="s">
        <v>527</v>
      </c>
      <c r="CL2" s="81" t="s">
        <v>528</v>
      </c>
      <c r="CM2" s="81" t="s">
        <v>552</v>
      </c>
      <c r="CN2" s="81" t="s">
        <v>553</v>
      </c>
      <c r="CO2" s="81" t="s">
        <v>554</v>
      </c>
      <c r="CP2" s="81" t="s">
        <v>555</v>
      </c>
      <c r="CQ2" s="75"/>
      <c r="CR2" s="75"/>
      <c r="CS2" s="75"/>
      <c r="CT2" s="75"/>
      <c r="CU2" s="99">
        <v>2002</v>
      </c>
      <c r="CV2" s="99">
        <v>2003</v>
      </c>
      <c r="CW2" s="99">
        <v>2004</v>
      </c>
      <c r="CX2" s="99">
        <v>2005</v>
      </c>
      <c r="CY2" s="99">
        <v>2006</v>
      </c>
      <c r="CZ2" s="99">
        <f>CY2+1</f>
        <v>2007</v>
      </c>
      <c r="DA2" s="99">
        <f t="shared" ref="DA2:DH2" si="0">CZ2+1</f>
        <v>2008</v>
      </c>
      <c r="DB2" s="99">
        <f t="shared" si="0"/>
        <v>2009</v>
      </c>
      <c r="DC2" s="99">
        <f t="shared" si="0"/>
        <v>2010</v>
      </c>
      <c r="DD2" s="99">
        <f t="shared" si="0"/>
        <v>2011</v>
      </c>
      <c r="DE2" s="99">
        <f t="shared" si="0"/>
        <v>2012</v>
      </c>
      <c r="DF2" s="99">
        <f t="shared" si="0"/>
        <v>2013</v>
      </c>
      <c r="DG2" s="99">
        <f t="shared" si="0"/>
        <v>2014</v>
      </c>
      <c r="DH2" s="99">
        <f t="shared" si="0"/>
        <v>2015</v>
      </c>
      <c r="DI2" s="99">
        <v>2016</v>
      </c>
      <c r="DJ2" s="99">
        <v>2017</v>
      </c>
      <c r="DK2" s="99">
        <v>2018</v>
      </c>
      <c r="DL2" s="99">
        <v>2019</v>
      </c>
      <c r="DM2" s="99">
        <v>2020</v>
      </c>
      <c r="DN2" s="99">
        <v>2021</v>
      </c>
      <c r="DO2" s="99">
        <v>2022</v>
      </c>
      <c r="DP2" s="99">
        <v>2023</v>
      </c>
      <c r="DQ2" s="99">
        <v>2024</v>
      </c>
      <c r="DR2" s="99">
        <v>2025</v>
      </c>
    </row>
    <row r="3" spans="1:122" s="11" customFormat="1">
      <c r="A3" s="35"/>
      <c r="B3" s="103" t="s">
        <v>529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  <c r="AL3" s="75"/>
      <c r="AM3" s="75"/>
      <c r="AN3" s="75"/>
      <c r="AO3" s="75"/>
      <c r="AP3" s="75"/>
      <c r="AQ3" s="76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81">
        <v>630</v>
      </c>
      <c r="BX3" s="81">
        <v>784</v>
      </c>
      <c r="BY3" s="81">
        <v>891</v>
      </c>
      <c r="BZ3" s="81">
        <v>884</v>
      </c>
      <c r="CA3" s="81">
        <v>982</v>
      </c>
      <c r="CB3" s="81">
        <v>1034</v>
      </c>
      <c r="CC3" s="81">
        <v>1155</v>
      </c>
      <c r="CD3" s="81">
        <v>1157</v>
      </c>
      <c r="CE3" s="81">
        <v>1149</v>
      </c>
      <c r="CF3" s="81">
        <v>1306</v>
      </c>
      <c r="CG3" s="81">
        <v>1247</v>
      </c>
      <c r="CH3" s="81">
        <v>1314</v>
      </c>
      <c r="CI3" s="81">
        <v>1304</v>
      </c>
      <c r="CJ3" s="81">
        <v>1400</v>
      </c>
      <c r="CK3" s="81">
        <f>+CG3*1.05</f>
        <v>1309.3500000000001</v>
      </c>
      <c r="CL3" s="81">
        <f t="shared" ref="CL3:CP3" si="1">+CH3*1.05</f>
        <v>1379.7</v>
      </c>
      <c r="CM3" s="81">
        <f t="shared" si="1"/>
        <v>1369.2</v>
      </c>
      <c r="CN3" s="81">
        <f t="shared" si="1"/>
        <v>1470</v>
      </c>
      <c r="CO3" s="81">
        <f t="shared" si="1"/>
        <v>1374.8175000000001</v>
      </c>
      <c r="CP3" s="81">
        <f t="shared" si="1"/>
        <v>1448.6850000000002</v>
      </c>
      <c r="CQ3" s="75"/>
      <c r="CR3" s="75"/>
      <c r="CS3" s="75"/>
      <c r="CT3" s="75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</row>
    <row r="4" spans="1:122" s="11" customFormat="1">
      <c r="A4" s="35"/>
      <c r="B4" s="103" t="s">
        <v>535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6"/>
      <c r="AL4" s="75"/>
      <c r="AM4" s="75"/>
      <c r="AN4" s="75"/>
      <c r="AO4" s="75"/>
      <c r="AP4" s="75"/>
      <c r="AQ4" s="76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81">
        <v>349</v>
      </c>
      <c r="BX4" s="81">
        <v>377</v>
      </c>
      <c r="BY4" s="81">
        <v>398</v>
      </c>
      <c r="BZ4" s="81">
        <v>419</v>
      </c>
      <c r="CA4" s="81">
        <v>405</v>
      </c>
      <c r="CB4" s="81">
        <v>443</v>
      </c>
      <c r="CC4" s="81">
        <v>525</v>
      </c>
      <c r="CD4" s="81">
        <v>586</v>
      </c>
      <c r="CE4" s="81">
        <v>624</v>
      </c>
      <c r="CF4" s="81">
        <v>732</v>
      </c>
      <c r="CG4" s="81">
        <v>796</v>
      </c>
      <c r="CH4" s="81">
        <v>848</v>
      </c>
      <c r="CI4" s="81">
        <v>1000</v>
      </c>
      <c r="CJ4" s="81">
        <v>1103</v>
      </c>
      <c r="CK4" s="81">
        <f>+CG4*1.3</f>
        <v>1034.8</v>
      </c>
      <c r="CL4" s="81">
        <f t="shared" ref="CL4:CP4" si="2">+CH4*1.3</f>
        <v>1102.4000000000001</v>
      </c>
      <c r="CM4" s="81">
        <f t="shared" si="2"/>
        <v>1300</v>
      </c>
      <c r="CN4" s="81">
        <f t="shared" si="2"/>
        <v>1433.9</v>
      </c>
      <c r="CO4" s="81">
        <f t="shared" si="2"/>
        <v>1345.24</v>
      </c>
      <c r="CP4" s="81">
        <f t="shared" si="2"/>
        <v>1433.1200000000001</v>
      </c>
      <c r="CQ4" s="75"/>
      <c r="CR4" s="75"/>
      <c r="CS4" s="75"/>
      <c r="CT4" s="75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</row>
    <row r="5" spans="1:122" s="11" customFormat="1">
      <c r="A5" s="35"/>
      <c r="B5" s="103" t="s">
        <v>546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6"/>
      <c r="AL5" s="75"/>
      <c r="AM5" s="75"/>
      <c r="AN5" s="75"/>
      <c r="AO5" s="75"/>
      <c r="AP5" s="75"/>
      <c r="AQ5" s="76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81">
        <v>0</v>
      </c>
      <c r="BX5" s="81">
        <v>0</v>
      </c>
      <c r="BY5" s="81">
        <v>0</v>
      </c>
      <c r="BZ5" s="81">
        <v>0</v>
      </c>
      <c r="CA5" s="81">
        <v>0</v>
      </c>
      <c r="CB5" s="81">
        <v>0</v>
      </c>
      <c r="CC5" s="81">
        <v>0</v>
      </c>
      <c r="CD5" s="81">
        <v>0</v>
      </c>
      <c r="CE5" s="81">
        <v>0</v>
      </c>
      <c r="CF5" s="81">
        <v>0</v>
      </c>
      <c r="CG5" s="81">
        <v>798</v>
      </c>
      <c r="CH5" s="81">
        <v>1076</v>
      </c>
      <c r="CI5" s="81">
        <v>990</v>
      </c>
      <c r="CJ5" s="81">
        <v>1027</v>
      </c>
      <c r="CK5" s="81">
        <f>+CG5*0.9</f>
        <v>718.2</v>
      </c>
      <c r="CL5" s="81">
        <f t="shared" ref="CL5:CP5" si="3">+CH5*0.9</f>
        <v>968.4</v>
      </c>
      <c r="CM5" s="81">
        <f t="shared" si="3"/>
        <v>891</v>
      </c>
      <c r="CN5" s="81">
        <f t="shared" si="3"/>
        <v>924.30000000000007</v>
      </c>
      <c r="CO5" s="81">
        <f t="shared" si="3"/>
        <v>646.38000000000011</v>
      </c>
      <c r="CP5" s="81">
        <f t="shared" si="3"/>
        <v>871.56</v>
      </c>
      <c r="CQ5" s="75"/>
      <c r="CR5" s="75"/>
      <c r="CS5" s="75"/>
      <c r="CT5" s="75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</row>
    <row r="6" spans="1:122" s="11" customFormat="1">
      <c r="A6" s="35"/>
      <c r="B6" s="103" t="s">
        <v>530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6"/>
      <c r="AL6" s="75"/>
      <c r="AM6" s="75"/>
      <c r="AN6" s="75"/>
      <c r="AO6" s="75"/>
      <c r="AP6" s="75"/>
      <c r="AQ6" s="76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81">
        <v>295</v>
      </c>
      <c r="BX6" s="81">
        <v>338</v>
      </c>
      <c r="BY6" s="81">
        <v>412</v>
      </c>
      <c r="BZ6" s="81">
        <v>424</v>
      </c>
      <c r="CA6" s="81">
        <v>462</v>
      </c>
      <c r="CB6" s="81">
        <v>492</v>
      </c>
      <c r="CC6" s="81">
        <v>533</v>
      </c>
      <c r="CD6" s="81">
        <v>555</v>
      </c>
      <c r="CE6" s="81">
        <v>556</v>
      </c>
      <c r="CF6" s="81">
        <v>604</v>
      </c>
      <c r="CG6" s="81">
        <v>618</v>
      </c>
      <c r="CH6" s="81">
        <v>634</v>
      </c>
      <c r="CI6" s="81">
        <v>599</v>
      </c>
      <c r="CJ6" s="81">
        <v>695</v>
      </c>
      <c r="CK6" s="81">
        <f>+CJ6+5</f>
        <v>700</v>
      </c>
      <c r="CL6" s="81">
        <f t="shared" ref="CL6:CP6" si="4">+CK6+5</f>
        <v>705</v>
      </c>
      <c r="CM6" s="81">
        <f t="shared" si="4"/>
        <v>710</v>
      </c>
      <c r="CN6" s="81">
        <f t="shared" si="4"/>
        <v>715</v>
      </c>
      <c r="CO6" s="81">
        <f t="shared" si="4"/>
        <v>720</v>
      </c>
      <c r="CP6" s="81">
        <f t="shared" si="4"/>
        <v>725</v>
      </c>
      <c r="CQ6" s="75"/>
      <c r="CR6" s="75"/>
      <c r="CS6" s="75"/>
      <c r="CT6" s="75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</row>
    <row r="7" spans="1:122" s="11" customFormat="1">
      <c r="A7" s="35"/>
      <c r="B7" s="104" t="s">
        <v>358</v>
      </c>
      <c r="C7" s="44">
        <v>3</v>
      </c>
      <c r="D7" s="44">
        <v>11</v>
      </c>
      <c r="E7" s="44">
        <v>20</v>
      </c>
      <c r="F7" s="44">
        <v>49</v>
      </c>
      <c r="G7" s="44">
        <v>54</v>
      </c>
      <c r="H7" s="44">
        <v>68</v>
      </c>
      <c r="I7" s="44">
        <v>72</v>
      </c>
      <c r="J7" s="44">
        <v>105</v>
      </c>
      <c r="K7" s="44">
        <v>122</v>
      </c>
      <c r="L7" s="44">
        <v>127</v>
      </c>
      <c r="M7" s="44">
        <v>128</v>
      </c>
      <c r="N7" s="44">
        <v>172</v>
      </c>
      <c r="O7" s="44">
        <v>188</v>
      </c>
      <c r="P7" s="44">
        <v>205</v>
      </c>
      <c r="Q7" s="44">
        <v>185</v>
      </c>
      <c r="R7" s="44">
        <v>219</v>
      </c>
      <c r="S7" s="44">
        <v>247</v>
      </c>
      <c r="T7" s="44">
        <v>255</v>
      </c>
      <c r="U7" s="44">
        <v>240</v>
      </c>
      <c r="V7" s="44">
        <v>264</v>
      </c>
      <c r="W7" s="44">
        <v>277</v>
      </c>
      <c r="X7" s="44">
        <v>308</v>
      </c>
      <c r="Y7" s="44">
        <v>276</v>
      </c>
      <c r="Z7" s="44">
        <v>323</v>
      </c>
      <c r="AA7" s="44">
        <v>354</v>
      </c>
      <c r="AB7" s="44">
        <v>414</v>
      </c>
      <c r="AC7" s="44">
        <v>371</v>
      </c>
      <c r="AD7" s="44">
        <v>436</v>
      </c>
      <c r="AE7" s="44">
        <v>471</v>
      </c>
      <c r="AF7" s="44">
        <v>518</v>
      </c>
      <c r="AG7" s="44">
        <v>501</v>
      </c>
      <c r="AH7" s="44">
        <v>514</v>
      </c>
      <c r="AI7" s="44">
        <v>515</v>
      </c>
      <c r="AJ7" s="44">
        <v>551</v>
      </c>
      <c r="AK7" s="56">
        <v>562</v>
      </c>
      <c r="AL7" s="44">
        <v>666</v>
      </c>
      <c r="AM7" s="44">
        <v>701</v>
      </c>
      <c r="AN7" s="44">
        <v>664</v>
      </c>
      <c r="AO7" s="44">
        <v>640</v>
      </c>
      <c r="AP7" s="44">
        <v>741</v>
      </c>
      <c r="AQ7" s="73">
        <v>752</v>
      </c>
      <c r="AR7" s="44">
        <f>+AQ7+15</f>
        <v>767</v>
      </c>
      <c r="AS7" s="44">
        <v>755</v>
      </c>
      <c r="AT7" s="44">
        <v>839</v>
      </c>
      <c r="AU7" s="44">
        <v>723</v>
      </c>
      <c r="AV7" s="44"/>
      <c r="AW7" s="44"/>
      <c r="AX7" s="44"/>
      <c r="AY7" s="44">
        <v>826</v>
      </c>
      <c r="AZ7" s="44">
        <v>842</v>
      </c>
      <c r="BA7" s="44"/>
      <c r="BB7" s="44"/>
      <c r="BC7" s="44">
        <v>928</v>
      </c>
      <c r="BD7" s="44">
        <v>928</v>
      </c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78">
        <v>585</v>
      </c>
      <c r="BX7" s="78">
        <v>585</v>
      </c>
      <c r="BY7" s="78">
        <v>613</v>
      </c>
      <c r="BZ7" s="78">
        <v>712</v>
      </c>
      <c r="CA7" s="78">
        <v>790</v>
      </c>
      <c r="CB7" s="78">
        <v>653</v>
      </c>
      <c r="CC7" s="78">
        <v>599</v>
      </c>
      <c r="CD7" s="78">
        <v>680</v>
      </c>
      <c r="CE7" s="78">
        <v>691</v>
      </c>
      <c r="CF7" s="78">
        <v>680</v>
      </c>
      <c r="CG7" s="78">
        <v>676</v>
      </c>
      <c r="CH7" s="78">
        <v>681</v>
      </c>
      <c r="CI7" s="78">
        <v>674</v>
      </c>
      <c r="CJ7" s="78">
        <v>614</v>
      </c>
      <c r="CK7" s="78">
        <f>+CG7*0.9</f>
        <v>608.4</v>
      </c>
      <c r="CL7" s="78">
        <f t="shared" ref="CL7:CP7" si="5">+CH7*0.9</f>
        <v>612.9</v>
      </c>
      <c r="CM7" s="78">
        <f t="shared" si="5"/>
        <v>606.6</v>
      </c>
      <c r="CN7" s="78">
        <f t="shared" si="5"/>
        <v>552.6</v>
      </c>
      <c r="CO7" s="78">
        <f t="shared" si="5"/>
        <v>547.55999999999995</v>
      </c>
      <c r="CP7" s="78">
        <f t="shared" si="5"/>
        <v>551.61</v>
      </c>
      <c r="CQ7" s="44"/>
      <c r="CR7" s="44"/>
      <c r="CS7" s="44"/>
      <c r="CT7" s="43"/>
      <c r="CU7" s="44">
        <v>299</v>
      </c>
      <c r="CV7" s="44">
        <v>549</v>
      </c>
      <c r="CW7" s="44">
        <v>797</v>
      </c>
      <c r="CX7" s="44">
        <f>SUM(S7:V7)</f>
        <v>1006</v>
      </c>
      <c r="CY7" s="44">
        <f>SUM(W7:Z7)</f>
        <v>1184</v>
      </c>
      <c r="CZ7" s="44">
        <f>SUM(AA7:AD7)</f>
        <v>1575</v>
      </c>
      <c r="DA7" s="44">
        <f>SUM(AE7:AH7)</f>
        <v>2004</v>
      </c>
      <c r="DB7" s="44">
        <f>SUM(AI7:AL7)</f>
        <v>2294</v>
      </c>
      <c r="DC7" s="44">
        <f>SUM(AM7:AP7)</f>
        <v>2746</v>
      </c>
      <c r="DD7" s="44">
        <f>SUM(AQ7:AT7)</f>
        <v>3113</v>
      </c>
      <c r="DE7" s="44">
        <f>SUM(AU7:AX7)</f>
        <v>723</v>
      </c>
      <c r="DF7" s="44">
        <f>DE7*1.08</f>
        <v>780.84</v>
      </c>
      <c r="DG7" s="44">
        <f>DF7*1.07</f>
        <v>835.49880000000007</v>
      </c>
      <c r="DH7" s="44">
        <f>DG7*1.06</f>
        <v>885.62872800000014</v>
      </c>
      <c r="DI7" s="44">
        <f>DH7*1.05</f>
        <v>929.91016440000021</v>
      </c>
      <c r="DJ7" s="44">
        <f>DI7*1.04</f>
        <v>967.10657097600028</v>
      </c>
      <c r="DK7" s="44">
        <f>DJ7*1.02</f>
        <v>986.44870239552029</v>
      </c>
      <c r="DL7" s="44">
        <f>DK7*1.02</f>
        <v>1006.1776764434308</v>
      </c>
      <c r="DM7" s="44">
        <f>+DL7*0.5</f>
        <v>503.08883822171538</v>
      </c>
      <c r="DN7" s="69">
        <f t="shared" ref="DN7:DR7" si="6">+DM7*0.9</f>
        <v>452.77995439954384</v>
      </c>
      <c r="DO7" s="69">
        <f t="shared" si="6"/>
        <v>407.50195895958944</v>
      </c>
      <c r="DP7" s="69">
        <f t="shared" si="6"/>
        <v>366.75176306363051</v>
      </c>
      <c r="DQ7" s="69">
        <f t="shared" si="6"/>
        <v>330.07658675726748</v>
      </c>
      <c r="DR7" s="69">
        <f t="shared" si="6"/>
        <v>297.06892808154072</v>
      </c>
    </row>
    <row r="8" spans="1:122" s="11" customFormat="1">
      <c r="A8" s="35"/>
      <c r="B8" s="103" t="s">
        <v>531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6"/>
      <c r="AL8" s="75"/>
      <c r="AM8" s="75"/>
      <c r="AN8" s="75"/>
      <c r="AO8" s="75"/>
      <c r="AP8" s="75"/>
      <c r="AQ8" s="76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81">
        <v>237</v>
      </c>
      <c r="BX8" s="81">
        <v>283</v>
      </c>
      <c r="BY8" s="81">
        <v>327</v>
      </c>
      <c r="BZ8" s="81">
        <v>351</v>
      </c>
      <c r="CA8" s="81">
        <v>397</v>
      </c>
      <c r="CB8" s="81">
        <v>419</v>
      </c>
      <c r="CC8" s="81">
        <v>464</v>
      </c>
      <c r="CD8" s="81">
        <v>496</v>
      </c>
      <c r="CE8" s="81">
        <v>543</v>
      </c>
      <c r="CF8" s="81">
        <v>588</v>
      </c>
      <c r="CG8" s="81">
        <v>588</v>
      </c>
      <c r="CH8" s="81">
        <v>629</v>
      </c>
      <c r="CI8" s="81">
        <v>617</v>
      </c>
      <c r="CJ8" s="81">
        <v>673</v>
      </c>
      <c r="CK8" s="81">
        <f>+CJ8+15</f>
        <v>688</v>
      </c>
      <c r="CL8" s="81">
        <f t="shared" ref="CL8:CP8" si="7">+CK8+15</f>
        <v>703</v>
      </c>
      <c r="CM8" s="81">
        <f t="shared" si="7"/>
        <v>718</v>
      </c>
      <c r="CN8" s="81">
        <f t="shared" si="7"/>
        <v>733</v>
      </c>
      <c r="CO8" s="81">
        <f t="shared" si="7"/>
        <v>748</v>
      </c>
      <c r="CP8" s="81">
        <f t="shared" si="7"/>
        <v>763</v>
      </c>
      <c r="CQ8" s="75"/>
      <c r="CR8" s="75"/>
      <c r="CS8" s="75"/>
      <c r="CT8" s="75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</row>
    <row r="9" spans="1:122" s="11" customFormat="1">
      <c r="A9" s="35"/>
      <c r="B9" s="103" t="s">
        <v>543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75"/>
      <c r="AM9" s="75"/>
      <c r="AN9" s="75"/>
      <c r="AO9" s="75"/>
      <c r="AP9" s="75"/>
      <c r="AQ9" s="76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81">
        <v>0</v>
      </c>
      <c r="BX9" s="81">
        <v>0</v>
      </c>
      <c r="BY9" s="81">
        <v>0</v>
      </c>
      <c r="BZ9" s="81">
        <v>0</v>
      </c>
      <c r="CA9" s="81">
        <v>0</v>
      </c>
      <c r="CB9" s="81">
        <v>0</v>
      </c>
      <c r="CC9" s="81">
        <v>0</v>
      </c>
      <c r="CD9" s="81">
        <v>0</v>
      </c>
      <c r="CE9" s="81">
        <v>275</v>
      </c>
      <c r="CF9" s="81">
        <v>862</v>
      </c>
      <c r="CG9" s="81">
        <v>1000</v>
      </c>
      <c r="CH9" s="81">
        <v>1781</v>
      </c>
      <c r="CI9" s="81">
        <v>1089</v>
      </c>
      <c r="CJ9" s="81">
        <v>451</v>
      </c>
      <c r="CK9" s="81">
        <f t="shared" ref="CK9:CM10" si="8">+CJ9-100</f>
        <v>351</v>
      </c>
      <c r="CL9" s="81">
        <f t="shared" si="8"/>
        <v>251</v>
      </c>
      <c r="CM9" s="81">
        <f t="shared" si="8"/>
        <v>151</v>
      </c>
      <c r="CN9" s="81">
        <f>+CM9*0.5</f>
        <v>75.5</v>
      </c>
      <c r="CO9" s="81">
        <f>+CN9*0.5</f>
        <v>37.75</v>
      </c>
      <c r="CP9" s="81">
        <f t="shared" ref="CP9" si="9">+CO9*0.5</f>
        <v>18.875</v>
      </c>
      <c r="CQ9" s="75"/>
      <c r="CR9" s="75"/>
      <c r="CS9" s="75"/>
      <c r="CT9" s="75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</row>
    <row r="10" spans="1:122" s="11" customFormat="1">
      <c r="A10" s="35"/>
      <c r="B10" s="103" t="s">
        <v>544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75"/>
      <c r="AM10" s="75"/>
      <c r="AN10" s="75"/>
      <c r="AO10" s="75"/>
      <c r="AP10" s="75"/>
      <c r="AQ10" s="76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0</v>
      </c>
      <c r="CE10" s="81">
        <v>0</v>
      </c>
      <c r="CF10" s="81">
        <v>0</v>
      </c>
      <c r="CG10" s="81">
        <v>0</v>
      </c>
      <c r="CH10" s="81">
        <v>85</v>
      </c>
      <c r="CI10" s="81">
        <v>469</v>
      </c>
      <c r="CJ10" s="81">
        <v>445</v>
      </c>
      <c r="CK10" s="81">
        <f t="shared" si="8"/>
        <v>345</v>
      </c>
      <c r="CL10" s="81">
        <f t="shared" si="8"/>
        <v>245</v>
      </c>
      <c r="CM10" s="81">
        <f t="shared" si="8"/>
        <v>145</v>
      </c>
      <c r="CN10" s="81">
        <f>+CM10*0.5</f>
        <v>72.5</v>
      </c>
      <c r="CO10" s="81">
        <f>+CN10*0.5</f>
        <v>36.25</v>
      </c>
      <c r="CP10" s="81">
        <f t="shared" ref="CP10" si="10">+CO10*0.5</f>
        <v>18.125</v>
      </c>
      <c r="CQ10" s="75"/>
      <c r="CR10" s="75"/>
      <c r="CS10" s="75"/>
      <c r="CT10" s="75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</row>
    <row r="11" spans="1:122" s="11" customFormat="1">
      <c r="A11" s="35"/>
      <c r="B11" s="103" t="s">
        <v>547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6"/>
      <c r="AL11" s="75"/>
      <c r="AM11" s="75"/>
      <c r="AN11" s="75"/>
      <c r="AO11" s="75"/>
      <c r="AP11" s="75"/>
      <c r="AQ11" s="76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81">
        <v>0</v>
      </c>
      <c r="BX11" s="81">
        <v>0</v>
      </c>
      <c r="BY11" s="81">
        <v>0</v>
      </c>
      <c r="BZ11" s="81">
        <v>0</v>
      </c>
      <c r="CA11" s="81">
        <v>0</v>
      </c>
      <c r="CB11" s="81">
        <v>0</v>
      </c>
      <c r="CC11" s="81">
        <v>0</v>
      </c>
      <c r="CD11" s="81">
        <v>0</v>
      </c>
      <c r="CE11" s="81">
        <v>0</v>
      </c>
      <c r="CF11" s="81">
        <v>0</v>
      </c>
      <c r="CG11" s="81">
        <v>297</v>
      </c>
      <c r="CH11" s="81">
        <v>391</v>
      </c>
      <c r="CI11" s="81">
        <v>419</v>
      </c>
      <c r="CJ11" s="81">
        <v>434</v>
      </c>
      <c r="CK11" s="81">
        <f>+CJ11+5</f>
        <v>439</v>
      </c>
      <c r="CL11" s="81">
        <f t="shared" ref="CL11:CP11" si="11">+CK11+5</f>
        <v>444</v>
      </c>
      <c r="CM11" s="81">
        <f t="shared" si="11"/>
        <v>449</v>
      </c>
      <c r="CN11" s="81">
        <f t="shared" si="11"/>
        <v>454</v>
      </c>
      <c r="CO11" s="81">
        <f t="shared" si="11"/>
        <v>459</v>
      </c>
      <c r="CP11" s="81">
        <f t="shared" si="11"/>
        <v>464</v>
      </c>
      <c r="CQ11" s="75"/>
      <c r="CR11" s="75"/>
      <c r="CS11" s="75"/>
      <c r="CT11" s="75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</row>
    <row r="12" spans="1:122" s="11" customFormat="1">
      <c r="A12" s="35"/>
      <c r="B12" s="103" t="s">
        <v>532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6"/>
      <c r="AL12" s="75"/>
      <c r="AM12" s="75"/>
      <c r="AN12" s="75"/>
      <c r="AO12" s="75"/>
      <c r="AP12" s="75"/>
      <c r="AQ12" s="76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81">
        <v>29</v>
      </c>
      <c r="BX12" s="81">
        <v>35</v>
      </c>
      <c r="BY12" s="81">
        <v>44</v>
      </c>
      <c r="BZ12" s="81">
        <v>56</v>
      </c>
      <c r="CA12" s="81">
        <v>88</v>
      </c>
      <c r="CB12" s="81">
        <v>107</v>
      </c>
      <c r="CC12" s="81">
        <v>145</v>
      </c>
      <c r="CD12" s="81">
        <v>182</v>
      </c>
      <c r="CE12" s="81">
        <v>209</v>
      </c>
      <c r="CF12" s="81">
        <v>280</v>
      </c>
      <c r="CG12" s="81">
        <v>354</v>
      </c>
      <c r="CH12" s="81">
        <v>395</v>
      </c>
      <c r="CI12" s="81">
        <v>414</v>
      </c>
      <c r="CJ12" s="81">
        <v>489</v>
      </c>
      <c r="CK12" s="81">
        <f>+CG12*1.2</f>
        <v>424.8</v>
      </c>
      <c r="CL12" s="81">
        <f t="shared" ref="CL12:CP12" si="12">+CH12*1.2</f>
        <v>474</v>
      </c>
      <c r="CM12" s="81">
        <f t="shared" si="12"/>
        <v>496.79999999999995</v>
      </c>
      <c r="CN12" s="81">
        <f t="shared" si="12"/>
        <v>586.79999999999995</v>
      </c>
      <c r="CO12" s="81">
        <f t="shared" si="12"/>
        <v>509.76</v>
      </c>
      <c r="CP12" s="81">
        <f t="shared" si="12"/>
        <v>568.79999999999995</v>
      </c>
      <c r="CQ12" s="75"/>
      <c r="CR12" s="75"/>
      <c r="CS12" s="75"/>
      <c r="CT12" s="75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</row>
    <row r="13" spans="1:122" s="11" customFormat="1">
      <c r="A13" s="35"/>
      <c r="B13" s="104" t="s">
        <v>344</v>
      </c>
      <c r="C13" s="44">
        <v>80</v>
      </c>
      <c r="D13" s="44">
        <v>46</v>
      </c>
      <c r="E13" s="44">
        <v>164</v>
      </c>
      <c r="F13" s="44">
        <v>278</v>
      </c>
      <c r="G13" s="44">
        <v>347</v>
      </c>
      <c r="H13" s="44">
        <v>464</v>
      </c>
      <c r="I13" s="44">
        <v>481</v>
      </c>
      <c r="J13" s="44">
        <v>686</v>
      </c>
      <c r="K13" s="44">
        <v>835</v>
      </c>
      <c r="L13" s="44">
        <v>631</v>
      </c>
      <c r="M13" s="44">
        <v>1000</v>
      </c>
      <c r="N13" s="44">
        <v>836</v>
      </c>
      <c r="O13" s="44">
        <v>935</v>
      </c>
      <c r="P13" s="44">
        <v>891</v>
      </c>
      <c r="Q13" s="44">
        <v>951</v>
      </c>
      <c r="R13" s="44">
        <v>1106</v>
      </c>
      <c r="S13" s="44">
        <v>1055</v>
      </c>
      <c r="T13" s="44">
        <v>1204</v>
      </c>
      <c r="U13" s="44">
        <v>1127</v>
      </c>
      <c r="V13" s="44">
        <v>1247</v>
      </c>
      <c r="W13" s="44">
        <v>1189</v>
      </c>
      <c r="X13" s="44">
        <v>1283</v>
      </c>
      <c r="Y13" s="44">
        <v>1280</v>
      </c>
      <c r="Z13" s="44">
        <v>1430</v>
      </c>
      <c r="AA13" s="44">
        <v>1308</v>
      </c>
      <c r="AB13" s="44">
        <v>1312</v>
      </c>
      <c r="AC13" s="44">
        <v>1293</v>
      </c>
      <c r="AD13" s="44">
        <v>1303</v>
      </c>
      <c r="AE13" s="44">
        <v>1238</v>
      </c>
      <c r="AF13" s="44">
        <v>1323</v>
      </c>
      <c r="AG13" s="44">
        <v>1315</v>
      </c>
      <c r="AH13" s="44">
        <v>1324</v>
      </c>
      <c r="AI13" s="44">
        <v>1192</v>
      </c>
      <c r="AJ13" s="44">
        <v>1246</v>
      </c>
      <c r="AK13" s="56">
        <v>1243</v>
      </c>
      <c r="AL13" s="44">
        <v>1278</v>
      </c>
      <c r="AM13" s="44">
        <f>653+331+108+147</f>
        <v>1239</v>
      </c>
      <c r="AN13" s="44">
        <v>1257</v>
      </c>
      <c r="AO13" s="44">
        <v>1242</v>
      </c>
      <c r="AP13" s="44">
        <v>1231</v>
      </c>
      <c r="AQ13" s="73">
        <v>1161</v>
      </c>
      <c r="AR13" s="44">
        <f>+AN13-50</f>
        <v>1207</v>
      </c>
      <c r="AS13" s="44">
        <v>1089</v>
      </c>
      <c r="AT13" s="44">
        <v>1067</v>
      </c>
      <c r="AU13" s="44">
        <v>953</v>
      </c>
      <c r="AV13" s="44"/>
      <c r="AW13" s="44"/>
      <c r="AX13" s="44"/>
      <c r="AY13" s="44">
        <v>940</v>
      </c>
      <c r="AZ13" s="44">
        <v>1023</v>
      </c>
      <c r="BA13" s="44"/>
      <c r="BB13" s="44"/>
      <c r="BC13" s="44">
        <v>930</v>
      </c>
      <c r="BD13" s="44">
        <v>971</v>
      </c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78">
        <v>363</v>
      </c>
      <c r="BX13" s="78">
        <v>393</v>
      </c>
      <c r="BY13" s="78">
        <v>374</v>
      </c>
      <c r="BZ13" s="78">
        <v>353</v>
      </c>
      <c r="CA13" s="78">
        <v>338</v>
      </c>
      <c r="CB13" s="78">
        <v>377</v>
      </c>
      <c r="CC13" s="78">
        <v>401</v>
      </c>
      <c r="CD13" s="78">
        <v>377</v>
      </c>
      <c r="CE13" s="78">
        <v>403</v>
      </c>
      <c r="CF13" s="78">
        <v>336</v>
      </c>
      <c r="CG13" s="78">
        <v>259</v>
      </c>
      <c r="CH13" s="78">
        <v>328</v>
      </c>
      <c r="CI13" s="78">
        <v>332</v>
      </c>
      <c r="CJ13" s="78">
        <v>343</v>
      </c>
      <c r="CK13" s="78">
        <f>+CG13*0.8</f>
        <v>207.20000000000002</v>
      </c>
      <c r="CL13" s="78">
        <f t="shared" ref="CL13:CP13" si="13">+CH13*0.8</f>
        <v>262.40000000000003</v>
      </c>
      <c r="CM13" s="78">
        <f t="shared" si="13"/>
        <v>265.60000000000002</v>
      </c>
      <c r="CN13" s="78">
        <f t="shared" si="13"/>
        <v>274.40000000000003</v>
      </c>
      <c r="CO13" s="78">
        <f t="shared" si="13"/>
        <v>165.76000000000002</v>
      </c>
      <c r="CP13" s="78">
        <f t="shared" si="13"/>
        <v>209.92000000000004</v>
      </c>
      <c r="CQ13" s="44"/>
      <c r="CR13" s="44"/>
      <c r="CS13" s="44"/>
      <c r="CT13" s="43"/>
      <c r="CU13" s="44">
        <v>1978</v>
      </c>
      <c r="CV13" s="44">
        <v>3302</v>
      </c>
      <c r="CW13" s="44">
        <v>3883</v>
      </c>
      <c r="CX13" s="44">
        <f>SUM(S13:V13)</f>
        <v>4633</v>
      </c>
      <c r="CY13" s="44">
        <f>SUM(W13:Z13)</f>
        <v>5182</v>
      </c>
      <c r="CZ13" s="44">
        <f>SUM(AA13:AD13)</f>
        <v>5216</v>
      </c>
      <c r="DA13" s="44">
        <f>SUM(AE13:AH13)</f>
        <v>5200</v>
      </c>
      <c r="DB13" s="44">
        <f>SUM(AI13:AL13)</f>
        <v>4959</v>
      </c>
      <c r="DC13" s="44">
        <f>SUM(AM13:AP13)</f>
        <v>4969</v>
      </c>
      <c r="DD13" s="44">
        <f>SUM(AQ13:AT13)</f>
        <v>4524</v>
      </c>
      <c r="DE13" s="44">
        <f>SUM(AU13:AX13)</f>
        <v>953</v>
      </c>
      <c r="DF13" s="44">
        <f>DE13*0.95</f>
        <v>905.34999999999991</v>
      </c>
      <c r="DG13" s="44">
        <f>DF13*0.95</f>
        <v>860.08249999999987</v>
      </c>
      <c r="DH13" s="44">
        <f>DG13*0.5</f>
        <v>430.04124999999993</v>
      </c>
      <c r="DI13" s="44">
        <f>DH13*0.5</f>
        <v>215.02062499999997</v>
      </c>
      <c r="DJ13" s="44">
        <f>DI13*0.7</f>
        <v>150.51443749999996</v>
      </c>
      <c r="DK13" s="44">
        <f>+DJ13*0.9</f>
        <v>135.46299374999995</v>
      </c>
      <c r="DL13" s="44">
        <f t="shared" ref="DL13:DR13" si="14">+DK13*0.9</f>
        <v>121.91669437499996</v>
      </c>
      <c r="DM13" s="44">
        <f t="shared" si="14"/>
        <v>109.72502493749997</v>
      </c>
      <c r="DN13" s="44">
        <f t="shared" si="14"/>
        <v>98.752522443749967</v>
      </c>
      <c r="DO13" s="44">
        <f t="shared" si="14"/>
        <v>88.877270199374976</v>
      </c>
      <c r="DP13" s="44">
        <f t="shared" si="14"/>
        <v>79.989543179437476</v>
      </c>
      <c r="DQ13" s="44">
        <f t="shared" si="14"/>
        <v>71.990588861493734</v>
      </c>
      <c r="DR13" s="44">
        <f t="shared" si="14"/>
        <v>64.791529975344361</v>
      </c>
    </row>
    <row r="14" spans="1:122" s="11" customFormat="1">
      <c r="A14" s="35"/>
      <c r="B14" s="104" t="s">
        <v>308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56"/>
      <c r="AL14" s="44"/>
      <c r="AM14" s="44"/>
      <c r="AN14" s="44"/>
      <c r="AO14" s="44"/>
      <c r="AP14" s="44"/>
      <c r="AQ14" s="73">
        <v>1</v>
      </c>
      <c r="AR14" s="44">
        <f>AQ14</f>
        <v>1</v>
      </c>
      <c r="AS14" s="44">
        <v>13</v>
      </c>
      <c r="AT14" s="44">
        <v>5</v>
      </c>
      <c r="AU14" s="44">
        <v>9</v>
      </c>
      <c r="AV14" s="44"/>
      <c r="AW14" s="44"/>
      <c r="AX14" s="44"/>
      <c r="AY14" s="44">
        <v>51</v>
      </c>
      <c r="AZ14" s="44"/>
      <c r="BA14" s="44"/>
      <c r="BB14" s="44"/>
      <c r="BC14" s="44">
        <v>99</v>
      </c>
      <c r="BD14" s="44">
        <v>117</v>
      </c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78">
        <v>348</v>
      </c>
      <c r="BX14" s="78">
        <v>389</v>
      </c>
      <c r="BY14" s="78">
        <v>416</v>
      </c>
      <c r="BZ14" s="78">
        <v>428</v>
      </c>
      <c r="CA14" s="78">
        <v>408</v>
      </c>
      <c r="CB14" s="78">
        <v>437</v>
      </c>
      <c r="CC14" s="78">
        <v>385</v>
      </c>
      <c r="CD14" s="78">
        <v>363</v>
      </c>
      <c r="CE14" s="78">
        <v>374</v>
      </c>
      <c r="CF14" s="78">
        <v>375</v>
      </c>
      <c r="CG14" s="78">
        <v>375</v>
      </c>
      <c r="CH14" s="78">
        <v>348</v>
      </c>
      <c r="CI14" s="78">
        <v>325</v>
      </c>
      <c r="CJ14" s="78">
        <v>350</v>
      </c>
      <c r="CK14" s="78">
        <f>+CG14*0.95</f>
        <v>356.25</v>
      </c>
      <c r="CL14" s="78">
        <f t="shared" ref="CL14:CP14" si="15">+CH14*0.95</f>
        <v>330.59999999999997</v>
      </c>
      <c r="CM14" s="78">
        <f t="shared" si="15"/>
        <v>308.75</v>
      </c>
      <c r="CN14" s="78">
        <f t="shared" si="15"/>
        <v>332.5</v>
      </c>
      <c r="CO14" s="78">
        <f t="shared" si="15"/>
        <v>338.4375</v>
      </c>
      <c r="CP14" s="78">
        <f t="shared" si="15"/>
        <v>314.06999999999994</v>
      </c>
      <c r="CQ14" s="44"/>
      <c r="CR14" s="44"/>
      <c r="CS14" s="44"/>
      <c r="CT14" s="43"/>
      <c r="CU14" s="44"/>
      <c r="CV14" s="44"/>
      <c r="CW14" s="44"/>
      <c r="CX14" s="44"/>
      <c r="CY14" s="44"/>
      <c r="CZ14" s="44"/>
      <c r="DA14" s="44"/>
      <c r="DB14" s="44"/>
      <c r="DC14" s="44"/>
      <c r="DD14" s="44">
        <f>SUM(AQ14:AT14)</f>
        <v>20</v>
      </c>
      <c r="DE14" s="44">
        <f>SUM(AU14:AX14)</f>
        <v>9</v>
      </c>
      <c r="DF14" s="44">
        <f>+DE14*2</f>
        <v>18</v>
      </c>
      <c r="DG14" s="44">
        <f>+DF14*1.5</f>
        <v>27</v>
      </c>
      <c r="DH14" s="44">
        <f>+DG14*1.2</f>
        <v>32.4</v>
      </c>
      <c r="DI14" s="44">
        <f>+DH14*1.2</f>
        <v>38.879999999999995</v>
      </c>
      <c r="DJ14" s="44">
        <f>+DI14*1.2</f>
        <v>46.655999999999992</v>
      </c>
      <c r="DK14" s="44">
        <f>+DJ14*1.2</f>
        <v>55.987199999999987</v>
      </c>
      <c r="DL14" s="44">
        <f>+DK14*1.1</f>
        <v>61.585919999999987</v>
      </c>
      <c r="DM14" s="44">
        <f>+DL14*1.1</f>
        <v>67.744511999999986</v>
      </c>
      <c r="DN14" s="44">
        <f>+DM14*1.1</f>
        <v>74.518963199999988</v>
      </c>
      <c r="DO14" s="44">
        <f>+DN14*1.1</f>
        <v>81.970859519999991</v>
      </c>
      <c r="DP14" s="44">
        <f>+DO14*1.1</f>
        <v>90.167945472</v>
      </c>
      <c r="DQ14" s="44">
        <f>+DP14*0.5</f>
        <v>45.083972736</v>
      </c>
      <c r="DR14" s="69">
        <f>+DQ14*0.9</f>
        <v>40.575575462400003</v>
      </c>
    </row>
    <row r="15" spans="1:122" s="11" customFormat="1">
      <c r="A15" s="35"/>
      <c r="B15" s="104" t="s">
        <v>539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56"/>
      <c r="AL15" s="44"/>
      <c r="AM15" s="44"/>
      <c r="AN15" s="44"/>
      <c r="AO15" s="44"/>
      <c r="AP15" s="44"/>
      <c r="AQ15" s="73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78">
        <v>129</v>
      </c>
      <c r="BX15" s="78">
        <v>167</v>
      </c>
      <c r="BY15" s="78">
        <v>202</v>
      </c>
      <c r="BZ15" s="78">
        <v>206</v>
      </c>
      <c r="CA15" s="78">
        <v>199</v>
      </c>
      <c r="CB15" s="78">
        <v>227</v>
      </c>
      <c r="CC15" s="78">
        <v>240</v>
      </c>
      <c r="CD15" s="78">
        <v>283</v>
      </c>
      <c r="CE15" s="78">
        <v>260</v>
      </c>
      <c r="CF15" s="78">
        <v>320</v>
      </c>
      <c r="CG15" s="78">
        <v>322</v>
      </c>
      <c r="CH15" s="78">
        <v>357</v>
      </c>
      <c r="CI15" s="78">
        <v>308</v>
      </c>
      <c r="CJ15" s="78">
        <v>354</v>
      </c>
      <c r="CK15" s="78">
        <f>+CG15*1.1</f>
        <v>354.20000000000005</v>
      </c>
      <c r="CL15" s="78">
        <f t="shared" ref="CL15:CP15" si="16">+CH15*1.1</f>
        <v>392.70000000000005</v>
      </c>
      <c r="CM15" s="78">
        <f t="shared" si="16"/>
        <v>338.8</v>
      </c>
      <c r="CN15" s="78">
        <f t="shared" si="16"/>
        <v>389.40000000000003</v>
      </c>
      <c r="CO15" s="78">
        <f t="shared" si="16"/>
        <v>389.62000000000006</v>
      </c>
      <c r="CP15" s="78">
        <f t="shared" si="16"/>
        <v>431.97000000000008</v>
      </c>
      <c r="CQ15" s="44"/>
      <c r="CR15" s="44"/>
      <c r="CS15" s="44"/>
      <c r="CT15" s="43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69"/>
    </row>
    <row r="16" spans="1:122" s="11" customFormat="1">
      <c r="A16" s="35"/>
      <c r="B16" s="104" t="s">
        <v>351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3</v>
      </c>
      <c r="L16" s="44">
        <v>9</v>
      </c>
      <c r="M16" s="44">
        <v>76</v>
      </c>
      <c r="N16" s="44">
        <v>41</v>
      </c>
      <c r="O16" s="44">
        <v>129</v>
      </c>
      <c r="P16" s="44">
        <v>207</v>
      </c>
      <c r="Q16" s="44">
        <v>260</v>
      </c>
      <c r="R16" s="44">
        <v>312</v>
      </c>
      <c r="S16" s="44">
        <v>273</v>
      </c>
      <c r="T16" s="44">
        <v>317</v>
      </c>
      <c r="U16" s="44">
        <v>325</v>
      </c>
      <c r="V16" s="44">
        <v>353</v>
      </c>
      <c r="W16" s="44">
        <v>387</v>
      </c>
      <c r="X16" s="44">
        <v>480</v>
      </c>
      <c r="Y16" s="44">
        <v>536</v>
      </c>
      <c r="Z16" s="44">
        <v>625</v>
      </c>
      <c r="AA16" s="44">
        <v>628</v>
      </c>
      <c r="AB16" s="44">
        <v>678</v>
      </c>
      <c r="AC16" s="44">
        <v>691</v>
      </c>
      <c r="AD16" s="44">
        <v>799</v>
      </c>
      <c r="AE16" s="44">
        <v>772</v>
      </c>
      <c r="AF16" s="44">
        <v>916</v>
      </c>
      <c r="AG16" s="44">
        <v>922</v>
      </c>
      <c r="AH16" s="44">
        <v>987</v>
      </c>
      <c r="AI16" s="44">
        <v>969</v>
      </c>
      <c r="AJ16" s="44">
        <v>1129</v>
      </c>
      <c r="AK16" s="56">
        <v>1147</v>
      </c>
      <c r="AL16" s="44">
        <v>1257</v>
      </c>
      <c r="AM16" s="44">
        <f>583+281+291+145</f>
        <v>1300</v>
      </c>
      <c r="AN16" s="44">
        <v>1430</v>
      </c>
      <c r="AO16" s="44">
        <v>1374</v>
      </c>
      <c r="AP16" s="44">
        <v>1587</v>
      </c>
      <c r="AQ16" s="73">
        <v>1478</v>
      </c>
      <c r="AR16" s="44">
        <f>+AN16*1.02</f>
        <v>1458.6000000000001</v>
      </c>
      <c r="AS16" s="44">
        <v>1659</v>
      </c>
      <c r="AT16" s="44">
        <v>1771</v>
      </c>
      <c r="AU16" s="44">
        <v>1500</v>
      </c>
      <c r="AV16" s="44"/>
      <c r="AW16" s="44"/>
      <c r="AX16" s="44"/>
      <c r="AY16" s="44">
        <v>1323</v>
      </c>
      <c r="AZ16" s="44">
        <v>1480</v>
      </c>
      <c r="BA16" s="44"/>
      <c r="BB16" s="44"/>
      <c r="BC16" s="44">
        <v>1332</v>
      </c>
      <c r="BD16" s="44">
        <v>1450</v>
      </c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78">
        <v>335</v>
      </c>
      <c r="BX16" s="78">
        <v>310</v>
      </c>
      <c r="BY16" s="78">
        <v>337</v>
      </c>
      <c r="BZ16" s="78">
        <v>296</v>
      </c>
      <c r="CA16" s="78">
        <v>301</v>
      </c>
      <c r="CB16" s="78">
        <v>281</v>
      </c>
      <c r="CC16" s="78">
        <v>300</v>
      </c>
      <c r="CD16" s="78">
        <v>298</v>
      </c>
      <c r="CE16" s="78">
        <v>274</v>
      </c>
      <c r="CF16" s="78">
        <v>265</v>
      </c>
      <c r="CG16" s="78">
        <v>298</v>
      </c>
      <c r="CH16" s="78">
        <v>259</v>
      </c>
      <c r="CI16" s="78">
        <v>267</v>
      </c>
      <c r="CJ16" s="78">
        <v>280</v>
      </c>
      <c r="CK16" s="78">
        <f>+CG16*0.9</f>
        <v>268.2</v>
      </c>
      <c r="CL16" s="78">
        <f t="shared" ref="CL16:CP16" si="17">+CH16*0.9</f>
        <v>233.1</v>
      </c>
      <c r="CM16" s="78">
        <f t="shared" si="17"/>
        <v>240.3</v>
      </c>
      <c r="CN16" s="78">
        <f t="shared" si="17"/>
        <v>252</v>
      </c>
      <c r="CO16" s="78">
        <f t="shared" si="17"/>
        <v>241.38</v>
      </c>
      <c r="CP16" s="78">
        <f t="shared" si="17"/>
        <v>209.79</v>
      </c>
      <c r="CQ16" s="44"/>
      <c r="CR16" s="44"/>
      <c r="CS16" s="44"/>
      <c r="CT16" s="43"/>
      <c r="CU16" s="44">
        <v>0</v>
      </c>
      <c r="CV16" s="44">
        <v>129</v>
      </c>
      <c r="CW16" s="44">
        <v>908</v>
      </c>
      <c r="CX16" s="44">
        <f>SUM(S16:V16)</f>
        <v>1268</v>
      </c>
      <c r="CY16" s="44">
        <f>SUM(W16:Z16)</f>
        <v>2028</v>
      </c>
      <c r="CZ16" s="44">
        <f>SUM(AA16:AD16)</f>
        <v>2796</v>
      </c>
      <c r="DA16" s="44">
        <f>SUM(AE16:AH16)</f>
        <v>3597</v>
      </c>
      <c r="DB16" s="44">
        <f>SUM(AI16:AL16)</f>
        <v>4502</v>
      </c>
      <c r="DC16" s="44">
        <f>SUM(AM16:AP16)</f>
        <v>5691</v>
      </c>
      <c r="DD16" s="44">
        <f>SUM(AQ16:AT16)</f>
        <v>6366.6</v>
      </c>
      <c r="DE16" s="44">
        <f>SUM(AU16:AX16)</f>
        <v>1500</v>
      </c>
      <c r="DF16" s="44">
        <f>DE16*1.05</f>
        <v>1575</v>
      </c>
      <c r="DG16" s="44">
        <f>DF16*1.05</f>
        <v>1653.75</v>
      </c>
      <c r="DH16" s="44">
        <f>DG16*1.05</f>
        <v>1736.4375</v>
      </c>
      <c r="DI16" s="44">
        <f>DH16*0.9</f>
        <v>1562.79375</v>
      </c>
      <c r="DJ16" s="44">
        <f>DI16*0.6</f>
        <v>937.67624999999998</v>
      </c>
      <c r="DK16" s="44">
        <f>DJ16*0.5</f>
        <v>468.83812499999999</v>
      </c>
      <c r="DL16" s="44">
        <f>DK16*0.7</f>
        <v>328.18668749999995</v>
      </c>
      <c r="DM16" s="44">
        <v>500</v>
      </c>
      <c r="DN16" s="69">
        <f>+DM16*0.9</f>
        <v>450</v>
      </c>
      <c r="DO16" s="69">
        <f>+DN16*0.9</f>
        <v>405</v>
      </c>
      <c r="DP16" s="69">
        <f>+DO16*0.9</f>
        <v>364.5</v>
      </c>
      <c r="DQ16" s="69">
        <f>+DP16*0.9</f>
        <v>328.05</v>
      </c>
      <c r="DR16" s="69">
        <f>+DQ16*0.9</f>
        <v>295.245</v>
      </c>
    </row>
    <row r="17" spans="1:122" s="11" customFormat="1">
      <c r="A17" s="35"/>
      <c r="B17" s="104" t="s">
        <v>459</v>
      </c>
      <c r="C17" s="44">
        <v>149</v>
      </c>
      <c r="D17" s="44">
        <v>196</v>
      </c>
      <c r="E17" s="44">
        <v>201</v>
      </c>
      <c r="F17" s="44">
        <v>165</v>
      </c>
      <c r="G17" s="44">
        <v>231</v>
      </c>
      <c r="H17" s="44">
        <v>206</v>
      </c>
      <c r="I17" s="44">
        <v>201</v>
      </c>
      <c r="J17" s="44">
        <v>263</v>
      </c>
      <c r="K17" s="44">
        <v>368</v>
      </c>
      <c r="L17" s="44">
        <v>380</v>
      </c>
      <c r="M17" s="44">
        <v>286</v>
      </c>
      <c r="N17" s="44">
        <v>246</v>
      </c>
      <c r="O17" s="44">
        <v>333</v>
      </c>
      <c r="P17" s="44">
        <v>320</v>
      </c>
      <c r="Q17" s="44">
        <v>353</v>
      </c>
      <c r="R17" s="44">
        <v>381</v>
      </c>
      <c r="S17" s="44">
        <v>408</v>
      </c>
      <c r="T17" s="44">
        <v>435</v>
      </c>
      <c r="U17" s="44">
        <v>437</v>
      </c>
      <c r="V17" s="44">
        <v>455</v>
      </c>
      <c r="W17" s="44">
        <f>934-X17</f>
        <v>456</v>
      </c>
      <c r="X17" s="44">
        <v>478</v>
      </c>
      <c r="Y17" s="44">
        <v>473</v>
      </c>
      <c r="Z17" s="44">
        <v>387</v>
      </c>
      <c r="AA17" s="44">
        <f>901-AB17</f>
        <v>444</v>
      </c>
      <c r="AB17" s="44">
        <v>457</v>
      </c>
      <c r="AC17" s="44">
        <v>328</v>
      </c>
      <c r="AD17" s="44">
        <v>209</v>
      </c>
      <c r="AE17" s="44">
        <v>190</v>
      </c>
      <c r="AF17" s="44">
        <v>206</v>
      </c>
      <c r="AG17" s="44">
        <v>204</v>
      </c>
      <c r="AH17" s="44">
        <v>207</v>
      </c>
      <c r="AI17" s="44">
        <v>288</v>
      </c>
      <c r="AJ17" s="44">
        <v>417</v>
      </c>
      <c r="AK17" s="56">
        <v>414</v>
      </c>
      <c r="AL17" s="44">
        <v>324</v>
      </c>
      <c r="AM17" s="44">
        <f>236+24+9+98</f>
        <v>367</v>
      </c>
      <c r="AN17" s="44">
        <v>317</v>
      </c>
      <c r="AO17" s="44">
        <v>273</v>
      </c>
      <c r="AP17" s="44">
        <v>253</v>
      </c>
      <c r="AQ17" s="73">
        <v>245</v>
      </c>
      <c r="AR17" s="44">
        <f>AQ17-5</f>
        <v>240</v>
      </c>
      <c r="AS17" s="44">
        <v>273</v>
      </c>
      <c r="AT17" s="44">
        <v>236</v>
      </c>
      <c r="AU17" s="44">
        <v>224</v>
      </c>
      <c r="AV17" s="44"/>
      <c r="AW17" s="44"/>
      <c r="AX17" s="44"/>
      <c r="AY17" s="44">
        <v>224</v>
      </c>
      <c r="AZ17" s="44">
        <v>183</v>
      </c>
      <c r="BA17" s="44"/>
      <c r="BB17" s="44"/>
      <c r="BC17" s="44">
        <v>193</v>
      </c>
      <c r="BD17" s="44">
        <v>193</v>
      </c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78">
        <v>225</v>
      </c>
      <c r="BX17" s="78">
        <v>168</v>
      </c>
      <c r="BY17" s="78">
        <v>177</v>
      </c>
      <c r="BZ17" s="78">
        <v>190</v>
      </c>
      <c r="CA17" s="78">
        <v>177</v>
      </c>
      <c r="CB17" s="78">
        <v>218</v>
      </c>
      <c r="CC17" s="78">
        <v>225</v>
      </c>
      <c r="CD17" s="78">
        <v>200</v>
      </c>
      <c r="CE17" s="78">
        <v>250</v>
      </c>
      <c r="CF17" s="78">
        <v>266</v>
      </c>
      <c r="CG17" s="78">
        <v>234</v>
      </c>
      <c r="CH17" s="78">
        <v>202</v>
      </c>
      <c r="CI17" s="78">
        <v>244</v>
      </c>
      <c r="CJ17" s="78">
        <v>223</v>
      </c>
      <c r="CK17" s="78">
        <f t="shared" ref="CK17:CK18" si="18">+CG17*0.9</f>
        <v>210.6</v>
      </c>
      <c r="CL17" s="78">
        <f t="shared" ref="CL17:CL18" si="19">+CH17*0.9</f>
        <v>181.8</v>
      </c>
      <c r="CM17" s="78">
        <f t="shared" ref="CM17:CM18" si="20">+CI17*0.9</f>
        <v>219.6</v>
      </c>
      <c r="CN17" s="78">
        <f t="shared" ref="CN17:CN18" si="21">+CJ17*0.9</f>
        <v>200.70000000000002</v>
      </c>
      <c r="CO17" s="78">
        <f t="shared" ref="CO17:CO18" si="22">+CK17*0.9</f>
        <v>189.54</v>
      </c>
      <c r="CP17" s="78">
        <f t="shared" ref="CP17:CP18" si="23">+CL17*0.9</f>
        <v>163.62</v>
      </c>
      <c r="CQ17" s="44"/>
      <c r="CR17" s="44"/>
      <c r="CS17" s="44"/>
      <c r="CT17" s="43"/>
      <c r="CU17" s="44">
        <v>901</v>
      </c>
      <c r="CV17" s="44">
        <v>1280</v>
      </c>
      <c r="CW17" s="44">
        <v>1387</v>
      </c>
      <c r="CX17" s="44">
        <f>SUM(S17:V17)</f>
        <v>1735</v>
      </c>
      <c r="CY17" s="44">
        <f>SUM(W17:Z17)</f>
        <v>1794</v>
      </c>
      <c r="CZ17" s="44">
        <f>SUM(AA17:AD17)</f>
        <v>1438</v>
      </c>
      <c r="DA17" s="44">
        <f>SUM(AE17:AH17)</f>
        <v>807</v>
      </c>
      <c r="DB17" s="44">
        <f>SUM(AI17:AL17)</f>
        <v>1443</v>
      </c>
      <c r="DC17" s="44">
        <f>SUM(AM17:AP17)</f>
        <v>1210</v>
      </c>
      <c r="DD17" s="44">
        <f>SUM(AQ17:AT17)</f>
        <v>994</v>
      </c>
      <c r="DE17" s="44">
        <f>SUM(AU17:AX17)</f>
        <v>224</v>
      </c>
      <c r="DF17" s="44">
        <f>+DE17*0.8</f>
        <v>179.20000000000002</v>
      </c>
      <c r="DG17" s="44">
        <f t="shared" ref="DG17:DL17" si="24">+DF17*0.8</f>
        <v>143.36000000000001</v>
      </c>
      <c r="DH17" s="44">
        <f t="shared" si="24"/>
        <v>114.68800000000002</v>
      </c>
      <c r="DI17" s="44">
        <f t="shared" si="24"/>
        <v>91.750400000000013</v>
      </c>
      <c r="DJ17" s="44">
        <f t="shared" si="24"/>
        <v>73.400320000000008</v>
      </c>
      <c r="DK17" s="44">
        <f t="shared" si="24"/>
        <v>58.720256000000006</v>
      </c>
      <c r="DL17" s="44">
        <f t="shared" si="24"/>
        <v>46.976204800000005</v>
      </c>
      <c r="DM17" s="44">
        <f t="shared" ref="DM17:DR17" si="25">+DL17*0.9</f>
        <v>42.278584320000007</v>
      </c>
      <c r="DN17" s="44">
        <f t="shared" si="25"/>
        <v>38.050725888000009</v>
      </c>
      <c r="DO17" s="44">
        <f t="shared" si="25"/>
        <v>34.245653299200008</v>
      </c>
      <c r="DP17" s="44">
        <f t="shared" si="25"/>
        <v>30.821087969280008</v>
      </c>
      <c r="DQ17" s="44">
        <f t="shared" si="25"/>
        <v>27.738979172352007</v>
      </c>
      <c r="DR17" s="44">
        <f t="shared" si="25"/>
        <v>24.965081255116807</v>
      </c>
    </row>
    <row r="18" spans="1:122" s="11" customFormat="1">
      <c r="A18" s="35"/>
      <c r="B18" s="104" t="s">
        <v>479</v>
      </c>
      <c r="C18" s="44">
        <v>158</v>
      </c>
      <c r="D18" s="44">
        <v>182</v>
      </c>
      <c r="E18" s="44">
        <v>173</v>
      </c>
      <c r="F18" s="44">
        <v>205</v>
      </c>
      <c r="G18" s="44">
        <v>187</v>
      </c>
      <c r="H18" s="44">
        <v>195</v>
      </c>
      <c r="I18" s="44">
        <v>206</v>
      </c>
      <c r="J18" s="44">
        <v>206</v>
      </c>
      <c r="K18" s="44">
        <v>193</v>
      </c>
      <c r="L18" s="44">
        <v>213</v>
      </c>
      <c r="M18" s="44">
        <v>224</v>
      </c>
      <c r="N18" s="44">
        <v>239</v>
      </c>
      <c r="O18" s="44">
        <v>213</v>
      </c>
      <c r="P18" s="44">
        <v>226</v>
      </c>
      <c r="Q18" s="44">
        <v>236</v>
      </c>
      <c r="R18" s="44">
        <v>242</v>
      </c>
      <c r="S18" s="44">
        <v>231</v>
      </c>
      <c r="T18" s="44">
        <v>263</v>
      </c>
      <c r="U18" s="44">
        <v>258</v>
      </c>
      <c r="V18" s="44">
        <v>252</v>
      </c>
      <c r="W18" s="44">
        <f>481-X18</f>
        <v>231</v>
      </c>
      <c r="X18" s="44">
        <v>250</v>
      </c>
      <c r="Y18" s="44">
        <v>255</v>
      </c>
      <c r="Z18" s="44">
        <v>272</v>
      </c>
      <c r="AA18" s="44">
        <f>524-AB18</f>
        <v>249</v>
      </c>
      <c r="AB18" s="44">
        <v>275</v>
      </c>
      <c r="AC18" s="44">
        <v>273</v>
      </c>
      <c r="AD18" s="44">
        <v>307</v>
      </c>
      <c r="AE18" s="44">
        <v>255</v>
      </c>
      <c r="AF18" s="44">
        <v>310</v>
      </c>
      <c r="AG18" s="44">
        <v>295</v>
      </c>
      <c r="AH18" s="44">
        <v>278</v>
      </c>
      <c r="AI18" s="44">
        <v>232</v>
      </c>
      <c r="AJ18" s="44">
        <v>272</v>
      </c>
      <c r="AK18" s="56">
        <v>282</v>
      </c>
      <c r="AL18" s="44">
        <v>300</v>
      </c>
      <c r="AM18" s="44">
        <v>265</v>
      </c>
      <c r="AN18" s="44">
        <v>280</v>
      </c>
      <c r="AO18" s="44">
        <v>268</v>
      </c>
      <c r="AP18" s="44">
        <v>302</v>
      </c>
      <c r="AQ18" s="73">
        <v>275</v>
      </c>
      <c r="AR18" s="44">
        <f>AQ18-5</f>
        <v>270</v>
      </c>
      <c r="AS18" s="44">
        <v>304</v>
      </c>
      <c r="AT18" s="44">
        <v>298</v>
      </c>
      <c r="AU18" s="44">
        <v>273</v>
      </c>
      <c r="AV18" s="44"/>
      <c r="AW18" s="44"/>
      <c r="AX18" s="44"/>
      <c r="AY18" s="44">
        <v>240</v>
      </c>
      <c r="AZ18" s="44">
        <v>263</v>
      </c>
      <c r="BA18" s="44"/>
      <c r="BB18" s="44"/>
      <c r="BC18" s="44">
        <v>221</v>
      </c>
      <c r="BD18" s="44">
        <v>236</v>
      </c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78">
        <v>194</v>
      </c>
      <c r="BX18" s="78">
        <v>197</v>
      </c>
      <c r="BY18" s="78">
        <v>226</v>
      </c>
      <c r="BZ18" s="78">
        <v>196</v>
      </c>
      <c r="CA18" s="78">
        <v>225</v>
      </c>
      <c r="CB18" s="78">
        <v>217</v>
      </c>
      <c r="CC18" s="78">
        <v>230</v>
      </c>
      <c r="CD18" s="78">
        <v>216</v>
      </c>
      <c r="CE18" s="78">
        <v>221</v>
      </c>
      <c r="CF18" s="78">
        <v>244</v>
      </c>
      <c r="CG18" s="78">
        <v>250</v>
      </c>
      <c r="CH18" s="78">
        <v>232</v>
      </c>
      <c r="CI18" s="78">
        <v>240</v>
      </c>
      <c r="CJ18" s="78">
        <v>236</v>
      </c>
      <c r="CK18" s="78">
        <f t="shared" si="18"/>
        <v>225</v>
      </c>
      <c r="CL18" s="78">
        <f t="shared" si="19"/>
        <v>208.8</v>
      </c>
      <c r="CM18" s="78">
        <f t="shared" si="20"/>
        <v>216</v>
      </c>
      <c r="CN18" s="78">
        <f t="shared" si="21"/>
        <v>212.4</v>
      </c>
      <c r="CO18" s="78">
        <f t="shared" si="22"/>
        <v>202.5</v>
      </c>
      <c r="CP18" s="78">
        <f t="shared" si="23"/>
        <v>187.92000000000002</v>
      </c>
      <c r="CQ18" s="44"/>
      <c r="CR18" s="44"/>
      <c r="CS18" s="44"/>
      <c r="CT18" s="43"/>
      <c r="CU18" s="44">
        <v>794</v>
      </c>
      <c r="CV18" s="44">
        <v>869</v>
      </c>
      <c r="CW18" s="44">
        <v>917</v>
      </c>
      <c r="CX18" s="44">
        <f>SUM(S18:V18)</f>
        <v>1004</v>
      </c>
      <c r="CY18" s="44">
        <f>SUM(W18:Z18)</f>
        <v>1008</v>
      </c>
      <c r="CZ18" s="44">
        <f>SUM(AA18:AD18)</f>
        <v>1104</v>
      </c>
      <c r="DA18" s="44">
        <f>SUM(AE18:AH18)</f>
        <v>1138</v>
      </c>
      <c r="DB18" s="44">
        <f>SUM(AI18:AL18)</f>
        <v>1086</v>
      </c>
      <c r="DC18" s="44">
        <f>SUM(AM18:AP18)</f>
        <v>1115</v>
      </c>
      <c r="DD18" s="44">
        <f>SUM(AQ18:AT18)</f>
        <v>1147</v>
      </c>
      <c r="DE18" s="44">
        <f>SUM(AU18:AX18)</f>
        <v>273</v>
      </c>
      <c r="DF18" s="44">
        <f>+DE18*1.05</f>
        <v>286.65000000000003</v>
      </c>
      <c r="DG18" s="44">
        <f>+DF18*1.05</f>
        <v>300.98250000000007</v>
      </c>
      <c r="DH18" s="44">
        <f>+DG18*1.05</f>
        <v>316.03162500000008</v>
      </c>
      <c r="DI18" s="44">
        <f>+DH18*1.05</f>
        <v>331.8332062500001</v>
      </c>
      <c r="DJ18" s="44">
        <f>+DI18</f>
        <v>331.8332062500001</v>
      </c>
      <c r="DK18" s="44">
        <f>+DJ18</f>
        <v>331.8332062500001</v>
      </c>
      <c r="DL18" s="44">
        <f>+DK18*0.95</f>
        <v>315.24154593750006</v>
      </c>
      <c r="DM18" s="44">
        <f t="shared" ref="DM18:DR18" si="26">+DL18*0.9</f>
        <v>283.71739134375008</v>
      </c>
      <c r="DN18" s="44">
        <f t="shared" si="26"/>
        <v>255.34565220937509</v>
      </c>
      <c r="DO18" s="44">
        <f t="shared" si="26"/>
        <v>229.81108698843758</v>
      </c>
      <c r="DP18" s="44">
        <f t="shared" si="26"/>
        <v>206.82997828959384</v>
      </c>
      <c r="DQ18" s="44">
        <f t="shared" si="26"/>
        <v>186.14698046063447</v>
      </c>
      <c r="DR18" s="44">
        <f t="shared" si="26"/>
        <v>167.53228241457103</v>
      </c>
    </row>
    <row r="19" spans="1:122" s="11" customFormat="1">
      <c r="A19" s="35"/>
      <c r="B19" s="104" t="s">
        <v>458</v>
      </c>
      <c r="C19" s="44">
        <v>198</v>
      </c>
      <c r="D19" s="44">
        <v>206</v>
      </c>
      <c r="E19" s="44">
        <v>159</v>
      </c>
      <c r="F19" s="44">
        <v>203</v>
      </c>
      <c r="G19" s="44">
        <v>227</v>
      </c>
      <c r="H19" s="44">
        <v>199</v>
      </c>
      <c r="I19" s="44">
        <v>149</v>
      </c>
      <c r="J19" s="44">
        <v>237</v>
      </c>
      <c r="K19" s="44">
        <v>251</v>
      </c>
      <c r="L19" s="44">
        <v>239</v>
      </c>
      <c r="M19" s="44">
        <v>184</v>
      </c>
      <c r="N19" s="44">
        <v>294</v>
      </c>
      <c r="O19" s="44">
        <v>282</v>
      </c>
      <c r="P19" s="44">
        <v>244</v>
      </c>
      <c r="Q19" s="44">
        <v>211</v>
      </c>
      <c r="R19" s="44">
        <v>313</v>
      </c>
      <c r="S19" s="44">
        <v>314</v>
      </c>
      <c r="T19" s="44">
        <v>276</v>
      </c>
      <c r="U19" s="44">
        <v>234</v>
      </c>
      <c r="V19" s="44">
        <v>338</v>
      </c>
      <c r="W19" s="44">
        <f>629-X19</f>
        <v>328</v>
      </c>
      <c r="X19" s="44">
        <v>301</v>
      </c>
      <c r="Y19" s="44">
        <v>263</v>
      </c>
      <c r="Z19" s="44">
        <v>400</v>
      </c>
      <c r="AA19" s="44">
        <f>721-AB19</f>
        <v>401</v>
      </c>
      <c r="AB19" s="44">
        <v>320</v>
      </c>
      <c r="AC19" s="44">
        <v>286</v>
      </c>
      <c r="AD19" s="44">
        <v>447</v>
      </c>
      <c r="AE19" s="44">
        <v>411</v>
      </c>
      <c r="AF19" s="44">
        <v>383</v>
      </c>
      <c r="AG19" s="44">
        <v>304</v>
      </c>
      <c r="AH19" s="44">
        <v>397</v>
      </c>
      <c r="AI19" s="44">
        <v>292</v>
      </c>
      <c r="AJ19" s="44">
        <v>311</v>
      </c>
      <c r="AK19" s="56">
        <v>320</v>
      </c>
      <c r="AL19" s="44">
        <v>387</v>
      </c>
      <c r="AM19" s="44">
        <v>243</v>
      </c>
      <c r="AN19" s="44">
        <v>216</v>
      </c>
      <c r="AO19" s="44">
        <v>180</v>
      </c>
      <c r="AP19" s="44">
        <v>233</v>
      </c>
      <c r="AQ19" s="73">
        <v>248</v>
      </c>
      <c r="AR19" s="44">
        <f>AQ19-5</f>
        <v>243</v>
      </c>
      <c r="AS19" s="44">
        <v>185</v>
      </c>
      <c r="AT19" s="44">
        <v>223</v>
      </c>
      <c r="AU19" s="44">
        <v>227</v>
      </c>
      <c r="AV19" s="44"/>
      <c r="AW19" s="44"/>
      <c r="AX19" s="44"/>
      <c r="AY19" s="44">
        <v>233</v>
      </c>
      <c r="AZ19" s="44">
        <v>213</v>
      </c>
      <c r="BA19" s="44"/>
      <c r="BB19" s="44"/>
      <c r="BC19" s="44">
        <v>263</v>
      </c>
      <c r="BD19" s="44">
        <v>209</v>
      </c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78">
        <v>383</v>
      </c>
      <c r="BX19" s="78">
        <v>333</v>
      </c>
      <c r="BY19" s="78">
        <v>337</v>
      </c>
      <c r="BZ19" s="78">
        <v>413</v>
      </c>
      <c r="CA19" s="78">
        <v>380</v>
      </c>
      <c r="CB19" s="78">
        <v>97</v>
      </c>
      <c r="CC19" s="78">
        <v>151</v>
      </c>
      <c r="CD19" s="78">
        <v>368</v>
      </c>
      <c r="CE19" s="78">
        <v>330</v>
      </c>
      <c r="CF19" s="78">
        <v>167</v>
      </c>
      <c r="CG19" s="78">
        <v>217</v>
      </c>
      <c r="CH19" s="78">
        <v>248</v>
      </c>
      <c r="CI19" s="78">
        <v>217</v>
      </c>
      <c r="CJ19" s="78">
        <v>116</v>
      </c>
      <c r="CK19" s="78">
        <f>+CJ19-1</f>
        <v>115</v>
      </c>
      <c r="CL19" s="78">
        <f t="shared" ref="CL19:CP19" si="27">+CK19-1</f>
        <v>114</v>
      </c>
      <c r="CM19" s="78">
        <f t="shared" si="27"/>
        <v>113</v>
      </c>
      <c r="CN19" s="78">
        <f t="shared" si="27"/>
        <v>112</v>
      </c>
      <c r="CO19" s="78">
        <f t="shared" si="27"/>
        <v>111</v>
      </c>
      <c r="CP19" s="78">
        <f t="shared" si="27"/>
        <v>110</v>
      </c>
      <c r="CQ19" s="44"/>
      <c r="CR19" s="44"/>
      <c r="CS19" s="44"/>
      <c r="CT19" s="43"/>
      <c r="CU19" s="44">
        <v>812</v>
      </c>
      <c r="CV19" s="44">
        <v>968</v>
      </c>
      <c r="CW19" s="44">
        <v>1050</v>
      </c>
      <c r="CX19" s="44">
        <f>SUM(S19:V19)</f>
        <v>1162</v>
      </c>
      <c r="CY19" s="44">
        <f>SUM(W19:Z19)</f>
        <v>1292</v>
      </c>
      <c r="CZ19" s="44">
        <f>SUM(AA19:AD19)</f>
        <v>1454</v>
      </c>
      <c r="DA19" s="44">
        <f>SUM(AE19:AH19)</f>
        <v>1495</v>
      </c>
      <c r="DB19" s="44">
        <f>SUM(AI19:AL19)</f>
        <v>1310</v>
      </c>
      <c r="DC19" s="44">
        <f>SUM(AM19:AP19)</f>
        <v>872</v>
      </c>
      <c r="DD19" s="44">
        <f>SUM(AQ19:AT19)</f>
        <v>899</v>
      </c>
      <c r="DE19" s="44">
        <f>SUM(AU19:AX19)</f>
        <v>227</v>
      </c>
      <c r="DF19" s="44">
        <f t="shared" ref="DF19:DI19" si="28">+DE19*1.05</f>
        <v>238.35000000000002</v>
      </c>
      <c r="DG19" s="44">
        <f t="shared" si="28"/>
        <v>250.26750000000004</v>
      </c>
      <c r="DH19" s="44">
        <f t="shared" si="28"/>
        <v>262.78087500000004</v>
      </c>
      <c r="DI19" s="44">
        <f t="shared" si="28"/>
        <v>275.91991875000008</v>
      </c>
      <c r="DJ19" s="44">
        <f>+DI19*1.05</f>
        <v>289.71591468750012</v>
      </c>
      <c r="DK19" s="44">
        <f>+DJ19</f>
        <v>289.71591468750012</v>
      </c>
      <c r="DL19" s="44">
        <f>+DK19</f>
        <v>289.71591468750012</v>
      </c>
      <c r="DM19" s="44">
        <f t="shared" ref="DM19:DR19" si="29">+DL19*0.9</f>
        <v>260.74432321875014</v>
      </c>
      <c r="DN19" s="44">
        <f t="shared" si="29"/>
        <v>234.66989089687513</v>
      </c>
      <c r="DO19" s="44">
        <f t="shared" si="29"/>
        <v>211.20290180718763</v>
      </c>
      <c r="DP19" s="44">
        <f t="shared" si="29"/>
        <v>190.08261162646886</v>
      </c>
      <c r="DQ19" s="44">
        <f t="shared" si="29"/>
        <v>171.07435046382199</v>
      </c>
      <c r="DR19" s="44">
        <f t="shared" si="29"/>
        <v>153.96691541743979</v>
      </c>
    </row>
    <row r="20" spans="1:122" s="11" customFormat="1">
      <c r="A20" s="35"/>
      <c r="B20" s="104" t="s">
        <v>548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6"/>
      <c r="AL20" s="44"/>
      <c r="AM20" s="44"/>
      <c r="AN20" s="44"/>
      <c r="AO20" s="44"/>
      <c r="AP20" s="44"/>
      <c r="AQ20" s="7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78">
        <v>0</v>
      </c>
      <c r="BX20" s="78">
        <v>0</v>
      </c>
      <c r="BY20" s="78">
        <v>0</v>
      </c>
      <c r="BZ20" s="78">
        <v>0</v>
      </c>
      <c r="CA20" s="78">
        <v>0</v>
      </c>
      <c r="CB20" s="78">
        <v>0</v>
      </c>
      <c r="CC20" s="78">
        <v>0</v>
      </c>
      <c r="CD20" s="78">
        <v>0</v>
      </c>
      <c r="CE20" s="78">
        <v>0</v>
      </c>
      <c r="CF20" s="78">
        <v>0</v>
      </c>
      <c r="CG20" s="78">
        <v>159</v>
      </c>
      <c r="CH20" s="78">
        <v>219</v>
      </c>
      <c r="CI20" s="78">
        <v>208</v>
      </c>
      <c r="CJ20" s="78">
        <v>242</v>
      </c>
      <c r="CK20" s="78">
        <f>+CJ20+3</f>
        <v>245</v>
      </c>
      <c r="CL20" s="78">
        <f t="shared" ref="CL20:CP20" si="30">+CK20+3</f>
        <v>248</v>
      </c>
      <c r="CM20" s="78">
        <f t="shared" si="30"/>
        <v>251</v>
      </c>
      <c r="CN20" s="78">
        <f t="shared" si="30"/>
        <v>254</v>
      </c>
      <c r="CO20" s="78">
        <f t="shared" si="30"/>
        <v>257</v>
      </c>
      <c r="CP20" s="78">
        <f t="shared" si="30"/>
        <v>260</v>
      </c>
      <c r="CQ20" s="44"/>
      <c r="CR20" s="44"/>
      <c r="CS20" s="44"/>
      <c r="CT20" s="43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</row>
    <row r="21" spans="1:122" s="11" customFormat="1">
      <c r="A21" s="35"/>
      <c r="B21" s="104" t="s">
        <v>189</v>
      </c>
      <c r="C21" s="44">
        <v>103</v>
      </c>
      <c r="D21" s="44">
        <v>116</v>
      </c>
      <c r="E21" s="44">
        <v>94</v>
      </c>
      <c r="F21" s="44">
        <v>115</v>
      </c>
      <c r="G21" s="44">
        <v>89</v>
      </c>
      <c r="H21" s="44">
        <v>92</v>
      </c>
      <c r="I21" s="44">
        <v>89</v>
      </c>
      <c r="J21" s="44">
        <v>93</v>
      </c>
      <c r="K21" s="44">
        <v>90</v>
      </c>
      <c r="L21" s="44">
        <v>98</v>
      </c>
      <c r="M21" s="44">
        <v>96</v>
      </c>
      <c r="N21" s="44">
        <v>107</v>
      </c>
      <c r="O21" s="44">
        <v>83</v>
      </c>
      <c r="P21" s="44">
        <v>92</v>
      </c>
      <c r="Q21" s="44">
        <v>81</v>
      </c>
      <c r="R21" s="44">
        <v>84</v>
      </c>
      <c r="S21" s="44">
        <v>78</v>
      </c>
      <c r="T21" s="44">
        <v>82</v>
      </c>
      <c r="U21" s="44">
        <v>75</v>
      </c>
      <c r="V21" s="44">
        <v>76</v>
      </c>
      <c r="W21" s="44">
        <v>70</v>
      </c>
      <c r="X21" s="44">
        <v>73</v>
      </c>
      <c r="Y21" s="44">
        <v>70</v>
      </c>
      <c r="Z21" s="44">
        <v>71</v>
      </c>
      <c r="AA21" s="44">
        <v>69</v>
      </c>
      <c r="AB21" s="44">
        <v>72</v>
      </c>
      <c r="AC21" s="44">
        <v>71</v>
      </c>
      <c r="AD21" s="44">
        <v>162</v>
      </c>
      <c r="AE21" s="44">
        <v>138</v>
      </c>
      <c r="AF21" s="44">
        <v>75</v>
      </c>
      <c r="AG21" s="44">
        <v>66</v>
      </c>
      <c r="AH21" s="44">
        <v>62</v>
      </c>
      <c r="AI21" s="44">
        <v>56</v>
      </c>
      <c r="AJ21" s="44">
        <v>62</v>
      </c>
      <c r="AK21" s="56">
        <v>70</v>
      </c>
      <c r="AL21" s="44">
        <v>75</v>
      </c>
      <c r="AM21" s="44">
        <v>68</v>
      </c>
      <c r="AN21" s="44">
        <v>68</v>
      </c>
      <c r="AO21" s="44">
        <v>126</v>
      </c>
      <c r="AP21" s="44">
        <v>137</v>
      </c>
      <c r="AQ21" s="73">
        <v>61</v>
      </c>
      <c r="AR21" s="44">
        <f>AQ21</f>
        <v>61</v>
      </c>
      <c r="AS21" s="44">
        <v>61</v>
      </c>
      <c r="AT21" s="44">
        <v>62</v>
      </c>
      <c r="AU21" s="44">
        <v>84</v>
      </c>
      <c r="AV21" s="44"/>
      <c r="AW21" s="44"/>
      <c r="AX21" s="44"/>
      <c r="AY21" s="44"/>
      <c r="AZ21" s="44"/>
      <c r="BA21" s="44"/>
      <c r="BB21" s="44"/>
      <c r="BC21" s="44">
        <v>94</v>
      </c>
      <c r="BD21" s="44">
        <v>133</v>
      </c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78">
        <f>71+11</f>
        <v>82</v>
      </c>
      <c r="BX21" s="78">
        <f>63+11</f>
        <v>74</v>
      </c>
      <c r="BY21" s="78">
        <f>65+14</f>
        <v>79</v>
      </c>
      <c r="BZ21" s="78">
        <f>72+16</f>
        <v>88</v>
      </c>
      <c r="CA21" s="78">
        <f>13+59</f>
        <v>72</v>
      </c>
      <c r="CB21" s="78">
        <f>10+48</f>
        <v>58</v>
      </c>
      <c r="CC21" s="78">
        <f>11+39</f>
        <v>50</v>
      </c>
      <c r="CD21" s="78">
        <f>12+46</f>
        <v>58</v>
      </c>
      <c r="CE21" s="78">
        <f>51+13</f>
        <v>64</v>
      </c>
      <c r="CF21" s="78">
        <f>47+15</f>
        <v>62</v>
      </c>
      <c r="CG21" s="78">
        <f>50+14</f>
        <v>64</v>
      </c>
      <c r="CH21" s="78">
        <f>17+48</f>
        <v>65</v>
      </c>
      <c r="CI21" s="78">
        <v>98</v>
      </c>
      <c r="CJ21" s="78">
        <v>99</v>
      </c>
      <c r="CK21" s="78"/>
      <c r="CL21" s="78"/>
      <c r="CM21" s="78"/>
      <c r="CN21" s="78"/>
      <c r="CO21" s="78"/>
      <c r="CP21" s="78"/>
      <c r="CQ21" s="44"/>
      <c r="CR21" s="44"/>
      <c r="CS21" s="44"/>
      <c r="CT21" s="43"/>
      <c r="CU21" s="44">
        <v>363</v>
      </c>
      <c r="CV21" s="44">
        <v>391</v>
      </c>
      <c r="CW21" s="44">
        <v>340</v>
      </c>
      <c r="CX21" s="44">
        <f>SUM(S21:V21)</f>
        <v>311</v>
      </c>
      <c r="CY21" s="44">
        <f>SUM(W21:Z21)</f>
        <v>284</v>
      </c>
      <c r="CZ21" s="44">
        <f>SUM(AA21:AD21)</f>
        <v>374</v>
      </c>
      <c r="DA21" s="44">
        <f>CZ21</f>
        <v>374</v>
      </c>
      <c r="DB21" s="44">
        <f>SUM(AI21:AL21)</f>
        <v>263</v>
      </c>
      <c r="DC21" s="44">
        <f>SUM(AM21:AP21)</f>
        <v>399</v>
      </c>
      <c r="DD21" s="44">
        <f>SUM(AQ21:AT21)</f>
        <v>245</v>
      </c>
      <c r="DE21" s="44">
        <f>SUM(AU21:AX21)</f>
        <v>84</v>
      </c>
      <c r="DF21" s="44">
        <f>+DE21*0.8</f>
        <v>67.2</v>
      </c>
      <c r="DG21" s="44">
        <f t="shared" ref="DG21:DM21" si="31">+DF21*0.8</f>
        <v>53.760000000000005</v>
      </c>
      <c r="DH21" s="44">
        <f t="shared" si="31"/>
        <v>43.00800000000001</v>
      </c>
      <c r="DI21" s="44">
        <f t="shared" si="31"/>
        <v>34.406400000000012</v>
      </c>
      <c r="DJ21" s="44">
        <f t="shared" si="31"/>
        <v>27.525120000000012</v>
      </c>
      <c r="DK21" s="44">
        <f t="shared" si="31"/>
        <v>22.020096000000009</v>
      </c>
      <c r="DL21" s="44">
        <f t="shared" si="31"/>
        <v>17.616076800000009</v>
      </c>
      <c r="DM21" s="44">
        <f t="shared" si="31"/>
        <v>14.092861440000007</v>
      </c>
      <c r="DN21" s="44">
        <f>+DM21*0.8</f>
        <v>11.274289152000007</v>
      </c>
      <c r="DO21" s="44">
        <f>+DN21*0.8</f>
        <v>9.0194313216000062</v>
      </c>
      <c r="DP21" s="44">
        <f>+DO21*0.8</f>
        <v>7.2155450572800053</v>
      </c>
      <c r="DQ21" s="44">
        <f>+DP21*0.8</f>
        <v>5.7724360458240049</v>
      </c>
      <c r="DR21" s="44">
        <f>+DQ21*0.8</f>
        <v>4.6179488366592043</v>
      </c>
    </row>
    <row r="22" spans="1:122" s="11" customFormat="1">
      <c r="A22" s="35"/>
      <c r="B22" s="104" t="s">
        <v>42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8</v>
      </c>
      <c r="I22" s="44">
        <v>11</v>
      </c>
      <c r="J22" s="44">
        <v>16</v>
      </c>
      <c r="K22" s="44">
        <v>22</v>
      </c>
      <c r="L22" s="44">
        <v>15</v>
      </c>
      <c r="M22" s="44">
        <v>19</v>
      </c>
      <c r="N22" s="44">
        <v>21</v>
      </c>
      <c r="O22" s="44">
        <v>26</v>
      </c>
      <c r="P22" s="44">
        <v>23</v>
      </c>
      <c r="Q22" s="44">
        <v>24</v>
      </c>
      <c r="R22" s="44">
        <v>26</v>
      </c>
      <c r="S22" s="44">
        <v>29</v>
      </c>
      <c r="T22" s="44">
        <v>35</v>
      </c>
      <c r="U22" s="44">
        <v>37</v>
      </c>
      <c r="V22" s="44">
        <v>39</v>
      </c>
      <c r="W22" s="44">
        <f>91-X22</f>
        <v>44</v>
      </c>
      <c r="X22" s="44">
        <v>47</v>
      </c>
      <c r="Y22" s="44"/>
      <c r="Z22" s="44">
        <v>48</v>
      </c>
      <c r="AA22" s="44">
        <f>102-AB22</f>
        <v>49</v>
      </c>
      <c r="AB22" s="44">
        <v>53</v>
      </c>
      <c r="AC22" s="44"/>
      <c r="AD22" s="44">
        <v>58</v>
      </c>
      <c r="AE22" s="44">
        <v>56</v>
      </c>
      <c r="AF22" s="44"/>
      <c r="AG22" s="57" t="s">
        <v>342</v>
      </c>
      <c r="AH22" s="44"/>
      <c r="AI22" s="44"/>
      <c r="AJ22" s="44"/>
      <c r="AK22" s="56"/>
      <c r="AL22" s="44"/>
      <c r="AM22" s="44"/>
      <c r="AN22" s="44"/>
      <c r="AO22" s="44"/>
      <c r="AP22" s="44"/>
      <c r="AQ22" s="73">
        <v>123</v>
      </c>
      <c r="AR22" s="44">
        <v>0</v>
      </c>
      <c r="AS22" s="44">
        <v>0</v>
      </c>
      <c r="AT22" s="44">
        <v>0</v>
      </c>
      <c r="AU22" s="44">
        <v>151</v>
      </c>
      <c r="AV22" s="44"/>
      <c r="AW22" s="44"/>
      <c r="AX22" s="44"/>
      <c r="AY22" s="44">
        <v>157</v>
      </c>
      <c r="AZ22" s="44">
        <v>173</v>
      </c>
      <c r="BA22" s="44"/>
      <c r="BB22" s="44"/>
      <c r="BC22" s="44">
        <v>172</v>
      </c>
      <c r="BD22" s="44">
        <v>179</v>
      </c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78">
        <v>254</v>
      </c>
      <c r="BX22" s="78">
        <v>267</v>
      </c>
      <c r="BY22" s="78">
        <v>205</v>
      </c>
      <c r="BZ22" s="78">
        <v>166</v>
      </c>
      <c r="CA22" s="78">
        <v>166</v>
      </c>
      <c r="CB22" s="78">
        <v>146</v>
      </c>
      <c r="CC22" s="78">
        <v>138</v>
      </c>
      <c r="CD22" s="78">
        <v>130</v>
      </c>
      <c r="CE22" s="78">
        <v>122</v>
      </c>
      <c r="CF22" s="78">
        <v>105</v>
      </c>
      <c r="CG22" s="78">
        <v>103</v>
      </c>
      <c r="CH22" s="78">
        <v>101</v>
      </c>
      <c r="CI22" s="78">
        <v>93</v>
      </c>
      <c r="CJ22" s="78">
        <v>86</v>
      </c>
      <c r="CK22" s="78"/>
      <c r="CL22" s="78"/>
      <c r="CM22" s="78"/>
      <c r="CN22" s="78"/>
      <c r="CO22" s="78"/>
      <c r="CP22" s="78"/>
      <c r="CQ22" s="44"/>
      <c r="CR22" s="44"/>
      <c r="CS22" s="44"/>
      <c r="CT22" s="43"/>
      <c r="CU22" s="44">
        <v>35</v>
      </c>
      <c r="CV22" s="44">
        <v>77</v>
      </c>
      <c r="CW22" s="44">
        <v>99</v>
      </c>
      <c r="CX22" s="44">
        <f>SUM(S22:V22)</f>
        <v>140</v>
      </c>
      <c r="CY22" s="44">
        <f>SUM(W22:Z22)</f>
        <v>139</v>
      </c>
      <c r="CZ22" s="44"/>
      <c r="DA22" s="44"/>
      <c r="DB22" s="44"/>
      <c r="DC22" s="43"/>
      <c r="DD22" s="44">
        <f>SUM(AQ22:AT22)</f>
        <v>123</v>
      </c>
      <c r="DE22" s="44">
        <f>SUM(AU22:AX22)</f>
        <v>151</v>
      </c>
      <c r="DF22" s="46">
        <f t="shared" ref="DF22:DL22" si="32">DE22*0.5</f>
        <v>75.5</v>
      </c>
      <c r="DG22" s="46">
        <f t="shared" si="32"/>
        <v>37.75</v>
      </c>
      <c r="DH22" s="46">
        <f t="shared" si="32"/>
        <v>18.875</v>
      </c>
      <c r="DI22" s="46">
        <f t="shared" si="32"/>
        <v>9.4375</v>
      </c>
      <c r="DJ22" s="46">
        <f t="shared" si="32"/>
        <v>4.71875</v>
      </c>
      <c r="DK22" s="46">
        <f t="shared" si="32"/>
        <v>2.359375</v>
      </c>
      <c r="DL22" s="46">
        <f t="shared" si="32"/>
        <v>1.1796875</v>
      </c>
      <c r="DM22" s="46"/>
      <c r="DQ22" s="69"/>
      <c r="DR22" s="69"/>
    </row>
    <row r="23" spans="1:122" s="11" customFormat="1">
      <c r="A23" s="35"/>
      <c r="B23" s="104" t="s">
        <v>540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57"/>
      <c r="AH23" s="44"/>
      <c r="AI23" s="44"/>
      <c r="AJ23" s="44"/>
      <c r="AK23" s="56"/>
      <c r="AL23" s="44"/>
      <c r="AM23" s="44"/>
      <c r="AN23" s="44"/>
      <c r="AO23" s="44"/>
      <c r="AP23" s="44"/>
      <c r="AQ23" s="7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78">
        <v>0</v>
      </c>
      <c r="BX23" s="78">
        <v>0</v>
      </c>
      <c r="BY23" s="78">
        <v>1</v>
      </c>
      <c r="BZ23" s="78">
        <v>1</v>
      </c>
      <c r="CA23" s="78">
        <v>4</v>
      </c>
      <c r="CB23" s="78">
        <v>7</v>
      </c>
      <c r="CC23" s="78">
        <v>10</v>
      </c>
      <c r="CD23" s="78">
        <v>6</v>
      </c>
      <c r="CE23" s="78">
        <v>27</v>
      </c>
      <c r="CF23" s="78">
        <v>56</v>
      </c>
      <c r="CG23" s="78">
        <v>47</v>
      </c>
      <c r="CH23" s="78">
        <v>73</v>
      </c>
      <c r="CI23" s="78">
        <v>87</v>
      </c>
      <c r="CJ23" s="78">
        <v>93</v>
      </c>
      <c r="CK23" s="78"/>
      <c r="CL23" s="78"/>
      <c r="CM23" s="78"/>
      <c r="CN23" s="78"/>
      <c r="CO23" s="78"/>
      <c r="CP23" s="78"/>
      <c r="CQ23" s="44"/>
      <c r="CR23" s="44"/>
      <c r="CS23" s="44"/>
      <c r="CT23" s="43"/>
      <c r="CU23" s="44"/>
      <c r="CV23" s="44"/>
      <c r="CW23" s="44"/>
      <c r="CX23" s="44"/>
      <c r="CY23" s="44"/>
      <c r="CZ23" s="44"/>
      <c r="DA23" s="44"/>
      <c r="DB23" s="44"/>
      <c r="DC23" s="43"/>
      <c r="DD23" s="44"/>
      <c r="DE23" s="44"/>
      <c r="DF23" s="46"/>
      <c r="DG23" s="46"/>
      <c r="DH23" s="46"/>
      <c r="DI23" s="46"/>
      <c r="DJ23" s="46"/>
      <c r="DK23" s="46"/>
      <c r="DL23" s="46"/>
      <c r="DM23" s="46"/>
      <c r="DQ23" s="69"/>
      <c r="DR23" s="69"/>
    </row>
    <row r="24" spans="1:122" s="11" customFormat="1">
      <c r="A24" s="35"/>
      <c r="B24" s="104" t="s">
        <v>496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56"/>
      <c r="AL24" s="44"/>
      <c r="AM24" s="44"/>
      <c r="AN24" s="44"/>
      <c r="AO24" s="44"/>
      <c r="AP24" s="44"/>
      <c r="AQ24" s="73"/>
      <c r="AR24" s="44"/>
      <c r="AS24" s="44"/>
      <c r="AT24" s="44"/>
      <c r="AU24" s="44"/>
      <c r="AV24" s="44"/>
      <c r="AW24" s="44"/>
      <c r="AX24" s="44"/>
      <c r="AY24" s="44">
        <v>27</v>
      </c>
      <c r="AZ24" s="44">
        <v>32</v>
      </c>
      <c r="BA24" s="44"/>
      <c r="BB24" s="44"/>
      <c r="BC24" s="44">
        <v>80</v>
      </c>
      <c r="BD24" s="44">
        <v>112</v>
      </c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78">
        <v>142</v>
      </c>
      <c r="BX24" s="78">
        <v>141</v>
      </c>
      <c r="BY24" s="78">
        <v>127</v>
      </c>
      <c r="BZ24" s="78">
        <v>139</v>
      </c>
      <c r="CA24" s="78">
        <v>100</v>
      </c>
      <c r="CB24" s="78">
        <v>116</v>
      </c>
      <c r="CC24" s="78">
        <v>109</v>
      </c>
      <c r="CD24" s="78">
        <v>122</v>
      </c>
      <c r="CE24" s="78">
        <v>103</v>
      </c>
      <c r="CF24" s="78">
        <v>95</v>
      </c>
      <c r="CG24" s="78">
        <v>95</v>
      </c>
      <c r="CH24" s="78">
        <v>91</v>
      </c>
      <c r="CI24" s="78">
        <v>68</v>
      </c>
      <c r="CJ24" s="78">
        <v>73</v>
      </c>
      <c r="CK24" s="78"/>
      <c r="CL24" s="78"/>
      <c r="CM24" s="78"/>
      <c r="CN24" s="78"/>
      <c r="CO24" s="78"/>
      <c r="CP24" s="78"/>
      <c r="CQ24" s="44"/>
      <c r="CR24" s="44"/>
      <c r="CS24" s="44"/>
      <c r="CT24" s="43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</row>
    <row r="25" spans="1:122" s="11" customFormat="1">
      <c r="A25" s="35"/>
      <c r="B25" s="104" t="s">
        <v>236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56">
        <v>9</v>
      </c>
      <c r="AL25" s="44">
        <v>2</v>
      </c>
      <c r="AM25" s="44">
        <v>4</v>
      </c>
      <c r="AN25" s="44">
        <v>14</v>
      </c>
      <c r="AO25" s="44">
        <v>19</v>
      </c>
      <c r="AP25" s="44">
        <v>32</v>
      </c>
      <c r="AQ25" s="73">
        <v>35</v>
      </c>
      <c r="AR25" s="44">
        <f>AQ25+5</f>
        <v>40</v>
      </c>
      <c r="AS25" s="44">
        <v>59</v>
      </c>
      <c r="AT25" s="44">
        <v>71</v>
      </c>
      <c r="AU25" s="44">
        <v>72</v>
      </c>
      <c r="AV25" s="44"/>
      <c r="AW25" s="44"/>
      <c r="AX25" s="44"/>
      <c r="AY25" s="44">
        <v>90</v>
      </c>
      <c r="AZ25" s="44">
        <v>102</v>
      </c>
      <c r="BA25" s="44"/>
      <c r="BB25" s="44"/>
      <c r="BC25" s="44">
        <v>162</v>
      </c>
      <c r="BD25" s="44">
        <v>238</v>
      </c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78">
        <v>153</v>
      </c>
      <c r="BX25" s="78">
        <v>116</v>
      </c>
      <c r="BY25" s="78">
        <v>127</v>
      </c>
      <c r="BZ25" s="78">
        <v>131</v>
      </c>
      <c r="CA25" s="78">
        <v>141</v>
      </c>
      <c r="CB25" s="78">
        <v>115</v>
      </c>
      <c r="CC25" s="78">
        <v>110</v>
      </c>
      <c r="CD25" s="78">
        <v>105</v>
      </c>
      <c r="CE25" s="78">
        <v>101</v>
      </c>
      <c r="CF25" s="78">
        <v>99</v>
      </c>
      <c r="CG25" s="78">
        <v>84</v>
      </c>
      <c r="CH25" s="78">
        <v>75</v>
      </c>
      <c r="CI25" s="78">
        <v>68</v>
      </c>
      <c r="CJ25" s="78">
        <v>71</v>
      </c>
      <c r="CK25" s="78"/>
      <c r="CL25" s="78"/>
      <c r="CM25" s="78"/>
      <c r="CN25" s="78"/>
      <c r="CO25" s="78"/>
      <c r="CP25" s="78"/>
      <c r="CQ25" s="44"/>
      <c r="CR25" s="44"/>
      <c r="CS25" s="44"/>
      <c r="CT25" s="43"/>
      <c r="CU25" s="44"/>
      <c r="CV25" s="44"/>
      <c r="CW25" s="44"/>
      <c r="CX25" s="44"/>
      <c r="CY25" s="44"/>
      <c r="CZ25" s="44"/>
      <c r="DA25" s="44"/>
      <c r="DB25" s="44">
        <f>SUM(AI25:AL25)</f>
        <v>11</v>
      </c>
      <c r="DC25" s="44">
        <f>SUM(AM25:AP25)</f>
        <v>69</v>
      </c>
      <c r="DD25" s="44">
        <f>SUM(AQ25:AT25)</f>
        <v>205</v>
      </c>
      <c r="DE25" s="44">
        <f>SUM(AU25:AX25)</f>
        <v>72</v>
      </c>
      <c r="DF25" s="44">
        <f>DE25*1.3</f>
        <v>93.600000000000009</v>
      </c>
      <c r="DG25" s="44">
        <f>DF25*1.2</f>
        <v>112.32000000000001</v>
      </c>
      <c r="DH25" s="44">
        <f>DG25*1.15</f>
        <v>129.16800000000001</v>
      </c>
      <c r="DI25" s="44">
        <f>DH25*1.15</f>
        <v>148.54319999999998</v>
      </c>
      <c r="DJ25" s="44">
        <f>DI25*1.15</f>
        <v>170.82467999999997</v>
      </c>
      <c r="DK25" s="44">
        <f>DJ25*1.1</f>
        <v>187.90714799999998</v>
      </c>
      <c r="DL25" s="44">
        <f>DK25*1.1</f>
        <v>206.6978628</v>
      </c>
      <c r="DM25" s="44">
        <f>DL25*1.1</f>
        <v>227.36764908000001</v>
      </c>
      <c r="DN25" s="44">
        <f>DM25*1.1</f>
        <v>250.10441398800003</v>
      </c>
      <c r="DO25" s="44">
        <f>DN25*1.1</f>
        <v>275.11485538680006</v>
      </c>
      <c r="DP25" s="44">
        <f>+DO25*0.5</f>
        <v>137.55742769340003</v>
      </c>
      <c r="DQ25" s="44">
        <f>+DP25*0.9</f>
        <v>123.80168492406003</v>
      </c>
      <c r="DR25" s="44">
        <f>+DQ25*0.9</f>
        <v>111.42151643165403</v>
      </c>
    </row>
    <row r="26" spans="1:122" s="11" customFormat="1">
      <c r="A26" s="35"/>
      <c r="B26" s="104" t="s">
        <v>536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6"/>
      <c r="AL26" s="44"/>
      <c r="AM26" s="44"/>
      <c r="AN26" s="44"/>
      <c r="AO26" s="44"/>
      <c r="AP26" s="44"/>
      <c r="AQ26" s="73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78">
        <v>0</v>
      </c>
      <c r="BX26" s="78">
        <v>2</v>
      </c>
      <c r="BY26" s="78">
        <v>4</v>
      </c>
      <c r="BZ26" s="78">
        <v>8</v>
      </c>
      <c r="CA26" s="78">
        <v>11</v>
      </c>
      <c r="CB26" s="78">
        <v>17</v>
      </c>
      <c r="CC26" s="78">
        <v>21</v>
      </c>
      <c r="CD26" s="78">
        <v>28</v>
      </c>
      <c r="CE26" s="78">
        <v>33</v>
      </c>
      <c r="CF26" s="78">
        <v>39</v>
      </c>
      <c r="CG26" s="78">
        <v>49</v>
      </c>
      <c r="CH26" s="78">
        <v>54</v>
      </c>
      <c r="CI26" s="78">
        <v>63</v>
      </c>
      <c r="CJ26" s="78">
        <v>66</v>
      </c>
      <c r="CK26" s="78"/>
      <c r="CL26" s="78"/>
      <c r="CM26" s="78"/>
      <c r="CN26" s="78"/>
      <c r="CO26" s="78"/>
      <c r="CP26" s="78"/>
      <c r="CQ26" s="44"/>
      <c r="CR26" s="44"/>
      <c r="CS26" s="44"/>
      <c r="CT26" s="43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69"/>
    </row>
    <row r="27" spans="1:122" s="11" customFormat="1">
      <c r="A27" s="35"/>
      <c r="B27" s="104" t="s">
        <v>542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6"/>
      <c r="AL27" s="44"/>
      <c r="AM27" s="44"/>
      <c r="AN27" s="44"/>
      <c r="AO27" s="44"/>
      <c r="AP27" s="44"/>
      <c r="AQ27" s="7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78">
        <v>48</v>
      </c>
      <c r="BX27" s="78">
        <v>56</v>
      </c>
      <c r="BY27" s="78">
        <v>53</v>
      </c>
      <c r="BZ27" s="78">
        <v>58</v>
      </c>
      <c r="CA27" s="78">
        <v>53</v>
      </c>
      <c r="CB27" s="78">
        <v>53</v>
      </c>
      <c r="CC27" s="78">
        <v>57</v>
      </c>
      <c r="CD27" s="78">
        <v>54</v>
      </c>
      <c r="CE27" s="78">
        <v>60</v>
      </c>
      <c r="CF27" s="78">
        <v>54</v>
      </c>
      <c r="CG27" s="78">
        <v>54</v>
      </c>
      <c r="CH27" s="78">
        <v>59</v>
      </c>
      <c r="CI27" s="78">
        <v>51</v>
      </c>
      <c r="CJ27" s="78">
        <v>58</v>
      </c>
      <c r="CK27" s="78"/>
      <c r="CL27" s="78"/>
      <c r="CM27" s="78"/>
      <c r="CN27" s="78"/>
      <c r="CO27" s="78"/>
      <c r="CP27" s="78"/>
      <c r="CQ27" s="44"/>
      <c r="CR27" s="44"/>
      <c r="CS27" s="44"/>
      <c r="CT27" s="43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69"/>
    </row>
    <row r="28" spans="1:122" s="11" customFormat="1">
      <c r="A28" s="35"/>
      <c r="B28" s="104" t="s">
        <v>537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56"/>
      <c r="AL28" s="44"/>
      <c r="AM28" s="44"/>
      <c r="AN28" s="44"/>
      <c r="AO28" s="44"/>
      <c r="AP28" s="44"/>
      <c r="AQ28" s="73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78">
        <v>0</v>
      </c>
      <c r="BX28" s="78">
        <v>0</v>
      </c>
      <c r="BY28" s="78">
        <v>0</v>
      </c>
      <c r="BZ28" s="78">
        <v>0</v>
      </c>
      <c r="CA28" s="78">
        <v>0</v>
      </c>
      <c r="CB28" s="78">
        <v>0</v>
      </c>
      <c r="CC28" s="78">
        <v>0</v>
      </c>
      <c r="CD28" s="78">
        <v>0</v>
      </c>
      <c r="CE28" s="78">
        <v>39</v>
      </c>
      <c r="CF28" s="78">
        <v>51</v>
      </c>
      <c r="CG28" s="78">
        <v>55</v>
      </c>
      <c r="CH28" s="78">
        <v>30</v>
      </c>
      <c r="CI28" s="78">
        <v>41</v>
      </c>
      <c r="CJ28" s="78">
        <v>50</v>
      </c>
      <c r="CK28" s="78"/>
      <c r="CL28" s="78"/>
      <c r="CM28" s="78"/>
      <c r="CN28" s="78"/>
      <c r="CO28" s="78"/>
      <c r="CP28" s="78"/>
      <c r="CQ28" s="44"/>
      <c r="CR28" s="44"/>
      <c r="CS28" s="44"/>
      <c r="CT28" s="43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69"/>
    </row>
    <row r="29" spans="1:122" s="11" customFormat="1">
      <c r="A29" s="35"/>
      <c r="B29" s="104" t="s">
        <v>549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56"/>
      <c r="AL29" s="44"/>
      <c r="AM29" s="44"/>
      <c r="AN29" s="44"/>
      <c r="AO29" s="44"/>
      <c r="AP29" s="44"/>
      <c r="AQ29" s="7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78">
        <v>0</v>
      </c>
      <c r="BX29" s="78">
        <v>0</v>
      </c>
      <c r="BY29" s="78">
        <v>0</v>
      </c>
      <c r="BZ29" s="78">
        <v>0</v>
      </c>
      <c r="CA29" s="78">
        <v>0</v>
      </c>
      <c r="CB29" s="78">
        <v>7</v>
      </c>
      <c r="CC29" s="78">
        <v>13</v>
      </c>
      <c r="CD29" s="78">
        <v>17</v>
      </c>
      <c r="CE29" s="78">
        <v>21</v>
      </c>
      <c r="CF29" s="78">
        <v>26</v>
      </c>
      <c r="CG29" s="78">
        <v>26</v>
      </c>
      <c r="CH29" s="78">
        <v>34</v>
      </c>
      <c r="CI29" s="78">
        <v>39</v>
      </c>
      <c r="CJ29" s="78">
        <v>62</v>
      </c>
      <c r="CK29" s="78"/>
      <c r="CL29" s="78"/>
      <c r="CM29" s="78"/>
      <c r="CN29" s="78"/>
      <c r="CO29" s="78"/>
      <c r="CP29" s="78"/>
      <c r="CQ29" s="44"/>
      <c r="CR29" s="44"/>
      <c r="CS29" s="44"/>
      <c r="CT29" s="43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69"/>
    </row>
    <row r="30" spans="1:122" s="11" customFormat="1">
      <c r="A30" s="35"/>
      <c r="B30" s="104" t="s">
        <v>550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56"/>
      <c r="AL30" s="44"/>
      <c r="AM30" s="44"/>
      <c r="AN30" s="44"/>
      <c r="AO30" s="44"/>
      <c r="AP30" s="44"/>
      <c r="AQ30" s="7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78">
        <v>0</v>
      </c>
      <c r="BX30" s="78">
        <v>0</v>
      </c>
      <c r="BY30" s="78">
        <v>0</v>
      </c>
      <c r="BZ30" s="78">
        <v>0</v>
      </c>
      <c r="CA30" s="78">
        <v>0</v>
      </c>
      <c r="CB30" s="78">
        <v>0</v>
      </c>
      <c r="CC30" s="78">
        <v>0</v>
      </c>
      <c r="CD30" s="78">
        <v>0</v>
      </c>
      <c r="CE30" s="78">
        <v>0</v>
      </c>
      <c r="CF30" s="78">
        <v>0</v>
      </c>
      <c r="CG30" s="78">
        <v>28</v>
      </c>
      <c r="CH30" s="78">
        <v>34</v>
      </c>
      <c r="CI30" s="78">
        <v>38</v>
      </c>
      <c r="CJ30" s="78">
        <v>36</v>
      </c>
      <c r="CK30" s="78"/>
      <c r="CL30" s="78"/>
      <c r="CM30" s="78"/>
      <c r="CN30" s="78"/>
      <c r="CO30" s="78"/>
      <c r="CP30" s="78"/>
      <c r="CQ30" s="44"/>
      <c r="CR30" s="44"/>
      <c r="CS30" s="44"/>
      <c r="CT30" s="43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69"/>
    </row>
    <row r="31" spans="1:122" s="11" customFormat="1">
      <c r="A31" s="35"/>
      <c r="B31" s="104" t="s">
        <v>538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6"/>
      <c r="AL31" s="44"/>
      <c r="AM31" s="44"/>
      <c r="AN31" s="44"/>
      <c r="AO31" s="44"/>
      <c r="AP31" s="44"/>
      <c r="AQ31" s="7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78">
        <v>0</v>
      </c>
      <c r="BX31" s="78">
        <v>0</v>
      </c>
      <c r="BY31" s="78">
        <v>0</v>
      </c>
      <c r="BZ31" s="78">
        <v>0</v>
      </c>
      <c r="CA31" s="78">
        <v>0</v>
      </c>
      <c r="CB31" s="78">
        <v>0</v>
      </c>
      <c r="CC31" s="78">
        <v>0</v>
      </c>
      <c r="CD31" s="78">
        <v>0</v>
      </c>
      <c r="CE31" s="78">
        <v>0</v>
      </c>
      <c r="CF31" s="78">
        <v>0</v>
      </c>
      <c r="CG31" s="78">
        <v>29</v>
      </c>
      <c r="CH31" s="78">
        <v>39</v>
      </c>
      <c r="CI31" s="78">
        <v>33</v>
      </c>
      <c r="CJ31" s="78">
        <v>37</v>
      </c>
      <c r="CK31" s="78"/>
      <c r="CL31" s="78"/>
      <c r="CM31" s="78"/>
      <c r="CN31" s="78"/>
      <c r="CO31" s="78"/>
      <c r="CP31" s="78"/>
      <c r="CQ31" s="44"/>
      <c r="CR31" s="44"/>
      <c r="CS31" s="44"/>
      <c r="CT31" s="43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69"/>
    </row>
    <row r="32" spans="1:122" s="11" customFormat="1">
      <c r="A32" s="35"/>
      <c r="B32" s="104" t="s">
        <v>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26</v>
      </c>
      <c r="J32" s="44">
        <v>41</v>
      </c>
      <c r="K32" s="44">
        <v>19</v>
      </c>
      <c r="L32" s="44">
        <v>47</v>
      </c>
      <c r="M32" s="44">
        <v>70</v>
      </c>
      <c r="N32" s="44">
        <v>92</v>
      </c>
      <c r="O32" s="44">
        <v>93</v>
      </c>
      <c r="P32" s="44">
        <v>103</v>
      </c>
      <c r="Q32" s="44">
        <v>113</v>
      </c>
      <c r="R32" s="44">
        <v>80</v>
      </c>
      <c r="S32" s="44">
        <v>81</v>
      </c>
      <c r="T32" s="44">
        <v>59</v>
      </c>
      <c r="U32" s="44">
        <v>61</v>
      </c>
      <c r="V32" s="44">
        <v>72</v>
      </c>
      <c r="W32" s="44">
        <f>112-X32</f>
        <v>50</v>
      </c>
      <c r="X32" s="44">
        <v>62</v>
      </c>
      <c r="Y32" s="44">
        <v>62</v>
      </c>
      <c r="Z32" s="44">
        <v>63</v>
      </c>
      <c r="AA32" s="44">
        <f>113-AB32</f>
        <v>52</v>
      </c>
      <c r="AB32" s="44">
        <v>61</v>
      </c>
      <c r="AC32" s="44">
        <v>55</v>
      </c>
      <c r="AD32" s="44">
        <v>70</v>
      </c>
      <c r="AE32" s="44">
        <v>58</v>
      </c>
      <c r="AF32" s="44">
        <v>67</v>
      </c>
      <c r="AG32" s="44">
        <v>67</v>
      </c>
      <c r="AH32" s="44">
        <v>73</v>
      </c>
      <c r="AI32" s="44">
        <v>68</v>
      </c>
      <c r="AJ32" s="44">
        <v>75</v>
      </c>
      <c r="AK32" s="56">
        <v>75</v>
      </c>
      <c r="AL32" s="44">
        <v>79</v>
      </c>
      <c r="AM32" s="44">
        <v>83</v>
      </c>
      <c r="AN32" s="44">
        <v>93</v>
      </c>
      <c r="AO32" s="44">
        <v>102</v>
      </c>
      <c r="AP32" s="44">
        <v>115</v>
      </c>
      <c r="AQ32" s="73">
        <v>121</v>
      </c>
      <c r="AR32" s="44">
        <f>AQ32</f>
        <v>121</v>
      </c>
      <c r="AS32" s="44">
        <v>145</v>
      </c>
      <c r="AT32" s="44">
        <v>149</v>
      </c>
      <c r="AU32" s="44">
        <v>143</v>
      </c>
      <c r="AV32" s="44"/>
      <c r="AW32" s="44"/>
      <c r="AX32" s="44"/>
      <c r="AY32" s="44">
        <v>168</v>
      </c>
      <c r="AZ32" s="44">
        <v>156</v>
      </c>
      <c r="BA32" s="44"/>
      <c r="BB32" s="44"/>
      <c r="BC32" s="44">
        <v>169</v>
      </c>
      <c r="BD32" s="44">
        <v>147</v>
      </c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78">
        <v>134</v>
      </c>
      <c r="BX32" s="78">
        <v>118</v>
      </c>
      <c r="BY32" s="78">
        <v>91</v>
      </c>
      <c r="BZ32" s="78">
        <v>80</v>
      </c>
      <c r="CA32" s="78">
        <v>77</v>
      </c>
      <c r="CB32" s="78">
        <v>70</v>
      </c>
      <c r="CC32" s="78">
        <v>54</v>
      </c>
      <c r="CD32" s="78">
        <v>67</v>
      </c>
      <c r="CE32" s="78">
        <v>61</v>
      </c>
      <c r="CF32" s="78">
        <v>47</v>
      </c>
      <c r="CG32" s="78">
        <v>41</v>
      </c>
      <c r="CH32" s="78">
        <v>35</v>
      </c>
      <c r="CI32" s="78">
        <v>32</v>
      </c>
      <c r="CJ32" s="78">
        <v>32</v>
      </c>
      <c r="CK32" s="78"/>
      <c r="CL32" s="78"/>
      <c r="CM32" s="78"/>
      <c r="CN32" s="78"/>
      <c r="CO32" s="78"/>
      <c r="CP32" s="78"/>
      <c r="CQ32" s="44"/>
      <c r="CR32" s="44"/>
      <c r="CS32" s="44"/>
      <c r="CT32" s="43"/>
      <c r="CU32" s="44">
        <v>67</v>
      </c>
      <c r="CV32" s="44">
        <v>228</v>
      </c>
      <c r="CW32" s="44">
        <v>389</v>
      </c>
      <c r="CX32" s="44">
        <f>SUM(S32:V32)</f>
        <v>273</v>
      </c>
      <c r="CY32" s="44">
        <f>SUM(W32:Z32)</f>
        <v>237</v>
      </c>
      <c r="CZ32" s="44">
        <f>SUM(AA32:AD32)</f>
        <v>238</v>
      </c>
      <c r="DA32" s="44">
        <f>SUM(AE32:AH32)</f>
        <v>265</v>
      </c>
      <c r="DB32" s="44">
        <f>SUM(AI32:AL32)</f>
        <v>297</v>
      </c>
      <c r="DC32" s="44">
        <f>SUM(AM32:AP32)</f>
        <v>393</v>
      </c>
      <c r="DD32" s="44">
        <f>SUM(AQ32:AT32)</f>
        <v>536</v>
      </c>
      <c r="DE32" s="44">
        <f>SUM(AU32:AX32)</f>
        <v>143</v>
      </c>
      <c r="DF32" s="44">
        <f>DE32*1.05</f>
        <v>150.15</v>
      </c>
      <c r="DG32" s="44">
        <f>DF32*0.65</f>
        <v>97.597500000000011</v>
      </c>
      <c r="DH32" s="44">
        <f t="shared" ref="DH32:DR32" si="33">DG32*0.7</f>
        <v>68.318250000000006</v>
      </c>
      <c r="DI32" s="44">
        <f t="shared" si="33"/>
        <v>47.822775</v>
      </c>
      <c r="DJ32" s="44">
        <f t="shared" si="33"/>
        <v>33.475942499999995</v>
      </c>
      <c r="DK32" s="44">
        <f t="shared" si="33"/>
        <v>23.433159749999994</v>
      </c>
      <c r="DL32" s="44">
        <f t="shared" si="33"/>
        <v>16.403211824999996</v>
      </c>
      <c r="DM32" s="44">
        <f t="shared" si="33"/>
        <v>11.482248277499997</v>
      </c>
      <c r="DN32" s="44">
        <f t="shared" si="33"/>
        <v>8.0375737942499974</v>
      </c>
      <c r="DO32" s="44">
        <f t="shared" si="33"/>
        <v>5.6263016559749977</v>
      </c>
      <c r="DP32" s="44">
        <f t="shared" si="33"/>
        <v>3.9384111591824982</v>
      </c>
      <c r="DQ32" s="44">
        <f t="shared" si="33"/>
        <v>2.7568878114277484</v>
      </c>
      <c r="DR32" s="44">
        <f t="shared" si="33"/>
        <v>1.9298214679994237</v>
      </c>
    </row>
    <row r="33" spans="1:122" s="11" customFormat="1">
      <c r="A33" s="35"/>
      <c r="B33" s="104" t="s">
        <v>457</v>
      </c>
      <c r="C33" s="44">
        <v>42</v>
      </c>
      <c r="D33" s="44">
        <v>48</v>
      </c>
      <c r="E33" s="44">
        <v>47</v>
      </c>
      <c r="F33" s="44">
        <v>51</v>
      </c>
      <c r="G33" s="44">
        <v>65</v>
      </c>
      <c r="H33" s="44">
        <v>79</v>
      </c>
      <c r="I33" s="44">
        <v>95</v>
      </c>
      <c r="J33" s="44">
        <v>92</v>
      </c>
      <c r="K33" s="44">
        <v>93</v>
      </c>
      <c r="L33" s="44">
        <v>143</v>
      </c>
      <c r="M33" s="44">
        <v>136</v>
      </c>
      <c r="N33" s="44">
        <v>147</v>
      </c>
      <c r="O33" s="44">
        <v>166</v>
      </c>
      <c r="P33" s="44">
        <v>191</v>
      </c>
      <c r="Q33" s="44">
        <v>221</v>
      </c>
      <c r="R33" s="44">
        <v>233</v>
      </c>
      <c r="S33" s="44">
        <v>256</v>
      </c>
      <c r="T33" s="44">
        <v>297</v>
      </c>
      <c r="U33" s="44">
        <v>303</v>
      </c>
      <c r="V33" s="44">
        <v>325</v>
      </c>
      <c r="W33" s="44">
        <f>714-X33</f>
        <v>335</v>
      </c>
      <c r="X33" s="44">
        <v>379</v>
      </c>
      <c r="Y33" s="44">
        <v>382</v>
      </c>
      <c r="Z33" s="44">
        <v>412</v>
      </c>
      <c r="AA33" s="44">
        <f>831-AB33</f>
        <v>401</v>
      </c>
      <c r="AB33" s="44">
        <v>430</v>
      </c>
      <c r="AC33" s="44">
        <v>425</v>
      </c>
      <c r="AD33" s="44">
        <v>474</v>
      </c>
      <c r="AE33" s="44">
        <v>430</v>
      </c>
      <c r="AF33" s="44">
        <v>490</v>
      </c>
      <c r="AG33" s="44">
        <v>486</v>
      </c>
      <c r="AH33" s="44">
        <v>451</v>
      </c>
      <c r="AI33" s="44">
        <v>463</v>
      </c>
      <c r="AJ33" s="44">
        <v>483</v>
      </c>
      <c r="AK33" s="56">
        <v>476</v>
      </c>
      <c r="AL33" s="44">
        <v>499</v>
      </c>
      <c r="AM33" s="44">
        <v>511</v>
      </c>
      <c r="AN33" s="44">
        <v>439</v>
      </c>
      <c r="AO33" s="44">
        <v>284</v>
      </c>
      <c r="AP33" s="44">
        <v>278</v>
      </c>
      <c r="AQ33" s="73">
        <v>233</v>
      </c>
      <c r="AR33" s="44">
        <f>+AQ33-5</f>
        <v>228</v>
      </c>
      <c r="AS33" s="44">
        <v>176</v>
      </c>
      <c r="AT33" s="44">
        <v>166</v>
      </c>
      <c r="AU33" s="44">
        <v>144</v>
      </c>
      <c r="AV33" s="44"/>
      <c r="AW33" s="44"/>
      <c r="AX33" s="44"/>
      <c r="AY33" s="44">
        <v>92</v>
      </c>
      <c r="AZ33" s="44">
        <v>83</v>
      </c>
      <c r="BA33" s="44"/>
      <c r="BB33" s="44"/>
      <c r="BC33" s="44">
        <v>78</v>
      </c>
      <c r="BD33" s="44">
        <v>78</v>
      </c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78">
        <v>51</v>
      </c>
      <c r="BX33" s="78">
        <v>60</v>
      </c>
      <c r="BY33" s="78">
        <v>63</v>
      </c>
      <c r="BZ33" s="78">
        <v>51</v>
      </c>
      <c r="CA33" s="78">
        <v>50</v>
      </c>
      <c r="CB33" s="78">
        <v>58</v>
      </c>
      <c r="CC33" s="78">
        <v>42</v>
      </c>
      <c r="CD33" s="78">
        <v>36</v>
      </c>
      <c r="CE33" s="78">
        <v>44</v>
      </c>
      <c r="CF33" s="78">
        <v>29</v>
      </c>
      <c r="CG33" s="78">
        <v>33</v>
      </c>
      <c r="CH33" s="78">
        <v>33</v>
      </c>
      <c r="CI33" s="78">
        <v>32</v>
      </c>
      <c r="CJ33" s="78">
        <v>28</v>
      </c>
      <c r="CK33" s="78"/>
      <c r="CL33" s="78"/>
      <c r="CM33" s="78"/>
      <c r="CN33" s="78"/>
      <c r="CO33" s="78"/>
      <c r="CP33" s="78"/>
      <c r="CQ33" s="44"/>
      <c r="CR33" s="44"/>
      <c r="CS33" s="44"/>
      <c r="CT33" s="43"/>
      <c r="CU33" s="44">
        <v>331</v>
      </c>
      <c r="CV33" s="44">
        <v>519</v>
      </c>
      <c r="CW33" s="44">
        <v>811</v>
      </c>
      <c r="CX33" s="44">
        <f>SUM(S33:V33)</f>
        <v>1181</v>
      </c>
      <c r="CY33" s="44">
        <f>SUM(W33:Z33)</f>
        <v>1508</v>
      </c>
      <c r="CZ33" s="44">
        <f>SUM(AA33:AD33)</f>
        <v>1730</v>
      </c>
      <c r="DA33" s="44">
        <f>SUM(AE33:AH33)</f>
        <v>1857</v>
      </c>
      <c r="DB33" s="44">
        <f>SUM(AI33:AL33)</f>
        <v>1921</v>
      </c>
      <c r="DC33" s="44">
        <f>SUM(AM33:AP33)</f>
        <v>1512</v>
      </c>
      <c r="DD33" s="44">
        <f>SUM(AQ33:AT33)</f>
        <v>803</v>
      </c>
      <c r="DE33" s="44">
        <f>SUM(AU33:AX33)</f>
        <v>144</v>
      </c>
      <c r="DF33" s="44">
        <f t="shared" ref="DF33:DL33" si="34">+DE33*0.8</f>
        <v>115.2</v>
      </c>
      <c r="DG33" s="44">
        <f t="shared" si="34"/>
        <v>92.160000000000011</v>
      </c>
      <c r="DH33" s="44">
        <f t="shared" si="34"/>
        <v>73.728000000000009</v>
      </c>
      <c r="DI33" s="44">
        <f t="shared" si="34"/>
        <v>58.982400000000013</v>
      </c>
      <c r="DJ33" s="44">
        <f t="shared" si="34"/>
        <v>47.18592000000001</v>
      </c>
      <c r="DK33" s="44">
        <f t="shared" si="34"/>
        <v>37.748736000000008</v>
      </c>
      <c r="DL33" s="44">
        <f t="shared" si="34"/>
        <v>30.198988800000009</v>
      </c>
      <c r="DM33" s="44">
        <f t="shared" ref="DM33:DR33" si="35">+DL33*0.9</f>
        <v>27.17908992000001</v>
      </c>
      <c r="DN33" s="44">
        <f t="shared" si="35"/>
        <v>24.461180928000008</v>
      </c>
      <c r="DO33" s="44">
        <f t="shared" si="35"/>
        <v>22.015062835200009</v>
      </c>
      <c r="DP33" s="44">
        <f t="shared" si="35"/>
        <v>19.813556551680009</v>
      </c>
      <c r="DQ33" s="44">
        <f t="shared" si="35"/>
        <v>17.83220089651201</v>
      </c>
      <c r="DR33" s="44">
        <f t="shared" si="35"/>
        <v>16.048980806860808</v>
      </c>
    </row>
    <row r="34" spans="1:122" s="11" customFormat="1">
      <c r="A34" s="35"/>
      <c r="B34" s="104" t="s">
        <v>476</v>
      </c>
      <c r="C34" s="44">
        <v>114</v>
      </c>
      <c r="D34" s="44">
        <v>128</v>
      </c>
      <c r="E34" s="44">
        <v>146</v>
      </c>
      <c r="F34" s="44">
        <v>173</v>
      </c>
      <c r="G34" s="44">
        <v>123</v>
      </c>
      <c r="H34" s="44">
        <v>148</v>
      </c>
      <c r="I34" s="44">
        <v>189</v>
      </c>
      <c r="J34" s="44">
        <v>184</v>
      </c>
      <c r="K34" s="44">
        <v>189</v>
      </c>
      <c r="L34" s="44">
        <v>228</v>
      </c>
      <c r="M34" s="44">
        <v>230</v>
      </c>
      <c r="N34" s="44">
        <v>207</v>
      </c>
      <c r="O34" s="44">
        <v>229</v>
      </c>
      <c r="P34" s="44">
        <v>249</v>
      </c>
      <c r="Q34" s="44">
        <v>258</v>
      </c>
      <c r="R34" s="44">
        <v>276</v>
      </c>
      <c r="S34" s="44">
        <v>277</v>
      </c>
      <c r="T34" s="44">
        <v>287</v>
      </c>
      <c r="U34" s="44">
        <v>276</v>
      </c>
      <c r="V34" s="44">
        <v>283</v>
      </c>
      <c r="W34" s="44">
        <f>580-X34</f>
        <v>274</v>
      </c>
      <c r="X34" s="44">
        <v>306</v>
      </c>
      <c r="Y34" s="44">
        <v>299</v>
      </c>
      <c r="Z34" s="44">
        <v>327</v>
      </c>
      <c r="AA34" s="44">
        <f>641-AB34</f>
        <v>310</v>
      </c>
      <c r="AB34" s="44">
        <v>331</v>
      </c>
      <c r="AC34" s="44">
        <v>324</v>
      </c>
      <c r="AD34" s="44">
        <v>370</v>
      </c>
      <c r="AE34" s="44">
        <v>316</v>
      </c>
      <c r="AF34" s="44">
        <v>358</v>
      </c>
      <c r="AG34" s="44">
        <v>300</v>
      </c>
      <c r="AH34" s="44">
        <v>284</v>
      </c>
      <c r="AI34" s="44">
        <v>236</v>
      </c>
      <c r="AJ34" s="44">
        <v>245</v>
      </c>
      <c r="AK34" s="56">
        <v>174</v>
      </c>
      <c r="AL34" s="44">
        <v>189</v>
      </c>
      <c r="AM34" s="44">
        <v>143</v>
      </c>
      <c r="AN34" s="44">
        <v>151</v>
      </c>
      <c r="AO34" s="44">
        <v>137</v>
      </c>
      <c r="AP34" s="44">
        <v>148</v>
      </c>
      <c r="AQ34" s="73">
        <v>133</v>
      </c>
      <c r="AR34" s="44">
        <f>AQ34-5</f>
        <v>128</v>
      </c>
      <c r="AS34" s="44">
        <v>137</v>
      </c>
      <c r="AT34" s="44">
        <v>142</v>
      </c>
      <c r="AU34" s="44">
        <v>113</v>
      </c>
      <c r="AV34" s="44"/>
      <c r="AW34" s="44"/>
      <c r="AX34" s="44"/>
      <c r="AY34" s="44">
        <v>92</v>
      </c>
      <c r="AZ34" s="44">
        <v>96</v>
      </c>
      <c r="BA34" s="44"/>
      <c r="BB34" s="44"/>
      <c r="BC34" s="44">
        <v>83</v>
      </c>
      <c r="BD34" s="44">
        <v>83</v>
      </c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78">
        <v>48</v>
      </c>
      <c r="BX34" s="78">
        <v>57</v>
      </c>
      <c r="BY34" s="78">
        <v>52</v>
      </c>
      <c r="BZ34" s="78">
        <v>43</v>
      </c>
      <c r="CA34" s="78">
        <v>42</v>
      </c>
      <c r="CB34" s="78">
        <v>47</v>
      </c>
      <c r="CC34" s="78">
        <v>44</v>
      </c>
      <c r="CD34" s="78">
        <v>39</v>
      </c>
      <c r="CE34" s="78">
        <v>42</v>
      </c>
      <c r="CF34" s="78">
        <v>41</v>
      </c>
      <c r="CG34" s="78">
        <v>38</v>
      </c>
      <c r="CH34" s="78">
        <v>22</v>
      </c>
      <c r="CI34" s="78">
        <v>21</v>
      </c>
      <c r="CJ34" s="78">
        <v>21</v>
      </c>
      <c r="CK34" s="78"/>
      <c r="CL34" s="78"/>
      <c r="CM34" s="78"/>
      <c r="CN34" s="78"/>
      <c r="CO34" s="78"/>
      <c r="CP34" s="78"/>
      <c r="CQ34" s="44"/>
      <c r="CR34" s="44"/>
      <c r="CS34" s="44"/>
      <c r="CT34" s="43"/>
      <c r="CU34" s="44">
        <v>644</v>
      </c>
      <c r="CV34" s="44">
        <v>854</v>
      </c>
      <c r="CW34" s="44">
        <v>1012</v>
      </c>
      <c r="CX34" s="44">
        <f>SUM(S34:V34)</f>
        <v>1123</v>
      </c>
      <c r="CY34" s="44">
        <f>SUM(W34:Z34)</f>
        <v>1206</v>
      </c>
      <c r="CZ34" s="44">
        <f>SUM(AA34:AD34)</f>
        <v>1335</v>
      </c>
      <c r="DA34" s="44">
        <f>SUM(AE34:AH34)</f>
        <v>1258</v>
      </c>
      <c r="DB34" s="44">
        <f>SUM(AI34:AL34)</f>
        <v>844</v>
      </c>
      <c r="DC34" s="44">
        <f>SUM(AM34:AP34)</f>
        <v>579</v>
      </c>
      <c r="DD34" s="44">
        <f>SUM(AQ34:AT34)</f>
        <v>540</v>
      </c>
      <c r="DE34" s="44">
        <f>SUM(AU34:AX34)</f>
        <v>113</v>
      </c>
      <c r="DF34" s="44">
        <f>+DE34*0.8</f>
        <v>90.4</v>
      </c>
      <c r="DG34" s="44">
        <f t="shared" ref="DG34:DL34" si="36">+DF34*0.8</f>
        <v>72.320000000000007</v>
      </c>
      <c r="DH34" s="44">
        <f t="shared" si="36"/>
        <v>57.856000000000009</v>
      </c>
      <c r="DI34" s="44">
        <f t="shared" si="36"/>
        <v>46.284800000000011</v>
      </c>
      <c r="DJ34" s="44">
        <f t="shared" si="36"/>
        <v>37.027840000000012</v>
      </c>
      <c r="DK34" s="44">
        <f t="shared" si="36"/>
        <v>29.622272000000009</v>
      </c>
      <c r="DL34" s="44">
        <f t="shared" si="36"/>
        <v>23.697817600000008</v>
      </c>
      <c r="DM34" s="44">
        <f t="shared" ref="DM34:DR34" si="37">+DL34*0.9</f>
        <v>21.328035840000009</v>
      </c>
      <c r="DN34" s="44">
        <f t="shared" si="37"/>
        <v>19.195232256000008</v>
      </c>
      <c r="DO34" s="44">
        <f t="shared" si="37"/>
        <v>17.275709030400009</v>
      </c>
      <c r="DP34" s="44">
        <f t="shared" si="37"/>
        <v>15.548138127360009</v>
      </c>
      <c r="DQ34" s="44">
        <f t="shared" si="37"/>
        <v>13.993324314624008</v>
      </c>
      <c r="DR34" s="44">
        <f t="shared" si="37"/>
        <v>12.593991883161607</v>
      </c>
    </row>
    <row r="35" spans="1:122" s="11" customFormat="1">
      <c r="A35" s="35"/>
      <c r="B35" s="104" t="s">
        <v>545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6"/>
      <c r="AL35" s="44"/>
      <c r="AM35" s="44"/>
      <c r="AN35" s="44"/>
      <c r="AO35" s="44"/>
      <c r="AP35" s="44"/>
      <c r="AQ35" s="7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78">
        <v>10</v>
      </c>
      <c r="BX35" s="78">
        <v>10</v>
      </c>
      <c r="BY35" s="78">
        <v>10</v>
      </c>
      <c r="BZ35" s="78">
        <v>12</v>
      </c>
      <c r="CA35" s="78">
        <v>12</v>
      </c>
      <c r="CB35" s="78">
        <v>10</v>
      </c>
      <c r="CC35" s="78">
        <v>14</v>
      </c>
      <c r="CD35" s="78">
        <v>12</v>
      </c>
      <c r="CE35" s="78">
        <v>13</v>
      </c>
      <c r="CF35" s="78">
        <v>13</v>
      </c>
      <c r="CG35" s="78">
        <v>13</v>
      </c>
      <c r="CH35" s="78">
        <v>15</v>
      </c>
      <c r="CI35" s="78">
        <v>15</v>
      </c>
      <c r="CJ35" s="78">
        <v>15</v>
      </c>
      <c r="CK35" s="78"/>
      <c r="CL35" s="78"/>
      <c r="CM35" s="78"/>
      <c r="CN35" s="78"/>
      <c r="CO35" s="78"/>
      <c r="CP35" s="78"/>
      <c r="CQ35" s="44"/>
      <c r="CR35" s="44"/>
      <c r="CS35" s="44"/>
      <c r="CT35" s="43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</row>
    <row r="36" spans="1:122" s="11" customFormat="1">
      <c r="A36" s="35"/>
      <c r="B36" s="104" t="s">
        <v>43</v>
      </c>
      <c r="C36" s="44">
        <v>7</v>
      </c>
      <c r="D36" s="44">
        <v>8</v>
      </c>
      <c r="E36" s="44">
        <v>7</v>
      </c>
      <c r="F36" s="44">
        <v>4</v>
      </c>
      <c r="G36" s="44">
        <v>5</v>
      </c>
      <c r="H36" s="44">
        <v>6</v>
      </c>
      <c r="I36" s="44">
        <v>3</v>
      </c>
      <c r="J36" s="44">
        <v>4</v>
      </c>
      <c r="K36" s="44">
        <v>4</v>
      </c>
      <c r="L36" s="44">
        <v>5</v>
      </c>
      <c r="M36" s="44">
        <v>5</v>
      </c>
      <c r="N36" s="44">
        <v>4.4000000000000004</v>
      </c>
      <c r="O36" s="44">
        <v>4</v>
      </c>
      <c r="P36" s="44">
        <v>4</v>
      </c>
      <c r="Q36" s="44">
        <v>3</v>
      </c>
      <c r="R36" s="44">
        <v>3</v>
      </c>
      <c r="S36" s="44">
        <v>3</v>
      </c>
      <c r="T36" s="44">
        <v>3</v>
      </c>
      <c r="U36" s="44">
        <v>2</v>
      </c>
      <c r="V36" s="44">
        <v>2</v>
      </c>
      <c r="W36" s="44">
        <v>3</v>
      </c>
      <c r="X36" s="44">
        <v>3</v>
      </c>
      <c r="Y36" s="44">
        <v>78</v>
      </c>
      <c r="Z36" s="44">
        <v>83</v>
      </c>
      <c r="AA36" s="44">
        <v>16</v>
      </c>
      <c r="AB36" s="44">
        <f>90-AB22-AB64</f>
        <v>17</v>
      </c>
      <c r="AC36" s="44">
        <v>93</v>
      </c>
      <c r="AD36" s="44">
        <v>20</v>
      </c>
      <c r="AE36" s="44">
        <v>18</v>
      </c>
      <c r="AF36" s="44">
        <v>107</v>
      </c>
      <c r="AG36" s="44">
        <v>105</v>
      </c>
      <c r="AH36" s="44">
        <v>104</v>
      </c>
      <c r="AI36" s="44">
        <v>80</v>
      </c>
      <c r="AJ36" s="44">
        <v>87</v>
      </c>
      <c r="AK36" s="56">
        <v>90</v>
      </c>
      <c r="AL36" s="44">
        <v>98</v>
      </c>
      <c r="AM36" s="44">
        <v>95</v>
      </c>
      <c r="AN36" s="44">
        <v>104</v>
      </c>
      <c r="AO36" s="44">
        <v>108</v>
      </c>
      <c r="AP36" s="44">
        <v>139</v>
      </c>
      <c r="AQ36" s="73">
        <f>150-AQ22-AQ64</f>
        <v>4</v>
      </c>
      <c r="AR36" s="44">
        <f>AQ36</f>
        <v>4</v>
      </c>
      <c r="AS36" s="44">
        <v>168</v>
      </c>
      <c r="AT36" s="44">
        <v>184</v>
      </c>
      <c r="AU36" s="44">
        <f>29-AU66</f>
        <v>24</v>
      </c>
      <c r="AV36" s="44"/>
      <c r="AW36" s="44"/>
      <c r="AX36" s="44"/>
      <c r="AY36" s="44"/>
      <c r="AZ36" s="44"/>
      <c r="BA36" s="44"/>
      <c r="BB36" s="44"/>
      <c r="BC36" s="44">
        <v>31</v>
      </c>
      <c r="BD36" s="44">
        <v>35</v>
      </c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78">
        <v>20</v>
      </c>
      <c r="BX36" s="78">
        <v>28</v>
      </c>
      <c r="BY36" s="78">
        <v>20</v>
      </c>
      <c r="BZ36" s="78">
        <v>26</v>
      </c>
      <c r="CA36" s="78">
        <v>13</v>
      </c>
      <c r="CB36" s="78">
        <v>12</v>
      </c>
      <c r="CC36" s="78">
        <v>13</v>
      </c>
      <c r="CD36" s="78">
        <v>13</v>
      </c>
      <c r="CE36" s="78">
        <v>12</v>
      </c>
      <c r="CF36" s="78">
        <v>13</v>
      </c>
      <c r="CG36" s="78">
        <v>13</v>
      </c>
      <c r="CH36" s="78">
        <v>13</v>
      </c>
      <c r="CI36" s="78">
        <v>12</v>
      </c>
      <c r="CJ36" s="78">
        <v>12</v>
      </c>
      <c r="CK36" s="78"/>
      <c r="CL36" s="78"/>
      <c r="CM36" s="78"/>
      <c r="CN36" s="78"/>
      <c r="CO36" s="78"/>
      <c r="CP36" s="78"/>
      <c r="CQ36" s="44"/>
      <c r="CR36" s="44"/>
      <c r="CS36" s="44"/>
      <c r="CT36" s="44"/>
      <c r="CU36" s="44">
        <v>18</v>
      </c>
      <c r="CV36" s="44">
        <v>18.399999999999999</v>
      </c>
      <c r="CW36" s="44">
        <v>14</v>
      </c>
      <c r="CX36" s="44">
        <f>SUM(S36:V36)</f>
        <v>10</v>
      </c>
      <c r="CY36" s="44">
        <f>SUM(W36:Z36)</f>
        <v>167</v>
      </c>
      <c r="CZ36" s="44">
        <f>SUM(AA36:AD36)</f>
        <v>146</v>
      </c>
      <c r="DA36" s="44">
        <f>CZ36</f>
        <v>146</v>
      </c>
      <c r="DB36" s="44">
        <f>SUM(AI36:AL36)</f>
        <v>355</v>
      </c>
      <c r="DC36" s="44">
        <f>SUM(AM36:AP36)</f>
        <v>446</v>
      </c>
      <c r="DD36" s="44">
        <f>SUM(AQ36:AT36)</f>
        <v>360</v>
      </c>
      <c r="DE36" s="44">
        <f>SUM(AU36:AX36)</f>
        <v>24</v>
      </c>
      <c r="DF36" s="44">
        <f t="shared" ref="DF36:DL36" si="38">+DE36*0.9</f>
        <v>21.6</v>
      </c>
      <c r="DG36" s="44">
        <f t="shared" si="38"/>
        <v>19.440000000000001</v>
      </c>
      <c r="DH36" s="44">
        <f t="shared" si="38"/>
        <v>17.496000000000002</v>
      </c>
      <c r="DI36" s="44">
        <f t="shared" si="38"/>
        <v>15.746400000000003</v>
      </c>
      <c r="DJ36" s="44">
        <f t="shared" si="38"/>
        <v>14.171760000000003</v>
      </c>
      <c r="DK36" s="44">
        <f t="shared" si="38"/>
        <v>12.754584000000003</v>
      </c>
      <c r="DL36" s="44">
        <f t="shared" si="38"/>
        <v>11.479125600000003</v>
      </c>
      <c r="DM36" s="44">
        <f t="shared" ref="DM36:DR36" si="39">+DL36*0.9</f>
        <v>10.331213040000003</v>
      </c>
      <c r="DN36" s="44">
        <f t="shared" si="39"/>
        <v>9.2980917360000035</v>
      </c>
      <c r="DO36" s="44">
        <f t="shared" si="39"/>
        <v>8.3682825624000028</v>
      </c>
      <c r="DP36" s="44">
        <f t="shared" si="39"/>
        <v>7.5314543061600023</v>
      </c>
      <c r="DQ36" s="44">
        <f t="shared" si="39"/>
        <v>6.7783088755440026</v>
      </c>
      <c r="DR36" s="44">
        <f t="shared" si="39"/>
        <v>6.1004779879896027</v>
      </c>
    </row>
    <row r="37" spans="1:122" s="11" customFormat="1">
      <c r="A37" s="35"/>
      <c r="B37" s="103" t="s">
        <v>533</v>
      </c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6"/>
      <c r="AL37" s="75"/>
      <c r="AM37" s="75"/>
      <c r="AN37" s="75"/>
      <c r="AO37" s="75"/>
      <c r="AP37" s="75"/>
      <c r="AQ37" s="76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81">
        <v>0</v>
      </c>
      <c r="BX37" s="81">
        <v>0</v>
      </c>
      <c r="BY37" s="81">
        <v>0</v>
      </c>
      <c r="BZ37" s="81">
        <v>0</v>
      </c>
      <c r="CA37" s="81">
        <v>0</v>
      </c>
      <c r="CB37" s="81">
        <v>0</v>
      </c>
      <c r="CC37" s="81">
        <v>0</v>
      </c>
      <c r="CD37" s="81">
        <v>0</v>
      </c>
      <c r="CE37" s="81">
        <v>1</v>
      </c>
      <c r="CF37" s="81">
        <v>3</v>
      </c>
      <c r="CG37" s="81">
        <v>5</v>
      </c>
      <c r="CH37" s="81">
        <v>7</v>
      </c>
      <c r="CI37" s="81">
        <v>11</v>
      </c>
      <c r="CJ37" s="81">
        <v>18</v>
      </c>
      <c r="CK37" s="81"/>
      <c r="CL37" s="81"/>
      <c r="CM37" s="81"/>
      <c r="CN37" s="81"/>
      <c r="CO37" s="81"/>
      <c r="CP37" s="81"/>
      <c r="CQ37" s="75"/>
      <c r="CR37" s="75"/>
      <c r="CS37" s="75"/>
      <c r="CT37" s="75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</row>
    <row r="38" spans="1:122" s="11" customFormat="1">
      <c r="A38" s="35"/>
      <c r="B38" s="103" t="s">
        <v>541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L38" s="75"/>
      <c r="AM38" s="75"/>
      <c r="AN38" s="75"/>
      <c r="AO38" s="75"/>
      <c r="AP38" s="75"/>
      <c r="AQ38" s="76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0</v>
      </c>
      <c r="CE38" s="81">
        <v>0</v>
      </c>
      <c r="CF38" s="81">
        <v>0</v>
      </c>
      <c r="CG38" s="81">
        <v>1</v>
      </c>
      <c r="CH38" s="81">
        <v>7</v>
      </c>
      <c r="CI38" s="81">
        <v>11</v>
      </c>
      <c r="CJ38" s="81">
        <v>24</v>
      </c>
      <c r="CK38" s="81"/>
      <c r="CL38" s="81"/>
      <c r="CM38" s="81"/>
      <c r="CN38" s="81"/>
      <c r="CO38" s="81"/>
      <c r="CP38" s="81"/>
      <c r="CQ38" s="75"/>
      <c r="CR38" s="75"/>
      <c r="CS38" s="75"/>
      <c r="CT38" s="75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</row>
    <row r="39" spans="1:122" s="11" customFormat="1">
      <c r="A39" s="35"/>
      <c r="B39" s="103" t="s">
        <v>534</v>
      </c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6"/>
      <c r="AL39" s="75"/>
      <c r="AM39" s="75"/>
      <c r="AN39" s="75"/>
      <c r="AO39" s="75"/>
      <c r="AP39" s="75"/>
      <c r="AQ39" s="76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0</v>
      </c>
      <c r="CE39" s="81">
        <v>0</v>
      </c>
      <c r="CF39" s="81">
        <v>0</v>
      </c>
      <c r="CG39" s="81">
        <v>10</v>
      </c>
      <c r="CH39" s="81">
        <v>6</v>
      </c>
      <c r="CI39" s="81">
        <v>13</v>
      </c>
      <c r="CJ39" s="81">
        <v>11</v>
      </c>
      <c r="CK39" s="81"/>
      <c r="CL39" s="81"/>
      <c r="CM39" s="81"/>
      <c r="CN39" s="81"/>
      <c r="CO39" s="81"/>
      <c r="CP39" s="81"/>
      <c r="CQ39" s="75"/>
      <c r="CR39" s="75"/>
      <c r="CS39" s="75"/>
      <c r="CT39" s="75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</row>
    <row r="40" spans="1:122" s="11" customFormat="1">
      <c r="A40" s="35"/>
      <c r="B40" s="104" t="s">
        <v>241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>
        <v>0</v>
      </c>
      <c r="AD40" s="44">
        <v>53</v>
      </c>
      <c r="AE40" s="44"/>
      <c r="AF40" s="44">
        <v>0</v>
      </c>
      <c r="AG40" s="44">
        <v>71</v>
      </c>
      <c r="AH40" s="44">
        <v>33</v>
      </c>
      <c r="AI40" s="44">
        <v>2</v>
      </c>
      <c r="AJ40" s="44">
        <v>0</v>
      </c>
      <c r="AK40" s="56">
        <v>92</v>
      </c>
      <c r="AL40" s="44">
        <v>51</v>
      </c>
      <c r="AM40" s="44">
        <v>2</v>
      </c>
      <c r="AN40" s="44">
        <v>1</v>
      </c>
      <c r="AO40" s="44">
        <v>120</v>
      </c>
      <c r="AP40" s="44">
        <v>51</v>
      </c>
      <c r="AQ40" s="73">
        <v>3</v>
      </c>
      <c r="AR40" s="44">
        <f>AN40</f>
        <v>1</v>
      </c>
      <c r="AS40" s="44">
        <v>124</v>
      </c>
      <c r="AT40" s="44">
        <v>34</v>
      </c>
      <c r="AU40" s="44">
        <v>2</v>
      </c>
      <c r="AV40" s="44"/>
      <c r="AW40" s="44"/>
      <c r="AX40" s="44"/>
      <c r="AY40" s="44"/>
      <c r="AZ40" s="44"/>
      <c r="BA40" s="44"/>
      <c r="BB40" s="44"/>
      <c r="BC40" s="44">
        <v>7</v>
      </c>
      <c r="BD40" s="44">
        <v>5</v>
      </c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78">
        <v>0</v>
      </c>
      <c r="BX40" s="78">
        <v>0</v>
      </c>
      <c r="BY40" s="78">
        <v>0</v>
      </c>
      <c r="BZ40" s="78">
        <v>0</v>
      </c>
      <c r="CA40" s="78">
        <v>0</v>
      </c>
      <c r="CB40" s="78">
        <v>0</v>
      </c>
      <c r="CC40" s="78">
        <v>116</v>
      </c>
      <c r="CD40" s="78">
        <v>179</v>
      </c>
      <c r="CE40" s="78">
        <v>2</v>
      </c>
      <c r="CF40" s="78">
        <v>1</v>
      </c>
      <c r="CG40" s="78">
        <v>72</v>
      </c>
      <c r="CH40" s="78">
        <v>178</v>
      </c>
      <c r="CI40" s="78">
        <v>-1</v>
      </c>
      <c r="CJ40" s="78">
        <v>1</v>
      </c>
      <c r="CK40" s="78"/>
      <c r="CL40" s="78"/>
      <c r="CM40" s="78"/>
      <c r="CN40" s="78"/>
      <c r="CO40" s="78"/>
      <c r="CP40" s="78"/>
      <c r="CQ40" s="44"/>
      <c r="CR40" s="44"/>
      <c r="CS40" s="44"/>
      <c r="CT40" s="43"/>
      <c r="CU40" s="44"/>
      <c r="CV40" s="44"/>
      <c r="CW40" s="44"/>
      <c r="CX40" s="44"/>
      <c r="CY40" s="44"/>
      <c r="CZ40" s="44"/>
      <c r="DA40" s="44"/>
      <c r="DB40" s="44">
        <f>SUM(AI40:AL40)</f>
        <v>145</v>
      </c>
      <c r="DC40" s="44">
        <f>SUM(AM40:AP40)</f>
        <v>174</v>
      </c>
      <c r="DD40" s="44">
        <f>SUM(AQ40:AT40)</f>
        <v>162</v>
      </c>
      <c r="DE40" s="44">
        <f>SUM(AU40:AX40)</f>
        <v>2</v>
      </c>
      <c r="DF40" s="44">
        <f>+DE40*0.99</f>
        <v>1.98</v>
      </c>
      <c r="DG40" s="44">
        <f t="shared" ref="DG40:DM40" si="40">+DF40*0.99</f>
        <v>1.9601999999999999</v>
      </c>
      <c r="DH40" s="44">
        <f t="shared" si="40"/>
        <v>1.9405979999999998</v>
      </c>
      <c r="DI40" s="44">
        <f t="shared" si="40"/>
        <v>1.9211920199999999</v>
      </c>
      <c r="DJ40" s="44">
        <f t="shared" si="40"/>
        <v>1.9019800997999998</v>
      </c>
      <c r="DK40" s="44">
        <f t="shared" si="40"/>
        <v>1.8829602988019998</v>
      </c>
      <c r="DL40" s="44">
        <f t="shared" si="40"/>
        <v>1.8641306958139798</v>
      </c>
      <c r="DM40" s="44">
        <f t="shared" si="40"/>
        <v>1.8454893888558399</v>
      </c>
    </row>
    <row r="41" spans="1:122" s="11" customFormat="1">
      <c r="A41" s="35"/>
      <c r="B41" s="104" t="s">
        <v>188</v>
      </c>
      <c r="C41" s="44">
        <v>12</v>
      </c>
      <c r="D41" s="44">
        <v>9</v>
      </c>
      <c r="E41" s="44">
        <v>9</v>
      </c>
      <c r="F41" s="44">
        <v>14</v>
      </c>
      <c r="G41" s="44">
        <v>13</v>
      </c>
      <c r="H41" s="44">
        <v>17</v>
      </c>
      <c r="I41" s="44">
        <v>15</v>
      </c>
      <c r="J41" s="44">
        <v>18</v>
      </c>
      <c r="K41" s="44">
        <v>18</v>
      </c>
      <c r="L41" s="44">
        <v>17</v>
      </c>
      <c r="M41" s="44">
        <v>18</v>
      </c>
      <c r="N41" s="44">
        <v>23</v>
      </c>
      <c r="O41" s="44">
        <v>21</v>
      </c>
      <c r="P41" s="44">
        <v>17</v>
      </c>
      <c r="Q41" s="44">
        <v>26</v>
      </c>
      <c r="R41" s="44">
        <v>24</v>
      </c>
      <c r="S41" s="44">
        <v>17</v>
      </c>
      <c r="T41" s="44">
        <v>19</v>
      </c>
      <c r="U41" s="44">
        <v>15</v>
      </c>
      <c r="V41" s="44">
        <v>19</v>
      </c>
      <c r="W41" s="44">
        <v>18</v>
      </c>
      <c r="X41" s="44">
        <v>15</v>
      </c>
      <c r="Y41" s="44">
        <v>21</v>
      </c>
      <c r="Z41" s="44">
        <v>24</v>
      </c>
      <c r="AA41" s="44">
        <v>20</v>
      </c>
      <c r="AB41" s="44">
        <v>20</v>
      </c>
      <c r="AC41" s="44">
        <v>20</v>
      </c>
      <c r="AD41" s="44">
        <v>24</v>
      </c>
      <c r="AE41" s="44">
        <v>20</v>
      </c>
      <c r="AF41" s="44">
        <v>21</v>
      </c>
      <c r="AG41" s="44">
        <v>25</v>
      </c>
      <c r="AH41" s="44">
        <v>23</v>
      </c>
      <c r="AI41" s="44">
        <v>24</v>
      </c>
      <c r="AJ41" s="44">
        <v>23</v>
      </c>
      <c r="AK41" s="56">
        <v>34</v>
      </c>
      <c r="AL41" s="44">
        <v>25</v>
      </c>
      <c r="AM41" s="44">
        <v>32</v>
      </c>
      <c r="AN41" s="44">
        <v>38</v>
      </c>
      <c r="AO41" s="44">
        <v>37</v>
      </c>
      <c r="AP41" s="44">
        <v>26</v>
      </c>
      <c r="AQ41" s="73">
        <v>39</v>
      </c>
      <c r="AR41" s="44">
        <f>AQ41</f>
        <v>39</v>
      </c>
      <c r="AS41" s="44">
        <v>37</v>
      </c>
      <c r="AT41" s="44">
        <v>49</v>
      </c>
      <c r="AU41" s="44">
        <v>52</v>
      </c>
      <c r="AV41" s="44"/>
      <c r="AW41" s="44"/>
      <c r="AX41" s="44"/>
      <c r="AY41" s="44"/>
      <c r="AZ41" s="44"/>
      <c r="BA41" s="44"/>
      <c r="BB41" s="44"/>
      <c r="BC41" s="44">
        <v>203</v>
      </c>
      <c r="BD41" s="44">
        <v>206</v>
      </c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78">
        <v>47</v>
      </c>
      <c r="BX41" s="78">
        <v>52</v>
      </c>
      <c r="BY41" s="78">
        <v>56</v>
      </c>
      <c r="BZ41" s="78">
        <v>151</v>
      </c>
      <c r="CA41" s="78">
        <v>44</v>
      </c>
      <c r="CB41" s="78">
        <v>24</v>
      </c>
      <c r="CC41" s="78">
        <v>19</v>
      </c>
      <c r="CD41" s="78">
        <v>41</v>
      </c>
      <c r="CE41" s="78">
        <v>36</v>
      </c>
      <c r="CF41" s="78">
        <v>26</v>
      </c>
      <c r="CG41" s="78">
        <v>24</v>
      </c>
      <c r="CH41" s="78">
        <v>20</v>
      </c>
      <c r="CI41" s="78">
        <v>93</v>
      </c>
      <c r="CJ41" s="78">
        <v>75</v>
      </c>
      <c r="CK41" s="78"/>
      <c r="CL41" s="78"/>
      <c r="CM41" s="78"/>
      <c r="CN41" s="78"/>
      <c r="CO41" s="78"/>
      <c r="CP41" s="78"/>
      <c r="CQ41" s="44"/>
      <c r="CR41" s="44"/>
      <c r="CS41" s="44"/>
      <c r="CT41" s="43"/>
      <c r="CU41" s="44">
        <v>63</v>
      </c>
      <c r="CV41" s="44">
        <v>76</v>
      </c>
      <c r="CW41" s="44">
        <v>88</v>
      </c>
      <c r="CX41" s="44">
        <f t="shared" ref="CX41:CX45" si="41">SUM(S41:V41)</f>
        <v>70</v>
      </c>
      <c r="CY41" s="44">
        <f>SUM(W41:Z41)</f>
        <v>78</v>
      </c>
      <c r="CZ41" s="44">
        <f t="shared" ref="CZ41:CZ45" si="42">SUM(AA41:AD41)</f>
        <v>84</v>
      </c>
      <c r="DA41" s="44">
        <f>CZ41</f>
        <v>84</v>
      </c>
      <c r="DB41" s="44">
        <f>SUM(AI41:AL41)</f>
        <v>106</v>
      </c>
      <c r="DC41" s="44">
        <f>SUM(AM41:AP41)</f>
        <v>133</v>
      </c>
      <c r="DD41" s="44">
        <f>SUM(AQ41:AT41)</f>
        <v>164</v>
      </c>
      <c r="DE41" s="44">
        <f>SUM(AU41:AX41)</f>
        <v>52</v>
      </c>
      <c r="DF41" s="44">
        <f t="shared" ref="DF41:DL41" si="43">+DE41*0.9</f>
        <v>46.800000000000004</v>
      </c>
      <c r="DG41" s="44">
        <f t="shared" si="43"/>
        <v>42.120000000000005</v>
      </c>
      <c r="DH41" s="44">
        <f t="shared" si="43"/>
        <v>37.908000000000008</v>
      </c>
      <c r="DI41" s="44">
        <f t="shared" si="43"/>
        <v>34.117200000000011</v>
      </c>
      <c r="DJ41" s="44">
        <f t="shared" si="43"/>
        <v>30.705480000000012</v>
      </c>
      <c r="DK41" s="44">
        <f t="shared" si="43"/>
        <v>27.63493200000001</v>
      </c>
      <c r="DL41" s="44">
        <f t="shared" si="43"/>
        <v>24.871438800000011</v>
      </c>
      <c r="DM41" s="44">
        <f t="shared" ref="DM41:DR41" si="44">+DL41*0.9</f>
        <v>22.384294920000009</v>
      </c>
      <c r="DN41" s="44">
        <f t="shared" si="44"/>
        <v>20.145865428000008</v>
      </c>
      <c r="DO41" s="44">
        <f t="shared" si="44"/>
        <v>18.131278885200008</v>
      </c>
      <c r="DP41" s="44">
        <f t="shared" si="44"/>
        <v>16.318150996680007</v>
      </c>
      <c r="DQ41" s="44">
        <f t="shared" si="44"/>
        <v>14.686335897012007</v>
      </c>
      <c r="DR41" s="44">
        <f t="shared" si="44"/>
        <v>13.217702307310807</v>
      </c>
    </row>
    <row r="42" spans="1:122" s="11" customFormat="1">
      <c r="A42" s="35"/>
      <c r="B42" s="104" t="s">
        <v>352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>
        <v>0</v>
      </c>
      <c r="AB42" s="44">
        <v>16</v>
      </c>
      <c r="AC42" s="44">
        <v>122</v>
      </c>
      <c r="AD42" s="44">
        <v>480</v>
      </c>
      <c r="AE42" s="44">
        <v>519</v>
      </c>
      <c r="AF42" s="44">
        <v>81</v>
      </c>
      <c r="AG42" s="44">
        <v>124</v>
      </c>
      <c r="AH42" s="44">
        <v>506</v>
      </c>
      <c r="AI42" s="44">
        <v>545</v>
      </c>
      <c r="AJ42" s="44">
        <v>54</v>
      </c>
      <c r="AK42" s="56">
        <v>82</v>
      </c>
      <c r="AL42" s="44">
        <v>401</v>
      </c>
      <c r="AM42" s="44">
        <v>459</v>
      </c>
      <c r="AN42" s="44">
        <v>43</v>
      </c>
      <c r="AO42" s="44">
        <v>139</v>
      </c>
      <c r="AP42" s="44">
        <v>397</v>
      </c>
      <c r="AQ42" s="73">
        <v>408</v>
      </c>
      <c r="AR42" s="44">
        <f>AN42</f>
        <v>43</v>
      </c>
      <c r="AS42" s="44">
        <v>108</v>
      </c>
      <c r="AT42" s="44">
        <v>411</v>
      </c>
      <c r="AU42" s="44">
        <v>384</v>
      </c>
      <c r="AV42" s="44"/>
      <c r="AW42" s="44"/>
      <c r="AX42" s="44"/>
      <c r="AY42" s="44">
        <v>404</v>
      </c>
      <c r="AZ42" s="44"/>
      <c r="BA42" s="44"/>
      <c r="BB42" s="44"/>
      <c r="BC42" s="44">
        <v>328</v>
      </c>
      <c r="BD42" s="44">
        <v>47</v>
      </c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78">
        <v>53</v>
      </c>
      <c r="BX42" s="78">
        <v>96</v>
      </c>
      <c r="BY42" s="78">
        <v>146</v>
      </c>
      <c r="BZ42" s="78">
        <v>63</v>
      </c>
      <c r="CA42" s="78">
        <v>85</v>
      </c>
      <c r="CB42" s="78">
        <v>90</v>
      </c>
      <c r="CC42" s="78">
        <v>118</v>
      </c>
      <c r="CD42" s="78">
        <v>78</v>
      </c>
      <c r="CE42" s="78">
        <v>24</v>
      </c>
      <c r="CF42" s="78">
        <v>24</v>
      </c>
      <c r="CG42" s="78">
        <v>122</v>
      </c>
      <c r="CH42" s="78">
        <v>239</v>
      </c>
      <c r="CI42" s="78">
        <v>200</v>
      </c>
      <c r="CJ42" s="78">
        <v>80</v>
      </c>
      <c r="CK42" s="78"/>
      <c r="CL42" s="78"/>
      <c r="CM42" s="78"/>
      <c r="CN42" s="78"/>
      <c r="CO42" s="78"/>
      <c r="CP42" s="78"/>
      <c r="CQ42" s="44"/>
      <c r="CR42" s="44"/>
      <c r="CS42" s="44"/>
      <c r="CT42" s="43"/>
      <c r="CU42" s="44"/>
      <c r="CV42" s="44"/>
      <c r="CW42" s="44"/>
      <c r="CX42" s="44"/>
      <c r="CY42" s="44"/>
      <c r="CZ42" s="44">
        <f>SUM(AA42:AD42)</f>
        <v>618</v>
      </c>
      <c r="DA42" s="44">
        <f>SUM(AE42:AH42)</f>
        <v>1230</v>
      </c>
      <c r="DB42" s="44">
        <f>SUM(AI42:AL42)</f>
        <v>1082</v>
      </c>
      <c r="DC42" s="44">
        <f>SUM(AM42:AP42)</f>
        <v>1038</v>
      </c>
      <c r="DD42" s="44">
        <f>SUM(AQ42:AT42)</f>
        <v>970</v>
      </c>
      <c r="DE42" s="44">
        <f>SUM(AU42:AX42)</f>
        <v>384</v>
      </c>
      <c r="DF42" s="44">
        <f>+DE42*0.98</f>
        <v>376.32</v>
      </c>
      <c r="DG42" s="44">
        <f t="shared" ref="DG42:DR42" si="45">+DF42*0.98</f>
        <v>368.79359999999997</v>
      </c>
      <c r="DH42" s="44">
        <f t="shared" si="45"/>
        <v>361.41772799999995</v>
      </c>
      <c r="DI42" s="44">
        <f t="shared" si="45"/>
        <v>354.18937343999994</v>
      </c>
      <c r="DJ42" s="44">
        <f t="shared" si="45"/>
        <v>347.10558597119996</v>
      </c>
      <c r="DK42" s="44">
        <f t="shared" si="45"/>
        <v>340.16347425177594</v>
      </c>
      <c r="DL42" s="44">
        <f t="shared" si="45"/>
        <v>333.36020476674042</v>
      </c>
      <c r="DM42" s="44">
        <f t="shared" si="45"/>
        <v>326.69300067140563</v>
      </c>
      <c r="DN42" s="44">
        <f t="shared" si="45"/>
        <v>320.1591406579775</v>
      </c>
      <c r="DO42" s="44">
        <f t="shared" si="45"/>
        <v>313.75595784481794</v>
      </c>
      <c r="DP42" s="44">
        <f t="shared" si="45"/>
        <v>307.48083868792156</v>
      </c>
      <c r="DQ42" s="44">
        <f t="shared" si="45"/>
        <v>301.33122191416311</v>
      </c>
      <c r="DR42" s="44">
        <f t="shared" si="45"/>
        <v>295.30459747587986</v>
      </c>
    </row>
    <row r="43" spans="1:122" s="11" customFormat="1">
      <c r="A43" s="35"/>
      <c r="B43" s="104" t="s">
        <v>38</v>
      </c>
      <c r="C43" s="44">
        <v>41</v>
      </c>
      <c r="D43" s="44">
        <v>40</v>
      </c>
      <c r="E43" s="44">
        <v>34</v>
      </c>
      <c r="F43" s="44">
        <v>40</v>
      </c>
      <c r="G43" s="44">
        <v>35</v>
      </c>
      <c r="H43" s="44">
        <v>37</v>
      </c>
      <c r="I43" s="44">
        <v>34</v>
      </c>
      <c r="J43" s="44">
        <v>38</v>
      </c>
      <c r="K43" s="44">
        <v>38</v>
      </c>
      <c r="L43" s="44">
        <v>36</v>
      </c>
      <c r="M43" s="44">
        <v>36</v>
      </c>
      <c r="N43" s="44">
        <v>43</v>
      </c>
      <c r="O43" s="44">
        <v>42</v>
      </c>
      <c r="P43" s="44">
        <v>41</v>
      </c>
      <c r="Q43" s="44">
        <v>35</v>
      </c>
      <c r="R43" s="44">
        <v>40</v>
      </c>
      <c r="S43" s="44">
        <v>42</v>
      </c>
      <c r="T43" s="44">
        <v>39</v>
      </c>
      <c r="U43" s="44">
        <v>34</v>
      </c>
      <c r="V43" s="44">
        <v>40</v>
      </c>
      <c r="W43" s="44">
        <v>35</v>
      </c>
      <c r="X43" s="44">
        <v>37</v>
      </c>
      <c r="Y43" s="44">
        <v>33</v>
      </c>
      <c r="Z43" s="44">
        <v>41</v>
      </c>
      <c r="AA43" s="44">
        <v>42</v>
      </c>
      <c r="AB43" s="44">
        <v>40</v>
      </c>
      <c r="AC43" s="44">
        <v>39</v>
      </c>
      <c r="AD43" s="44">
        <v>45</v>
      </c>
      <c r="AE43" s="44">
        <v>43</v>
      </c>
      <c r="AF43" s="44">
        <v>45</v>
      </c>
      <c r="AG43" s="44">
        <v>38</v>
      </c>
      <c r="AH43" s="44">
        <v>37</v>
      </c>
      <c r="AI43" s="44">
        <v>36</v>
      </c>
      <c r="AJ43" s="44">
        <v>31</v>
      </c>
      <c r="AK43" s="56">
        <v>31</v>
      </c>
      <c r="AL43" s="44">
        <v>37</v>
      </c>
      <c r="AM43" s="44">
        <v>69</v>
      </c>
      <c r="AN43" s="44">
        <v>64</v>
      </c>
      <c r="AO43" s="44">
        <v>61</v>
      </c>
      <c r="AP43" s="44">
        <v>60</v>
      </c>
      <c r="AQ43" s="73">
        <v>55</v>
      </c>
      <c r="AR43" s="44">
        <f>AQ43</f>
        <v>55</v>
      </c>
      <c r="AS43" s="44">
        <v>52</v>
      </c>
      <c r="AT43" s="44">
        <v>54</v>
      </c>
      <c r="AU43" s="44">
        <v>48</v>
      </c>
      <c r="AV43" s="44"/>
      <c r="AW43" s="44"/>
      <c r="AX43" s="44"/>
      <c r="AY43" s="44"/>
      <c r="AZ43" s="44"/>
      <c r="BA43" s="44"/>
      <c r="BB43" s="44"/>
      <c r="BC43" s="44">
        <v>80</v>
      </c>
      <c r="BD43" s="44">
        <v>75</v>
      </c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78">
        <v>128</v>
      </c>
      <c r="BX43" s="78">
        <v>101</v>
      </c>
      <c r="BY43" s="78">
        <v>102</v>
      </c>
      <c r="BZ43" s="78">
        <v>135</v>
      </c>
      <c r="CA43" s="78">
        <v>113</v>
      </c>
      <c r="CB43" s="78">
        <v>70</v>
      </c>
      <c r="CC43" s="78">
        <v>90</v>
      </c>
      <c r="CD43" s="78">
        <v>125</v>
      </c>
      <c r="CE43" s="78">
        <v>160</v>
      </c>
      <c r="CF43" s="78">
        <v>130</v>
      </c>
      <c r="CG43" s="78">
        <v>153</v>
      </c>
      <c r="CH43" s="78">
        <v>150</v>
      </c>
      <c r="CI43" s="78">
        <v>146</v>
      </c>
      <c r="CJ43" s="78">
        <v>107</v>
      </c>
      <c r="CK43" s="78"/>
      <c r="CL43" s="78"/>
      <c r="CM43" s="78"/>
      <c r="CN43" s="78"/>
      <c r="CO43" s="78"/>
      <c r="CP43" s="78"/>
      <c r="CQ43" s="44"/>
      <c r="CR43" s="44"/>
      <c r="CS43" s="44"/>
      <c r="CT43" s="43"/>
      <c r="CU43" s="44">
        <v>144</v>
      </c>
      <c r="CV43" s="44">
        <v>153</v>
      </c>
      <c r="CW43" s="44">
        <v>158</v>
      </c>
      <c r="CX43" s="44">
        <f>SUM(S43:V43)</f>
        <v>155</v>
      </c>
      <c r="CY43" s="44">
        <f>SUM(W43:Z43)</f>
        <v>146</v>
      </c>
      <c r="CZ43" s="44">
        <f>SUM(AA43:AD43)</f>
        <v>166</v>
      </c>
      <c r="DA43" s="44">
        <f>CZ43</f>
        <v>166</v>
      </c>
      <c r="DB43" s="44">
        <f>SUM(AI43:AL43)</f>
        <v>135</v>
      </c>
      <c r="DC43" s="44">
        <f>SUM(AM43:AP43)</f>
        <v>254</v>
      </c>
      <c r="DD43" s="44">
        <f>SUM(AQ43:AT43)</f>
        <v>216</v>
      </c>
      <c r="DE43" s="44">
        <f>SUM(AU43:AX43)</f>
        <v>48</v>
      </c>
      <c r="DF43" s="44">
        <f>+DE43*0.9</f>
        <v>43.2</v>
      </c>
      <c r="DG43" s="44">
        <f t="shared" ref="DG43:DL43" si="46">+DF43*0.9</f>
        <v>38.880000000000003</v>
      </c>
      <c r="DH43" s="44">
        <f t="shared" si="46"/>
        <v>34.992000000000004</v>
      </c>
      <c r="DI43" s="44">
        <f t="shared" si="46"/>
        <v>31.492800000000006</v>
      </c>
      <c r="DJ43" s="44">
        <f t="shared" si="46"/>
        <v>28.343520000000005</v>
      </c>
      <c r="DK43" s="44">
        <f t="shared" si="46"/>
        <v>25.509168000000006</v>
      </c>
      <c r="DL43" s="44">
        <f t="shared" si="46"/>
        <v>22.958251200000007</v>
      </c>
      <c r="DM43" s="44">
        <f t="shared" ref="DM43:DR43" si="47">+DL43*0.9</f>
        <v>20.662426080000007</v>
      </c>
      <c r="DN43" s="44">
        <f t="shared" si="47"/>
        <v>18.596183472000007</v>
      </c>
      <c r="DO43" s="44">
        <f t="shared" si="47"/>
        <v>16.736565124800006</v>
      </c>
      <c r="DP43" s="44">
        <f t="shared" si="47"/>
        <v>15.062908612320005</v>
      </c>
      <c r="DQ43" s="44">
        <f t="shared" si="47"/>
        <v>13.556617751088005</v>
      </c>
      <c r="DR43" s="44">
        <f t="shared" si="47"/>
        <v>12.200955975979205</v>
      </c>
    </row>
    <row r="44" spans="1:122" s="11" customFormat="1">
      <c r="A44" s="35"/>
      <c r="B44" s="104" t="s">
        <v>551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6"/>
      <c r="AL44" s="44"/>
      <c r="AM44" s="44"/>
      <c r="AN44" s="44"/>
      <c r="AO44" s="44"/>
      <c r="AP44" s="44"/>
      <c r="AQ44" s="7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78"/>
      <c r="BX44" s="78"/>
      <c r="BY44" s="78"/>
      <c r="BZ44" s="78">
        <v>414</v>
      </c>
      <c r="CA44" s="78">
        <v>43</v>
      </c>
      <c r="CB44" s="78">
        <v>227</v>
      </c>
      <c r="CC44" s="78">
        <v>58</v>
      </c>
      <c r="CD44" s="78">
        <v>399</v>
      </c>
      <c r="CE44" s="78">
        <v>63</v>
      </c>
      <c r="CF44" s="78">
        <v>175</v>
      </c>
      <c r="CG44" s="78">
        <v>125</v>
      </c>
      <c r="CH44" s="78">
        <v>513</v>
      </c>
      <c r="CI44" s="78">
        <v>410</v>
      </c>
      <c r="CJ44" s="78">
        <v>141</v>
      </c>
      <c r="CK44" s="78"/>
      <c r="CL44" s="78"/>
      <c r="CM44" s="78"/>
      <c r="CN44" s="78"/>
      <c r="CO44" s="78"/>
      <c r="CP44" s="78"/>
      <c r="CQ44" s="44"/>
      <c r="CR44" s="44"/>
      <c r="CS44" s="44"/>
      <c r="CT44" s="43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>
        <v>50</v>
      </c>
      <c r="DG44" s="44">
        <v>200</v>
      </c>
      <c r="DH44" s="44">
        <v>250</v>
      </c>
      <c r="DI44" s="44">
        <v>300</v>
      </c>
      <c r="DJ44" s="44">
        <f>+DI44*1.1</f>
        <v>330</v>
      </c>
      <c r="DK44" s="44">
        <f>+DJ44*1.1</f>
        <v>363.00000000000006</v>
      </c>
      <c r="DL44" s="44">
        <f>+DK44*1.1</f>
        <v>399.30000000000007</v>
      </c>
      <c r="DM44" s="44">
        <f>+DL44*1.1</f>
        <v>439.23000000000013</v>
      </c>
      <c r="DN44" s="44">
        <f>+DM44*1.1</f>
        <v>483.15300000000019</v>
      </c>
      <c r="DO44" s="44">
        <f>+DN44*0.5</f>
        <v>241.5765000000001</v>
      </c>
      <c r="DP44" s="44">
        <f>+DO44*0.9</f>
        <v>217.41885000000008</v>
      </c>
      <c r="DQ44" s="44">
        <f>+DP44*0.9</f>
        <v>195.67696500000008</v>
      </c>
      <c r="DR44" s="44">
        <f>+DQ44*0.9</f>
        <v>176.10926850000007</v>
      </c>
    </row>
    <row r="45" spans="1:122" s="11" customFormat="1">
      <c r="A45" s="35"/>
      <c r="B45" s="104" t="s">
        <v>298</v>
      </c>
      <c r="C45" s="44">
        <v>1467</v>
      </c>
      <c r="D45" s="44">
        <v>1345</v>
      </c>
      <c r="E45" s="44">
        <v>1394</v>
      </c>
      <c r="F45" s="44">
        <v>1372</v>
      </c>
      <c r="G45" s="44">
        <v>1192</v>
      </c>
      <c r="H45" s="44">
        <v>1116</v>
      </c>
      <c r="I45" s="44">
        <v>1200</v>
      </c>
      <c r="J45" s="44">
        <v>1115</v>
      </c>
      <c r="K45" s="44">
        <v>692</v>
      </c>
      <c r="L45" s="44">
        <v>742</v>
      </c>
      <c r="M45" s="44">
        <v>631</v>
      </c>
      <c r="N45" s="44">
        <v>500</v>
      </c>
      <c r="O45" s="44">
        <v>540</v>
      </c>
      <c r="P45" s="44">
        <v>531</v>
      </c>
      <c r="Q45" s="44">
        <v>430</v>
      </c>
      <c r="R45" s="44">
        <v>446</v>
      </c>
      <c r="S45" s="44">
        <v>427</v>
      </c>
      <c r="T45" s="44">
        <v>438</v>
      </c>
      <c r="U45" s="44">
        <v>376</v>
      </c>
      <c r="V45" s="44">
        <v>411</v>
      </c>
      <c r="W45" s="44">
        <f>700-X45</f>
        <v>344</v>
      </c>
      <c r="X45" s="44">
        <v>356</v>
      </c>
      <c r="Y45" s="44">
        <v>324</v>
      </c>
      <c r="Z45" s="44">
        <v>347</v>
      </c>
      <c r="AA45" s="44">
        <f>577-AB45</f>
        <v>279</v>
      </c>
      <c r="AB45" s="44">
        <v>298</v>
      </c>
      <c r="AC45" s="44">
        <v>268</v>
      </c>
      <c r="AD45" s="44">
        <v>298</v>
      </c>
      <c r="AE45" s="44">
        <v>252</v>
      </c>
      <c r="AF45" s="44">
        <v>290</v>
      </c>
      <c r="AG45" s="44">
        <v>249</v>
      </c>
      <c r="AH45" s="44">
        <v>264</v>
      </c>
      <c r="AI45" s="44">
        <v>211</v>
      </c>
      <c r="AJ45" s="44">
        <v>245</v>
      </c>
      <c r="AK45" s="56">
        <v>240</v>
      </c>
      <c r="AL45" s="44">
        <v>250</v>
      </c>
      <c r="AM45" s="44">
        <f>18+67+99+65</f>
        <v>249</v>
      </c>
      <c r="AN45" s="44">
        <v>261</v>
      </c>
      <c r="AO45" s="44">
        <v>233</v>
      </c>
      <c r="AP45" s="44">
        <v>243</v>
      </c>
      <c r="AQ45" s="73">
        <v>235</v>
      </c>
      <c r="AR45" s="44">
        <f t="shared" ref="AR45" si="48">AQ45-5</f>
        <v>230</v>
      </c>
      <c r="AS45" s="44">
        <v>224</v>
      </c>
      <c r="AT45" s="44">
        <v>248</v>
      </c>
      <c r="AU45" s="44">
        <v>170</v>
      </c>
      <c r="AV45" s="44"/>
      <c r="AW45" s="44"/>
      <c r="AX45" s="44"/>
      <c r="AY45" s="44">
        <v>125</v>
      </c>
      <c r="AZ45" s="44"/>
      <c r="BA45" s="44"/>
      <c r="BB45" s="44"/>
      <c r="BC45" s="44">
        <v>110</v>
      </c>
      <c r="BD45" s="44">
        <v>105</v>
      </c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78">
        <v>76</v>
      </c>
      <c r="BX45" s="78">
        <v>68</v>
      </c>
      <c r="BY45" s="78">
        <v>73</v>
      </c>
      <c r="BZ45" s="78">
        <v>46</v>
      </c>
      <c r="CA45" s="78">
        <v>54</v>
      </c>
      <c r="CB45" s="78">
        <v>45</v>
      </c>
      <c r="CC45" s="78">
        <v>45</v>
      </c>
      <c r="CD45" s="78">
        <v>39</v>
      </c>
      <c r="CE45" s="78">
        <v>54</v>
      </c>
      <c r="CF45" s="78">
        <v>46</v>
      </c>
      <c r="CG45" s="78">
        <v>38</v>
      </c>
      <c r="CH45" s="78">
        <v>41</v>
      </c>
      <c r="CI45" s="78">
        <v>0</v>
      </c>
      <c r="CJ45" s="78">
        <v>0</v>
      </c>
      <c r="CK45" s="78"/>
      <c r="CL45" s="78"/>
      <c r="CM45" s="78"/>
      <c r="CN45" s="78"/>
      <c r="CO45" s="78"/>
      <c r="CP45" s="78"/>
      <c r="CQ45" s="44"/>
      <c r="CR45" s="44"/>
      <c r="CS45" s="44"/>
      <c r="CT45" s="43"/>
      <c r="CU45" s="44">
        <v>4623</v>
      </c>
      <c r="CV45" s="44">
        <v>2565</v>
      </c>
      <c r="CW45" s="44">
        <v>1947</v>
      </c>
      <c r="CX45" s="44">
        <f t="shared" si="41"/>
        <v>1652</v>
      </c>
      <c r="CY45" s="44">
        <f t="shared" ref="CY45:CY54" si="49">SUM(W45:Z45)</f>
        <v>1371</v>
      </c>
      <c r="CZ45" s="44">
        <f t="shared" si="42"/>
        <v>1143</v>
      </c>
      <c r="DA45" s="44">
        <f>SUM(AE45:AH45)</f>
        <v>1055</v>
      </c>
      <c r="DB45" s="44">
        <f>SUM(AI45:AL45)</f>
        <v>946</v>
      </c>
      <c r="DC45" s="44">
        <f t="shared" ref="DC45:DC59" si="50">SUM(AM45:AP45)</f>
        <v>986</v>
      </c>
      <c r="DD45" s="44">
        <f t="shared" ref="DD45:DD60" si="51">SUM(AQ45:AT45)</f>
        <v>937</v>
      </c>
      <c r="DE45" s="44">
        <f t="shared" ref="DE45:DE52" si="52">SUM(AU45:AX45)</f>
        <v>170</v>
      </c>
      <c r="DF45" s="44">
        <f>DE45*0.8</f>
        <v>136</v>
      </c>
      <c r="DG45" s="44">
        <f t="shared" ref="DG45:DL45" si="53">DF45*0.8</f>
        <v>108.80000000000001</v>
      </c>
      <c r="DH45" s="44">
        <f t="shared" si="53"/>
        <v>87.04000000000002</v>
      </c>
      <c r="DI45" s="44">
        <f t="shared" si="53"/>
        <v>69.632000000000019</v>
      </c>
      <c r="DJ45" s="44">
        <f t="shared" si="53"/>
        <v>55.705600000000018</v>
      </c>
      <c r="DK45" s="44">
        <f t="shared" si="53"/>
        <v>44.564480000000017</v>
      </c>
      <c r="DL45" s="44">
        <f t="shared" si="53"/>
        <v>35.651584000000014</v>
      </c>
      <c r="DM45" s="44">
        <f t="shared" ref="DM45:DR45" si="54">+DL45*0.9</f>
        <v>32.086425600000013</v>
      </c>
      <c r="DN45" s="44">
        <f t="shared" si="54"/>
        <v>28.877783040000011</v>
      </c>
      <c r="DO45" s="44">
        <f t="shared" si="54"/>
        <v>25.99000473600001</v>
      </c>
      <c r="DP45" s="44">
        <f t="shared" si="54"/>
        <v>23.39100426240001</v>
      </c>
      <c r="DQ45" s="44">
        <f t="shared" si="54"/>
        <v>21.051903836160008</v>
      </c>
      <c r="DR45" s="44">
        <f t="shared" si="54"/>
        <v>18.946713452544007</v>
      </c>
    </row>
    <row r="46" spans="1:122" s="11" customFormat="1">
      <c r="A46" s="35"/>
      <c r="B46" s="104" t="s">
        <v>480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6"/>
      <c r="AL46" s="44"/>
      <c r="AM46" s="44"/>
      <c r="AN46" s="44"/>
      <c r="AO46" s="44"/>
      <c r="AP46" s="44"/>
      <c r="AQ46" s="73"/>
      <c r="AR46" s="44"/>
      <c r="AS46" s="44"/>
      <c r="AT46" s="44"/>
      <c r="AU46" s="44"/>
      <c r="AV46" s="44"/>
      <c r="AW46" s="44"/>
      <c r="AX46" s="44"/>
      <c r="AY46" s="44">
        <v>42</v>
      </c>
      <c r="AZ46" s="44">
        <v>53</v>
      </c>
      <c r="BA46" s="44"/>
      <c r="BB46" s="44"/>
      <c r="BC46" s="44">
        <v>78</v>
      </c>
      <c r="BD46" s="44">
        <v>88</v>
      </c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78">
        <v>30</v>
      </c>
      <c r="BX46" s="78">
        <v>25</v>
      </c>
      <c r="BY46" s="78">
        <v>28</v>
      </c>
      <c r="BZ46" s="78">
        <v>27</v>
      </c>
      <c r="CA46" s="78">
        <v>20</v>
      </c>
      <c r="CB46" s="78">
        <v>15</v>
      </c>
      <c r="CC46" s="78">
        <v>15</v>
      </c>
      <c r="CD46" s="78">
        <v>19</v>
      </c>
      <c r="CE46" s="78">
        <v>16</v>
      </c>
      <c r="CF46" s="78">
        <v>16</v>
      </c>
      <c r="CG46" s="78">
        <v>13</v>
      </c>
      <c r="CH46" s="78">
        <v>10</v>
      </c>
      <c r="CI46" s="78">
        <v>0</v>
      </c>
      <c r="CJ46" s="78">
        <v>0</v>
      </c>
      <c r="CK46" s="78"/>
      <c r="CL46" s="78"/>
      <c r="CM46" s="78"/>
      <c r="CN46" s="78"/>
      <c r="CO46" s="78"/>
      <c r="CP46" s="78"/>
      <c r="CQ46" s="44"/>
      <c r="CR46" s="44"/>
      <c r="CS46" s="44"/>
      <c r="CT46" s="43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>
        <v>400</v>
      </c>
      <c r="DF46" s="44">
        <f>+DE46*1.2</f>
        <v>480</v>
      </c>
      <c r="DG46" s="44">
        <f>+DF46*1.2</f>
        <v>576</v>
      </c>
      <c r="DH46" s="44">
        <f>+DG46*1.1</f>
        <v>633.6</v>
      </c>
      <c r="DI46" s="44">
        <f>+DH46*1.1</f>
        <v>696.96</v>
      </c>
      <c r="DJ46" s="44">
        <f>+DI46*1.1</f>
        <v>766.65600000000006</v>
      </c>
      <c r="DK46" s="44">
        <f>+DJ46*1.1</f>
        <v>843.3216000000001</v>
      </c>
      <c r="DL46" s="44">
        <f>+DK46*1.05</f>
        <v>885.48768000000018</v>
      </c>
      <c r="DM46" s="44">
        <f t="shared" ref="DM46:DR46" si="55">+DL46*1.05</f>
        <v>929.76206400000024</v>
      </c>
      <c r="DN46" s="44">
        <f t="shared" si="55"/>
        <v>976.25016720000031</v>
      </c>
      <c r="DO46" s="44">
        <f t="shared" si="55"/>
        <v>1025.0626755600003</v>
      </c>
      <c r="DP46" s="44">
        <f t="shared" si="55"/>
        <v>1076.3158093380005</v>
      </c>
      <c r="DQ46" s="44">
        <f t="shared" si="55"/>
        <v>1130.1315998049006</v>
      </c>
      <c r="DR46" s="44">
        <f t="shared" si="55"/>
        <v>1186.6381797951456</v>
      </c>
    </row>
    <row r="47" spans="1:122" s="11" customFormat="1">
      <c r="A47" s="35"/>
      <c r="B47" s="104" t="s">
        <v>448</v>
      </c>
      <c r="C47" s="44">
        <v>82</v>
      </c>
      <c r="D47" s="44">
        <v>112</v>
      </c>
      <c r="E47" s="44">
        <v>92</v>
      </c>
      <c r="F47" s="44">
        <v>124</v>
      </c>
      <c r="G47" s="44">
        <v>149</v>
      </c>
      <c r="H47" s="44">
        <v>129</v>
      </c>
      <c r="I47" s="44">
        <v>131</v>
      </c>
      <c r="J47" s="44">
        <v>160</v>
      </c>
      <c r="K47" s="44">
        <v>206</v>
      </c>
      <c r="L47" s="44">
        <v>152</v>
      </c>
      <c r="M47" s="44">
        <v>185</v>
      </c>
      <c r="N47" s="44">
        <v>207</v>
      </c>
      <c r="O47" s="44">
        <v>209</v>
      </c>
      <c r="P47" s="44">
        <v>216</v>
      </c>
      <c r="Q47" s="44">
        <v>214</v>
      </c>
      <c r="R47" s="44">
        <v>240</v>
      </c>
      <c r="S47" s="44">
        <v>235</v>
      </c>
      <c r="T47" s="44">
        <v>254</v>
      </c>
      <c r="U47" s="44">
        <v>238</v>
      </c>
      <c r="V47" s="44">
        <v>247</v>
      </c>
      <c r="W47" s="44">
        <f>530-X47</f>
        <v>254</v>
      </c>
      <c r="X47" s="44">
        <v>276</v>
      </c>
      <c r="Y47" s="44">
        <v>279</v>
      </c>
      <c r="Z47" s="44">
        <v>301</v>
      </c>
      <c r="AA47" s="44">
        <f>614-AB47</f>
        <v>296</v>
      </c>
      <c r="AB47" s="44">
        <v>318</v>
      </c>
      <c r="AC47" s="44">
        <v>320</v>
      </c>
      <c r="AD47" s="44">
        <v>353</v>
      </c>
      <c r="AE47" s="44">
        <v>346</v>
      </c>
      <c r="AF47" s="44">
        <v>388</v>
      </c>
      <c r="AG47" s="44">
        <v>386</v>
      </c>
      <c r="AH47" s="44">
        <v>351</v>
      </c>
      <c r="AI47" s="44">
        <v>323</v>
      </c>
      <c r="AJ47" s="44">
        <v>356</v>
      </c>
      <c r="AK47" s="56">
        <v>370</v>
      </c>
      <c r="AL47" s="44">
        <v>387</v>
      </c>
      <c r="AM47" s="44">
        <f>56+195+53+69</f>
        <v>373</v>
      </c>
      <c r="AN47" s="44">
        <v>376</v>
      </c>
      <c r="AO47" s="44">
        <v>359</v>
      </c>
      <c r="AP47" s="44">
        <v>375</v>
      </c>
      <c r="AQ47" s="73">
        <v>355</v>
      </c>
      <c r="AR47" s="44">
        <f>AQ47-5</f>
        <v>350</v>
      </c>
      <c r="AS47" s="44">
        <v>364</v>
      </c>
      <c r="AT47" s="44">
        <v>346</v>
      </c>
      <c r="AU47" s="44">
        <v>317</v>
      </c>
      <c r="AV47" s="44"/>
      <c r="AW47" s="44"/>
      <c r="AX47" s="44"/>
      <c r="AY47" s="44">
        <v>168</v>
      </c>
      <c r="AZ47" s="44">
        <v>166</v>
      </c>
      <c r="BA47" s="44"/>
      <c r="BB47" s="44"/>
      <c r="BC47" s="44">
        <v>122</v>
      </c>
      <c r="BD47" s="44">
        <v>139</v>
      </c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78">
        <v>50</v>
      </c>
      <c r="BX47" s="78">
        <v>56</v>
      </c>
      <c r="BY47" s="78">
        <v>55</v>
      </c>
      <c r="BZ47" s="78">
        <v>60</v>
      </c>
      <c r="CA47" s="78">
        <v>66</v>
      </c>
      <c r="CB47" s="78">
        <v>59</v>
      </c>
      <c r="CC47" s="78">
        <v>54</v>
      </c>
      <c r="CD47" s="78">
        <v>63</v>
      </c>
      <c r="CE47" s="78">
        <v>34</v>
      </c>
      <c r="CF47" s="78">
        <v>23</v>
      </c>
      <c r="CG47" s="78">
        <v>19</v>
      </c>
      <c r="CH47" s="78">
        <v>21</v>
      </c>
      <c r="CI47" s="78">
        <v>0</v>
      </c>
      <c r="CJ47" s="78">
        <v>0</v>
      </c>
      <c r="CK47" s="78"/>
      <c r="CL47" s="78"/>
      <c r="CM47" s="78"/>
      <c r="CN47" s="78"/>
      <c r="CO47" s="78"/>
      <c r="CP47" s="78"/>
      <c r="CQ47" s="44"/>
      <c r="CR47" s="44"/>
      <c r="CS47" s="44"/>
      <c r="CT47" s="43"/>
      <c r="CU47" s="44">
        <v>569</v>
      </c>
      <c r="CV47" s="44">
        <v>750</v>
      </c>
      <c r="CW47" s="44">
        <v>879</v>
      </c>
      <c r="CX47" s="44">
        <f>SUM(S47:V47)</f>
        <v>974</v>
      </c>
      <c r="CY47" s="44">
        <f>SUM(W47:Z47)</f>
        <v>1110</v>
      </c>
      <c r="CZ47" s="44">
        <f>SUM(AA47:AD47)</f>
        <v>1287</v>
      </c>
      <c r="DA47" s="44">
        <f>SUM(AE47:AH47)</f>
        <v>1471</v>
      </c>
      <c r="DB47" s="44">
        <f>SUM(AI47:AL47)</f>
        <v>1436</v>
      </c>
      <c r="DC47" s="44">
        <f>SUM(AM47:AP47)</f>
        <v>1483</v>
      </c>
      <c r="DD47" s="44">
        <f>SUM(AQ47:AT47)</f>
        <v>1415</v>
      </c>
      <c r="DE47" s="44">
        <f>SUM(AU47:AX47)</f>
        <v>317</v>
      </c>
      <c r="DF47" s="44">
        <f>+DE47*0.8</f>
        <v>253.60000000000002</v>
      </c>
      <c r="DG47" s="44">
        <f t="shared" ref="DG47:DL47" si="56">+DF47*0.8</f>
        <v>202.88000000000002</v>
      </c>
      <c r="DH47" s="44">
        <f t="shared" si="56"/>
        <v>162.30400000000003</v>
      </c>
      <c r="DI47" s="44">
        <f t="shared" si="56"/>
        <v>129.84320000000002</v>
      </c>
      <c r="DJ47" s="44">
        <f t="shared" si="56"/>
        <v>103.87456000000003</v>
      </c>
      <c r="DK47" s="44">
        <f t="shared" si="56"/>
        <v>83.09964800000003</v>
      </c>
      <c r="DL47" s="44">
        <f t="shared" si="56"/>
        <v>66.479718400000024</v>
      </c>
      <c r="DM47" s="44">
        <f t="shared" ref="DM47:DR47" si="57">+DL47*0.9</f>
        <v>59.83174656000002</v>
      </c>
      <c r="DN47" s="44">
        <f t="shared" si="57"/>
        <v>53.848571904000018</v>
      </c>
      <c r="DO47" s="44">
        <f t="shared" si="57"/>
        <v>48.463714713600019</v>
      </c>
      <c r="DP47" s="44">
        <f t="shared" si="57"/>
        <v>43.617343242240018</v>
      </c>
      <c r="DQ47" s="44">
        <f t="shared" si="57"/>
        <v>39.255608918016016</v>
      </c>
      <c r="DR47" s="44">
        <f t="shared" si="57"/>
        <v>35.330048026214413</v>
      </c>
    </row>
    <row r="48" spans="1:122" s="11" customFormat="1">
      <c r="A48" s="35"/>
      <c r="B48" s="104" t="s">
        <v>460</v>
      </c>
      <c r="C48" s="44">
        <v>185</v>
      </c>
      <c r="D48" s="44">
        <v>165</v>
      </c>
      <c r="E48" s="44">
        <v>165</v>
      </c>
      <c r="F48" s="44">
        <v>170</v>
      </c>
      <c r="G48" s="44">
        <v>329</v>
      </c>
      <c r="H48" s="44">
        <v>263</v>
      </c>
      <c r="I48" s="44">
        <v>196</v>
      </c>
      <c r="J48" s="44">
        <v>357</v>
      </c>
      <c r="K48" s="44">
        <v>444</v>
      </c>
      <c r="L48" s="44">
        <v>270</v>
      </c>
      <c r="M48" s="44">
        <v>345</v>
      </c>
      <c r="N48" s="44">
        <v>428</v>
      </c>
      <c r="O48" s="44">
        <v>448</v>
      </c>
      <c r="P48" s="44">
        <v>488</v>
      </c>
      <c r="Q48" s="44">
        <v>529</v>
      </c>
      <c r="R48" s="44">
        <v>562</v>
      </c>
      <c r="S48" s="44">
        <v>633</v>
      </c>
      <c r="T48" s="44">
        <v>667</v>
      </c>
      <c r="U48" s="44">
        <v>706</v>
      </c>
      <c r="V48" s="44">
        <v>755</v>
      </c>
      <c r="W48" s="44">
        <v>807</v>
      </c>
      <c r="X48" s="44">
        <v>849</v>
      </c>
      <c r="Y48" s="44">
        <v>848</v>
      </c>
      <c r="Z48" s="44">
        <v>912</v>
      </c>
      <c r="AA48" s="44">
        <v>923</v>
      </c>
      <c r="AB48" s="44">
        <v>963</v>
      </c>
      <c r="AC48" s="44">
        <v>1055</v>
      </c>
      <c r="AD48" s="44">
        <v>1086</v>
      </c>
      <c r="AE48" s="44">
        <v>1050</v>
      </c>
      <c r="AF48" s="44">
        <v>1112</v>
      </c>
      <c r="AG48" s="44">
        <v>1130</v>
      </c>
      <c r="AH48" s="44">
        <v>1160</v>
      </c>
      <c r="AI48" s="44">
        <v>1125</v>
      </c>
      <c r="AJ48" s="44">
        <v>1249</v>
      </c>
      <c r="AK48" s="56">
        <v>1231</v>
      </c>
      <c r="AL48" s="44">
        <v>1261</v>
      </c>
      <c r="AM48" s="44">
        <v>1307</v>
      </c>
      <c r="AN48" s="44">
        <f>1049+303</f>
        <v>1352</v>
      </c>
      <c r="AO48" s="44">
        <f>1024+279</f>
        <v>1303</v>
      </c>
      <c r="AP48" s="44">
        <f>1024+316</f>
        <v>1340</v>
      </c>
      <c r="AQ48" s="73">
        <v>1345</v>
      </c>
      <c r="AR48" s="44">
        <f>+AN48*1.03</f>
        <v>1392.56</v>
      </c>
      <c r="AS48" s="44">
        <f>1034+366</f>
        <v>1400</v>
      </c>
      <c r="AT48" s="44">
        <f>1148+398</f>
        <v>1546</v>
      </c>
      <c r="AU48" s="44">
        <f>384+754</f>
        <v>1138</v>
      </c>
      <c r="AV48" s="44"/>
      <c r="AW48" s="44"/>
      <c r="AX48" s="44"/>
      <c r="AY48" s="44">
        <f>322+127</f>
        <v>449</v>
      </c>
      <c r="AZ48" s="44">
        <f>99+339</f>
        <v>438</v>
      </c>
      <c r="BA48" s="44"/>
      <c r="BB48" s="44"/>
      <c r="BC48" s="44">
        <f>66+292</f>
        <v>358</v>
      </c>
      <c r="BD48" s="44">
        <f>304+89</f>
        <v>393</v>
      </c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78">
        <v>37</v>
      </c>
      <c r="BX48" s="78">
        <v>32</v>
      </c>
      <c r="BY48" s="78">
        <v>82</v>
      </c>
      <c r="BZ48" s="78">
        <v>40</v>
      </c>
      <c r="CA48" s="78">
        <v>36</v>
      </c>
      <c r="CB48" s="78">
        <v>27</v>
      </c>
      <c r="CC48" s="78">
        <v>35</v>
      </c>
      <c r="CD48" s="78">
        <v>19</v>
      </c>
      <c r="CE48" s="78">
        <v>29</v>
      </c>
      <c r="CF48" s="78">
        <v>21</v>
      </c>
      <c r="CG48" s="78">
        <v>24</v>
      </c>
      <c r="CH48" s="78">
        <v>19</v>
      </c>
      <c r="CI48" s="78">
        <v>0</v>
      </c>
      <c r="CJ48" s="78">
        <v>0</v>
      </c>
      <c r="CK48" s="78"/>
      <c r="CL48" s="78"/>
      <c r="CM48" s="78"/>
      <c r="CN48" s="78"/>
      <c r="CO48" s="78"/>
      <c r="CP48" s="78"/>
      <c r="CQ48" s="44"/>
      <c r="CR48" s="44"/>
      <c r="CS48" s="44"/>
      <c r="CT48" s="43"/>
      <c r="CU48" s="44">
        <v>1145</v>
      </c>
      <c r="CV48" s="44">
        <v>1487</v>
      </c>
      <c r="CW48" s="44">
        <v>2027</v>
      </c>
      <c r="CX48" s="44">
        <f>SUM(S48:V48)</f>
        <v>2761</v>
      </c>
      <c r="CY48" s="44">
        <f>SUM(W48:Z48)</f>
        <v>3416</v>
      </c>
      <c r="CZ48" s="44">
        <f>SUM(AA48:AD48)</f>
        <v>4027</v>
      </c>
      <c r="DA48" s="44">
        <f>SUM(AE48:AH48)</f>
        <v>4452</v>
      </c>
      <c r="DB48" s="44">
        <f>SUM(AI48:AL48)</f>
        <v>4866</v>
      </c>
      <c r="DC48" s="44">
        <f>SUM(AM48:AP48)</f>
        <v>5302</v>
      </c>
      <c r="DD48" s="44">
        <f>SUM(AQ48:AT48)</f>
        <v>5683.5599999999995</v>
      </c>
      <c r="DE48" s="44">
        <f>SUM(AU48:AX48)</f>
        <v>1138</v>
      </c>
      <c r="DF48" s="44">
        <f>DE48*0.5</f>
        <v>569</v>
      </c>
      <c r="DG48" s="44">
        <f>DF48*0.7</f>
        <v>398.29999999999995</v>
      </c>
      <c r="DH48" s="44">
        <f>DG48*0.5</f>
        <v>199.14999999999998</v>
      </c>
      <c r="DI48" s="44">
        <f>DH48*0.8</f>
        <v>159.32</v>
      </c>
      <c r="DJ48" s="44">
        <f>DI48*0.8</f>
        <v>127.456</v>
      </c>
      <c r="DK48" s="44">
        <f>DJ48*0.8</f>
        <v>101.96480000000001</v>
      </c>
      <c r="DL48" s="44">
        <f>DK48*0.9</f>
        <v>91.768320000000017</v>
      </c>
      <c r="DM48" s="44">
        <f t="shared" ref="DM48:DR48" si="58">DL48*0.9</f>
        <v>82.591488000000012</v>
      </c>
      <c r="DN48" s="44">
        <f t="shared" si="58"/>
        <v>74.332339200000007</v>
      </c>
      <c r="DO48" s="44">
        <f t="shared" si="58"/>
        <v>66.899105280000015</v>
      </c>
      <c r="DP48" s="44">
        <f t="shared" si="58"/>
        <v>60.209194752000016</v>
      </c>
      <c r="DQ48" s="44">
        <f t="shared" si="58"/>
        <v>54.188275276800013</v>
      </c>
      <c r="DR48" s="44">
        <f t="shared" si="58"/>
        <v>48.769447749120012</v>
      </c>
    </row>
    <row r="49" spans="1:122" s="11" customFormat="1">
      <c r="A49" s="35"/>
      <c r="B49" s="104" t="s">
        <v>45</v>
      </c>
      <c r="C49" s="44">
        <v>66</v>
      </c>
      <c r="D49" s="44">
        <v>86</v>
      </c>
      <c r="E49" s="44">
        <v>54</v>
      </c>
      <c r="F49" s="44">
        <v>67</v>
      </c>
      <c r="G49" s="44">
        <v>92</v>
      </c>
      <c r="H49" s="44">
        <v>74</v>
      </c>
      <c r="I49" s="44">
        <v>68</v>
      </c>
      <c r="J49" s="44">
        <v>94</v>
      </c>
      <c r="K49" s="44">
        <v>108</v>
      </c>
      <c r="L49" s="44">
        <v>54</v>
      </c>
      <c r="M49" s="44">
        <v>83</v>
      </c>
      <c r="N49" s="44">
        <v>104</v>
      </c>
      <c r="O49" s="44">
        <v>95</v>
      </c>
      <c r="P49" s="44">
        <v>91</v>
      </c>
      <c r="Q49" s="44">
        <v>81</v>
      </c>
      <c r="R49" s="44">
        <v>89</v>
      </c>
      <c r="S49" s="44">
        <v>68</v>
      </c>
      <c r="T49" s="44">
        <v>104</v>
      </c>
      <c r="U49" s="44">
        <v>86</v>
      </c>
      <c r="V49" s="44">
        <v>94</v>
      </c>
      <c r="W49" s="44">
        <f>196-X49</f>
        <v>93</v>
      </c>
      <c r="X49" s="44">
        <v>103</v>
      </c>
      <c r="Y49" s="44">
        <v>99</v>
      </c>
      <c r="Z49" s="44">
        <v>103</v>
      </c>
      <c r="AA49" s="44">
        <f>213-AB49</f>
        <v>107</v>
      </c>
      <c r="AB49" s="44">
        <v>106</v>
      </c>
      <c r="AC49" s="44">
        <v>107</v>
      </c>
      <c r="AD49" s="44">
        <v>114</v>
      </c>
      <c r="AE49" s="44">
        <v>107</v>
      </c>
      <c r="AF49" s="44">
        <v>114</v>
      </c>
      <c r="AG49" s="44">
        <v>115</v>
      </c>
      <c r="AH49" s="44">
        <v>112</v>
      </c>
      <c r="AI49" s="44">
        <v>101</v>
      </c>
      <c r="AJ49" s="44">
        <v>107</v>
      </c>
      <c r="AK49" s="56">
        <v>111</v>
      </c>
      <c r="AL49" s="44">
        <v>115</v>
      </c>
      <c r="AM49" s="44">
        <v>106</v>
      </c>
      <c r="AN49" s="44">
        <v>109</v>
      </c>
      <c r="AO49" s="44">
        <v>103</v>
      </c>
      <c r="AP49" s="44">
        <v>110</v>
      </c>
      <c r="AQ49" s="73">
        <v>101</v>
      </c>
      <c r="AR49" s="44">
        <f t="shared" ref="AR49:AR54" si="59">AQ49</f>
        <v>101</v>
      </c>
      <c r="AS49" s="44">
        <v>108</v>
      </c>
      <c r="AT49" s="44">
        <v>101</v>
      </c>
      <c r="AU49" s="44">
        <v>54</v>
      </c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44"/>
      <c r="CR49" s="44"/>
      <c r="CS49" s="44"/>
      <c r="CT49" s="43"/>
      <c r="CU49" s="44">
        <v>328</v>
      </c>
      <c r="CV49" s="44">
        <v>349</v>
      </c>
      <c r="CW49" s="44">
        <v>356</v>
      </c>
      <c r="CX49" s="44">
        <f t="shared" ref="CX49:CX58" si="60">SUM(S49:V49)</f>
        <v>352</v>
      </c>
      <c r="CY49" s="44">
        <f t="shared" si="49"/>
        <v>398</v>
      </c>
      <c r="CZ49" s="44">
        <f t="shared" ref="CZ49:CZ58" si="61">SUM(AA49:AD49)</f>
        <v>434</v>
      </c>
      <c r="DA49" s="44">
        <f t="shared" ref="DA49:DA54" si="62">CZ49</f>
        <v>434</v>
      </c>
      <c r="DB49" s="44">
        <f t="shared" ref="DB49:DB54" si="63">SUM(AI49:AL49)</f>
        <v>434</v>
      </c>
      <c r="DC49" s="44">
        <f t="shared" si="50"/>
        <v>428</v>
      </c>
      <c r="DD49" s="44">
        <f t="shared" si="51"/>
        <v>411</v>
      </c>
      <c r="DE49" s="44">
        <f t="shared" si="52"/>
        <v>54</v>
      </c>
      <c r="DF49" s="44">
        <f>DE49*0.1</f>
        <v>5.4</v>
      </c>
      <c r="DG49" s="44">
        <f>DF49*0.1</f>
        <v>0.54</v>
      </c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</row>
    <row r="50" spans="1:122" s="11" customFormat="1">
      <c r="A50" s="35"/>
      <c r="B50" s="35" t="s">
        <v>47</v>
      </c>
      <c r="C50" s="44">
        <v>49</v>
      </c>
      <c r="D50" s="44">
        <v>57</v>
      </c>
      <c r="E50" s="44">
        <v>56</v>
      </c>
      <c r="F50" s="44">
        <v>65.499999999999005</v>
      </c>
      <c r="G50" s="44">
        <v>67</v>
      </c>
      <c r="H50" s="44">
        <v>74</v>
      </c>
      <c r="I50" s="44">
        <v>75</v>
      </c>
      <c r="J50" s="44">
        <v>69</v>
      </c>
      <c r="K50" s="44">
        <v>74</v>
      </c>
      <c r="L50" s="44">
        <v>80</v>
      </c>
      <c r="M50" s="44">
        <v>88</v>
      </c>
      <c r="N50" s="44">
        <v>104</v>
      </c>
      <c r="O50" s="44">
        <v>97</v>
      </c>
      <c r="P50" s="44">
        <v>112</v>
      </c>
      <c r="Q50" s="44">
        <v>101</v>
      </c>
      <c r="R50" s="44">
        <v>113</v>
      </c>
      <c r="S50" s="44">
        <v>131</v>
      </c>
      <c r="T50" s="44">
        <v>127</v>
      </c>
      <c r="U50" s="44">
        <v>117</v>
      </c>
      <c r="V50" s="44">
        <v>130</v>
      </c>
      <c r="W50" s="44">
        <v>141</v>
      </c>
      <c r="X50" s="44">
        <v>143</v>
      </c>
      <c r="Y50" s="44">
        <v>153</v>
      </c>
      <c r="Z50" s="44">
        <v>167</v>
      </c>
      <c r="AA50" s="44">
        <v>178</v>
      </c>
      <c r="AB50" s="44">
        <v>194</v>
      </c>
      <c r="AC50" s="44">
        <v>186</v>
      </c>
      <c r="AD50" s="44">
        <v>215</v>
      </c>
      <c r="AE50" s="44">
        <v>213</v>
      </c>
      <c r="AF50" s="44">
        <v>226</v>
      </c>
      <c r="AG50" s="44">
        <v>241</v>
      </c>
      <c r="AH50" s="44">
        <v>217</v>
      </c>
      <c r="AI50" s="44">
        <v>202</v>
      </c>
      <c r="AJ50" s="44">
        <v>213</v>
      </c>
      <c r="AK50" s="56">
        <v>221</v>
      </c>
      <c r="AL50" s="44">
        <v>236</v>
      </c>
      <c r="AM50" s="44">
        <v>233</v>
      </c>
      <c r="AN50" s="44">
        <v>197</v>
      </c>
      <c r="AO50" s="44">
        <v>204</v>
      </c>
      <c r="AP50" s="44">
        <v>183</v>
      </c>
      <c r="AQ50" s="73">
        <v>172</v>
      </c>
      <c r="AR50" s="44">
        <f>AQ50-5</f>
        <v>167</v>
      </c>
      <c r="AS50" s="44">
        <v>139</v>
      </c>
      <c r="AT50" s="44">
        <v>114</v>
      </c>
      <c r="AU50" s="44">
        <v>100</v>
      </c>
      <c r="AV50" s="44"/>
      <c r="AW50" s="44"/>
      <c r="AX50" s="44"/>
      <c r="AY50" s="44"/>
      <c r="AZ50" s="44"/>
      <c r="BA50" s="44"/>
      <c r="BB50" s="44"/>
      <c r="BC50" s="44">
        <v>65</v>
      </c>
      <c r="BD50" s="44">
        <v>65</v>
      </c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44"/>
      <c r="CR50" s="44"/>
      <c r="CS50" s="44"/>
      <c r="CT50" s="43"/>
      <c r="CU50" s="44">
        <v>285</v>
      </c>
      <c r="CV50" s="44">
        <v>346</v>
      </c>
      <c r="CW50" s="44">
        <v>423</v>
      </c>
      <c r="CX50" s="44">
        <f>SUM(S50:V50)</f>
        <v>505</v>
      </c>
      <c r="CY50" s="44">
        <f>SUM(W50:Z50)</f>
        <v>604</v>
      </c>
      <c r="CZ50" s="44">
        <f>SUM(AA50:AD50)</f>
        <v>773</v>
      </c>
      <c r="DA50" s="44">
        <f>SUM(AE50:AH50)</f>
        <v>897</v>
      </c>
      <c r="DB50" s="44">
        <f>SUM(AI50:AL50)</f>
        <v>872</v>
      </c>
      <c r="DC50" s="44">
        <f>SUM(AM50:AP50)</f>
        <v>817</v>
      </c>
      <c r="DD50" s="44">
        <f>SUM(AQ50:AT50)</f>
        <v>592</v>
      </c>
      <c r="DE50" s="44">
        <f>SUM(AU50:AX50)</f>
        <v>100</v>
      </c>
      <c r="DF50" s="44">
        <f t="shared" ref="DF50:DL50" si="64">DE50*0.9</f>
        <v>90</v>
      </c>
      <c r="DG50" s="44">
        <f t="shared" si="64"/>
        <v>81</v>
      </c>
      <c r="DH50" s="44">
        <f t="shared" si="64"/>
        <v>72.900000000000006</v>
      </c>
      <c r="DI50" s="44">
        <f t="shared" si="64"/>
        <v>65.610000000000014</v>
      </c>
      <c r="DJ50" s="44">
        <f t="shared" si="64"/>
        <v>59.049000000000014</v>
      </c>
      <c r="DK50" s="44">
        <f t="shared" si="64"/>
        <v>53.144100000000016</v>
      </c>
      <c r="DL50" s="44">
        <f t="shared" si="64"/>
        <v>47.829690000000014</v>
      </c>
      <c r="DM50" s="44">
        <f t="shared" ref="DM50:DR50" si="65">+DL50*0.9</f>
        <v>43.046721000000012</v>
      </c>
      <c r="DN50" s="44">
        <f t="shared" si="65"/>
        <v>38.742048900000015</v>
      </c>
      <c r="DO50" s="44">
        <f t="shared" si="65"/>
        <v>34.867844010000013</v>
      </c>
      <c r="DP50" s="44">
        <f t="shared" si="65"/>
        <v>31.381059609000012</v>
      </c>
      <c r="DQ50" s="44">
        <f t="shared" si="65"/>
        <v>28.242953648100013</v>
      </c>
      <c r="DR50" s="44">
        <f t="shared" si="65"/>
        <v>25.418658283290011</v>
      </c>
    </row>
    <row r="51" spans="1:122" s="11" customFormat="1">
      <c r="A51" s="35"/>
      <c r="B51" s="104" t="s">
        <v>46</v>
      </c>
      <c r="C51" s="44"/>
      <c r="D51" s="44"/>
      <c r="E51" s="44"/>
      <c r="F51" s="44"/>
      <c r="G51" s="44"/>
      <c r="H51" s="44"/>
      <c r="I51" s="44"/>
      <c r="J51" s="44"/>
      <c r="K51" s="44">
        <v>17</v>
      </c>
      <c r="L51" s="44">
        <v>18</v>
      </c>
      <c r="M51" s="44">
        <v>19</v>
      </c>
      <c r="N51" s="44">
        <v>19</v>
      </c>
      <c r="O51" s="44">
        <v>17</v>
      </c>
      <c r="P51" s="44">
        <v>21</v>
      </c>
      <c r="Q51" s="44">
        <v>16</v>
      </c>
      <c r="R51" s="44">
        <v>17</v>
      </c>
      <c r="S51" s="44">
        <v>17</v>
      </c>
      <c r="T51" s="44">
        <v>18</v>
      </c>
      <c r="U51" s="44">
        <v>15</v>
      </c>
      <c r="V51" s="44">
        <v>16</v>
      </c>
      <c r="W51" s="44">
        <v>15</v>
      </c>
      <c r="X51" s="44">
        <v>14</v>
      </c>
      <c r="Y51" s="44">
        <v>15</v>
      </c>
      <c r="Z51" s="44">
        <v>13</v>
      </c>
      <c r="AA51" s="44">
        <v>12</v>
      </c>
      <c r="AB51" s="44">
        <v>15</v>
      </c>
      <c r="AC51" s="44">
        <v>16</v>
      </c>
      <c r="AD51" s="44">
        <v>249</v>
      </c>
      <c r="AE51" s="44">
        <v>221</v>
      </c>
      <c r="AF51" s="44">
        <v>15</v>
      </c>
      <c r="AG51" s="44">
        <v>13</v>
      </c>
      <c r="AH51" s="44">
        <v>11</v>
      </c>
      <c r="AI51" s="44">
        <v>10</v>
      </c>
      <c r="AJ51" s="44">
        <v>12</v>
      </c>
      <c r="AK51" s="56">
        <v>11</v>
      </c>
      <c r="AL51" s="44">
        <v>15</v>
      </c>
      <c r="AM51" s="44">
        <v>10</v>
      </c>
      <c r="AN51" s="44">
        <v>10</v>
      </c>
      <c r="AO51" s="44">
        <v>9</v>
      </c>
      <c r="AP51" s="44">
        <v>13</v>
      </c>
      <c r="AQ51" s="73">
        <v>10</v>
      </c>
      <c r="AR51" s="44">
        <f>AQ51</f>
        <v>10</v>
      </c>
      <c r="AS51" s="44">
        <v>7</v>
      </c>
      <c r="AT51" s="44">
        <v>7</v>
      </c>
      <c r="AU51" s="44">
        <v>6</v>
      </c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44"/>
      <c r="CR51" s="44"/>
      <c r="CS51" s="44"/>
      <c r="CT51" s="43"/>
      <c r="CU51" s="44"/>
      <c r="CV51" s="44">
        <v>73</v>
      </c>
      <c r="CW51" s="44">
        <v>71</v>
      </c>
      <c r="CX51" s="44">
        <f>SUM(S51:V51)</f>
        <v>66</v>
      </c>
      <c r="CY51" s="44">
        <f>SUM(W51:Z51)</f>
        <v>57</v>
      </c>
      <c r="CZ51" s="44">
        <f>SUM(AA51:AD51)</f>
        <v>292</v>
      </c>
      <c r="DA51" s="44">
        <f>CZ51</f>
        <v>292</v>
      </c>
      <c r="DB51" s="44">
        <f>SUM(AI51:AL51)</f>
        <v>48</v>
      </c>
      <c r="DC51" s="44">
        <f>SUM(AM51:AP51)</f>
        <v>42</v>
      </c>
      <c r="DD51" s="44">
        <f>SUM(AQ51:AT51)</f>
        <v>34</v>
      </c>
      <c r="DE51" s="44">
        <f>SUM(AU51:AX51)</f>
        <v>6</v>
      </c>
      <c r="DF51" s="44">
        <f t="shared" ref="DF51:DM51" si="66">+DE51*0.8</f>
        <v>4.8000000000000007</v>
      </c>
      <c r="DG51" s="44">
        <f t="shared" si="66"/>
        <v>3.8400000000000007</v>
      </c>
      <c r="DH51" s="44">
        <f t="shared" si="66"/>
        <v>3.072000000000001</v>
      </c>
      <c r="DI51" s="44">
        <f t="shared" si="66"/>
        <v>2.4576000000000011</v>
      </c>
      <c r="DJ51" s="44">
        <f t="shared" si="66"/>
        <v>1.9660800000000009</v>
      </c>
      <c r="DK51" s="44">
        <f t="shared" si="66"/>
        <v>1.5728640000000009</v>
      </c>
      <c r="DL51" s="44">
        <f t="shared" si="66"/>
        <v>1.2582912000000008</v>
      </c>
      <c r="DM51" s="44">
        <f t="shared" si="66"/>
        <v>1.0066329600000008</v>
      </c>
      <c r="DN51" s="44">
        <f t="shared" ref="DN51:DR51" si="67">+DM51*0.8</f>
        <v>0.80530636800000066</v>
      </c>
      <c r="DO51" s="44">
        <f t="shared" si="67"/>
        <v>0.64424509440000055</v>
      </c>
      <c r="DP51" s="44">
        <f t="shared" si="67"/>
        <v>0.51539607552000044</v>
      </c>
      <c r="DQ51" s="44">
        <f t="shared" si="67"/>
        <v>0.41231686041600035</v>
      </c>
      <c r="DR51" s="44">
        <f t="shared" si="67"/>
        <v>0.32985348833280032</v>
      </c>
    </row>
    <row r="52" spans="1:122" s="11" customFormat="1">
      <c r="A52" s="35"/>
      <c r="B52" s="104" t="s">
        <v>35</v>
      </c>
      <c r="C52" s="44">
        <v>55</v>
      </c>
      <c r="D52" s="44">
        <v>73</v>
      </c>
      <c r="E52" s="44">
        <v>63</v>
      </c>
      <c r="F52" s="44">
        <v>74</v>
      </c>
      <c r="G52" s="44">
        <v>63</v>
      </c>
      <c r="H52" s="44">
        <v>81</v>
      </c>
      <c r="I52" s="44">
        <v>79</v>
      </c>
      <c r="J52" s="44">
        <v>76</v>
      </c>
      <c r="K52" s="44">
        <v>90</v>
      </c>
      <c r="L52" s="44">
        <v>96</v>
      </c>
      <c r="M52" s="44">
        <v>86</v>
      </c>
      <c r="N52" s="44">
        <v>92</v>
      </c>
      <c r="O52" s="44">
        <v>81</v>
      </c>
      <c r="P52" s="44">
        <v>100</v>
      </c>
      <c r="Q52" s="44">
        <v>87</v>
      </c>
      <c r="R52" s="44">
        <v>93</v>
      </c>
      <c r="S52" s="44">
        <v>92</v>
      </c>
      <c r="T52" s="44">
        <v>112</v>
      </c>
      <c r="U52" s="44">
        <v>91</v>
      </c>
      <c r="V52" s="44">
        <v>92</v>
      </c>
      <c r="W52" s="44">
        <f>187-X52</f>
        <v>85</v>
      </c>
      <c r="X52" s="44">
        <v>102</v>
      </c>
      <c r="Y52" s="44">
        <v>83</v>
      </c>
      <c r="Z52" s="44">
        <v>90</v>
      </c>
      <c r="AA52" s="44">
        <f>187-AB52</f>
        <v>92</v>
      </c>
      <c r="AB52" s="44">
        <v>95</v>
      </c>
      <c r="AC52" s="44">
        <v>80</v>
      </c>
      <c r="AD52" s="44">
        <v>87</v>
      </c>
      <c r="AE52" s="44">
        <v>80</v>
      </c>
      <c r="AF52" s="44">
        <v>92</v>
      </c>
      <c r="AG52" s="44">
        <v>72</v>
      </c>
      <c r="AH52" s="44">
        <v>78</v>
      </c>
      <c r="AI52" s="44">
        <v>64</v>
      </c>
      <c r="AJ52" s="44">
        <v>72</v>
      </c>
      <c r="AK52" s="56">
        <v>63</v>
      </c>
      <c r="AL52" s="44">
        <v>65</v>
      </c>
      <c r="AM52" s="44">
        <v>55</v>
      </c>
      <c r="AN52" s="44">
        <v>65</v>
      </c>
      <c r="AO52" s="44">
        <v>55</v>
      </c>
      <c r="AP52" s="44">
        <v>52</v>
      </c>
      <c r="AQ52" s="73">
        <v>55</v>
      </c>
      <c r="AR52" s="44">
        <f t="shared" si="59"/>
        <v>55</v>
      </c>
      <c r="AS52" s="44">
        <v>52</v>
      </c>
      <c r="AT52" s="44">
        <v>50</v>
      </c>
      <c r="AU52" s="44">
        <v>44</v>
      </c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44"/>
      <c r="CR52" s="44"/>
      <c r="CS52" s="44"/>
      <c r="CT52" s="43"/>
      <c r="CU52" s="44">
        <v>299</v>
      </c>
      <c r="CV52" s="44">
        <v>364</v>
      </c>
      <c r="CW52" s="44">
        <v>361</v>
      </c>
      <c r="CX52" s="44">
        <f t="shared" si="60"/>
        <v>387</v>
      </c>
      <c r="CY52" s="44">
        <f t="shared" si="49"/>
        <v>360</v>
      </c>
      <c r="CZ52" s="44">
        <f t="shared" si="61"/>
        <v>354</v>
      </c>
      <c r="DA52" s="44">
        <f t="shared" si="62"/>
        <v>354</v>
      </c>
      <c r="DB52" s="44">
        <f t="shared" si="63"/>
        <v>264</v>
      </c>
      <c r="DC52" s="44">
        <f t="shared" si="50"/>
        <v>227</v>
      </c>
      <c r="DD52" s="44">
        <f t="shared" si="51"/>
        <v>212</v>
      </c>
      <c r="DE52" s="44">
        <f t="shared" si="52"/>
        <v>44</v>
      </c>
      <c r="DF52" s="44">
        <f>+DE52*0.9</f>
        <v>39.6</v>
      </c>
      <c r="DG52" s="44">
        <f t="shared" ref="DG52:DR52" si="68">+DF52*0.9</f>
        <v>35.64</v>
      </c>
      <c r="DH52" s="44">
        <f t="shared" si="68"/>
        <v>32.076000000000001</v>
      </c>
      <c r="DI52" s="44">
        <f t="shared" si="68"/>
        <v>28.868400000000001</v>
      </c>
      <c r="DJ52" s="44">
        <f t="shared" si="68"/>
        <v>25.981560000000002</v>
      </c>
      <c r="DK52" s="44">
        <f t="shared" si="68"/>
        <v>23.383404000000002</v>
      </c>
      <c r="DL52" s="44">
        <f t="shared" si="68"/>
        <v>21.045063600000002</v>
      </c>
      <c r="DM52" s="44">
        <f t="shared" si="68"/>
        <v>18.940557240000004</v>
      </c>
      <c r="DN52" s="44">
        <f t="shared" si="68"/>
        <v>17.046501516000003</v>
      </c>
      <c r="DO52" s="44">
        <f t="shared" si="68"/>
        <v>15.341851364400004</v>
      </c>
      <c r="DP52" s="44">
        <f t="shared" si="68"/>
        <v>13.807666227960004</v>
      </c>
      <c r="DQ52" s="44">
        <f t="shared" si="68"/>
        <v>12.426899605164003</v>
      </c>
      <c r="DR52" s="44">
        <f t="shared" si="68"/>
        <v>11.184209644647604</v>
      </c>
    </row>
    <row r="53" spans="1:122" s="11" customFormat="1">
      <c r="A53" s="35"/>
      <c r="B53" s="104" t="s">
        <v>33</v>
      </c>
      <c r="C53" s="44">
        <v>287</v>
      </c>
      <c r="D53" s="44">
        <v>341</v>
      </c>
      <c r="E53" s="44">
        <v>183</v>
      </c>
      <c r="F53" s="44">
        <v>256</v>
      </c>
      <c r="G53" s="44">
        <v>277</v>
      </c>
      <c r="H53" s="44">
        <v>269</v>
      </c>
      <c r="I53" s="44">
        <v>187</v>
      </c>
      <c r="J53" s="44">
        <v>144</v>
      </c>
      <c r="K53" s="44">
        <v>108</v>
      </c>
      <c r="L53" s="44">
        <v>118</v>
      </c>
      <c r="M53" s="44">
        <v>116</v>
      </c>
      <c r="N53" s="44">
        <v>136</v>
      </c>
      <c r="O53" s="44">
        <v>105</v>
      </c>
      <c r="P53" s="44">
        <v>117</v>
      </c>
      <c r="Q53" s="44">
        <v>105</v>
      </c>
      <c r="R53" s="44">
        <v>113</v>
      </c>
      <c r="S53" s="44">
        <v>87</v>
      </c>
      <c r="T53" s="44">
        <v>78</v>
      </c>
      <c r="U53" s="44">
        <v>83</v>
      </c>
      <c r="V53" s="44">
        <v>84</v>
      </c>
      <c r="W53" s="44">
        <f>153-X53</f>
        <v>75</v>
      </c>
      <c r="X53" s="44">
        <v>78</v>
      </c>
      <c r="Y53" s="44">
        <v>76</v>
      </c>
      <c r="Z53" s="44">
        <v>78</v>
      </c>
      <c r="AA53" s="44">
        <f>156-AB53</f>
        <v>80</v>
      </c>
      <c r="AB53" s="44">
        <v>76</v>
      </c>
      <c r="AC53" s="44">
        <v>72</v>
      </c>
      <c r="AD53" s="44">
        <v>67</v>
      </c>
      <c r="AE53" s="44">
        <v>59</v>
      </c>
      <c r="AF53" s="44">
        <v>65</v>
      </c>
      <c r="AG53" s="44">
        <v>60</v>
      </c>
      <c r="AH53" s="44">
        <v>52</v>
      </c>
      <c r="AI53" s="44">
        <v>47</v>
      </c>
      <c r="AJ53" s="44">
        <v>47</v>
      </c>
      <c r="AK53" s="56">
        <v>47</v>
      </c>
      <c r="AL53" s="44">
        <v>43</v>
      </c>
      <c r="AM53" s="44">
        <v>42</v>
      </c>
      <c r="AN53" s="44">
        <v>40</v>
      </c>
      <c r="AO53" s="44">
        <v>35</v>
      </c>
      <c r="AP53" s="44">
        <v>40</v>
      </c>
      <c r="AQ53" s="73">
        <v>33</v>
      </c>
      <c r="AR53" s="44">
        <f t="shared" si="59"/>
        <v>33</v>
      </c>
      <c r="AS53" s="44">
        <v>37</v>
      </c>
      <c r="AT53" s="44">
        <v>35</v>
      </c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44"/>
      <c r="CR53" s="44"/>
      <c r="CS53" s="44"/>
      <c r="CT53" s="43"/>
      <c r="CU53" s="44">
        <v>877</v>
      </c>
      <c r="CV53" s="44">
        <v>478</v>
      </c>
      <c r="CW53" s="44">
        <v>440</v>
      </c>
      <c r="CX53" s="44">
        <f t="shared" si="60"/>
        <v>332</v>
      </c>
      <c r="CY53" s="44">
        <f t="shared" si="49"/>
        <v>307</v>
      </c>
      <c r="CZ53" s="44">
        <f t="shared" si="61"/>
        <v>295</v>
      </c>
      <c r="DA53" s="44">
        <f t="shared" si="62"/>
        <v>295</v>
      </c>
      <c r="DB53" s="44">
        <f t="shared" si="63"/>
        <v>184</v>
      </c>
      <c r="DC53" s="44">
        <f t="shared" si="50"/>
        <v>157</v>
      </c>
      <c r="DD53" s="44">
        <f t="shared" si="51"/>
        <v>138</v>
      </c>
      <c r="DE53" s="44"/>
      <c r="DF53" s="44"/>
      <c r="DG53" s="44"/>
      <c r="DH53" s="44"/>
      <c r="DI53" s="44"/>
      <c r="DJ53" s="44"/>
      <c r="DK53" s="44"/>
      <c r="DL53" s="44"/>
      <c r="DM53" s="44"/>
    </row>
    <row r="54" spans="1:122" s="11" customFormat="1">
      <c r="A54" s="35"/>
      <c r="B54" s="104" t="s">
        <v>478</v>
      </c>
      <c r="C54" s="44">
        <v>105</v>
      </c>
      <c r="D54" s="44">
        <v>104</v>
      </c>
      <c r="E54" s="44">
        <v>118</v>
      </c>
      <c r="F54" s="44">
        <v>136</v>
      </c>
      <c r="G54" s="44">
        <v>106</v>
      </c>
      <c r="H54" s="44">
        <v>97</v>
      </c>
      <c r="I54" s="44">
        <v>147</v>
      </c>
      <c r="J54" s="44">
        <v>139</v>
      </c>
      <c r="K54" s="44">
        <v>110</v>
      </c>
      <c r="L54" s="44">
        <v>129</v>
      </c>
      <c r="M54" s="44">
        <v>144</v>
      </c>
      <c r="N54" s="44">
        <v>157</v>
      </c>
      <c r="O54" s="44">
        <v>111</v>
      </c>
      <c r="P54" s="44">
        <v>148</v>
      </c>
      <c r="Q54" s="44">
        <v>102</v>
      </c>
      <c r="R54" s="44">
        <v>94</v>
      </c>
      <c r="S54" s="44">
        <v>93</v>
      </c>
      <c r="T54" s="44">
        <v>112.25</v>
      </c>
      <c r="U54" s="44">
        <v>82</v>
      </c>
      <c r="V54" s="44">
        <v>73</v>
      </c>
      <c r="W54" s="44">
        <f>142-X54</f>
        <v>72</v>
      </c>
      <c r="X54" s="44">
        <v>70</v>
      </c>
      <c r="Y54" s="44">
        <v>68</v>
      </c>
      <c r="Z54" s="44">
        <v>65</v>
      </c>
      <c r="AA54" s="44">
        <f>139-AB54</f>
        <v>65</v>
      </c>
      <c r="AB54" s="44">
        <v>74</v>
      </c>
      <c r="AC54" s="44">
        <v>66</v>
      </c>
      <c r="AD54" s="44">
        <v>66</v>
      </c>
      <c r="AE54" s="44">
        <v>66</v>
      </c>
      <c r="AF54" s="44">
        <v>70</v>
      </c>
      <c r="AG54" s="44">
        <v>65</v>
      </c>
      <c r="AH54" s="44">
        <v>67</v>
      </c>
      <c r="AI54" s="44">
        <v>61</v>
      </c>
      <c r="AJ54" s="44">
        <v>60</v>
      </c>
      <c r="AK54" s="56">
        <v>60</v>
      </c>
      <c r="AL54" s="44">
        <v>60</v>
      </c>
      <c r="AM54" s="44">
        <v>66</v>
      </c>
      <c r="AN54" s="44">
        <v>63</v>
      </c>
      <c r="AO54" s="44">
        <v>63</v>
      </c>
      <c r="AP54" s="44">
        <v>63</v>
      </c>
      <c r="AQ54" s="73">
        <v>68</v>
      </c>
      <c r="AR54" s="44">
        <f t="shared" si="59"/>
        <v>68</v>
      </c>
      <c r="AS54" s="44">
        <v>66</v>
      </c>
      <c r="AT54" s="44">
        <v>60</v>
      </c>
      <c r="AU54" s="44">
        <v>73</v>
      </c>
      <c r="AV54" s="44"/>
      <c r="AW54" s="44"/>
      <c r="AX54" s="44"/>
      <c r="AY54" s="44"/>
      <c r="AZ54" s="44"/>
      <c r="BA54" s="44"/>
      <c r="BB54" s="44"/>
      <c r="BC54" s="44">
        <v>69</v>
      </c>
      <c r="BD54" s="44">
        <v>53</v>
      </c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44"/>
      <c r="CR54" s="44"/>
      <c r="CS54" s="44"/>
      <c r="CT54" s="43"/>
      <c r="CU54" s="44">
        <v>489</v>
      </c>
      <c r="CV54" s="44">
        <v>540</v>
      </c>
      <c r="CW54" s="44">
        <v>455</v>
      </c>
      <c r="CX54" s="44">
        <f t="shared" si="60"/>
        <v>360.25</v>
      </c>
      <c r="CY54" s="44">
        <f t="shared" si="49"/>
        <v>275</v>
      </c>
      <c r="CZ54" s="44">
        <f t="shared" si="61"/>
        <v>271</v>
      </c>
      <c r="DA54" s="44">
        <f t="shared" si="62"/>
        <v>271</v>
      </c>
      <c r="DB54" s="44">
        <f t="shared" si="63"/>
        <v>241</v>
      </c>
      <c r="DC54" s="44">
        <f t="shared" si="50"/>
        <v>255</v>
      </c>
      <c r="DD54" s="44">
        <f t="shared" si="51"/>
        <v>262</v>
      </c>
      <c r="DE54" s="44">
        <f t="shared" ref="DE54:DE58" si="69">SUM(AU54:AX54)</f>
        <v>73</v>
      </c>
      <c r="DF54" s="44">
        <f>+DE54*0.8</f>
        <v>58.400000000000006</v>
      </c>
      <c r="DG54" s="44">
        <f t="shared" ref="DG54:DL54" si="70">+DF54*0.8</f>
        <v>46.720000000000006</v>
      </c>
      <c r="DH54" s="44">
        <f t="shared" si="70"/>
        <v>37.376000000000005</v>
      </c>
      <c r="DI54" s="44">
        <f t="shared" si="70"/>
        <v>29.900800000000004</v>
      </c>
      <c r="DJ54" s="44">
        <f t="shared" si="70"/>
        <v>23.920640000000006</v>
      </c>
      <c r="DK54" s="44">
        <f t="shared" si="70"/>
        <v>19.136512000000007</v>
      </c>
      <c r="DL54" s="44">
        <f t="shared" si="70"/>
        <v>15.309209600000006</v>
      </c>
      <c r="DM54" s="44">
        <f t="shared" ref="DM54:DR54" si="71">+DL54*0.8</f>
        <v>12.247367680000005</v>
      </c>
      <c r="DN54" s="44">
        <f t="shared" si="71"/>
        <v>9.7978941440000042</v>
      </c>
      <c r="DO54" s="44">
        <f t="shared" si="71"/>
        <v>7.8383153152000036</v>
      </c>
      <c r="DP54" s="44">
        <f t="shared" si="71"/>
        <v>6.2706522521600032</v>
      </c>
      <c r="DQ54" s="44">
        <f t="shared" si="71"/>
        <v>5.0165218017280031</v>
      </c>
      <c r="DR54" s="44">
        <f t="shared" si="71"/>
        <v>4.0132174413824027</v>
      </c>
    </row>
    <row r="55" spans="1:122" s="11" customFormat="1">
      <c r="A55" s="35"/>
      <c r="B55" s="35" t="s">
        <v>477</v>
      </c>
      <c r="C55" s="44">
        <v>98</v>
      </c>
      <c r="D55" s="44">
        <v>115</v>
      </c>
      <c r="E55" s="44">
        <v>87</v>
      </c>
      <c r="F55" s="44">
        <v>104</v>
      </c>
      <c r="G55" s="44">
        <v>94</v>
      </c>
      <c r="H55" s="44">
        <v>96</v>
      </c>
      <c r="I55" s="44">
        <v>85</v>
      </c>
      <c r="J55" s="44">
        <v>95</v>
      </c>
      <c r="K55" s="44">
        <v>84</v>
      </c>
      <c r="L55" s="44">
        <v>81</v>
      </c>
      <c r="M55" s="44">
        <v>81</v>
      </c>
      <c r="N55" s="44">
        <v>96</v>
      </c>
      <c r="O55" s="44">
        <v>85</v>
      </c>
      <c r="P55" s="44">
        <v>93</v>
      </c>
      <c r="Q55" s="44">
        <v>93</v>
      </c>
      <c r="R55" s="44">
        <v>97</v>
      </c>
      <c r="S55" s="44">
        <v>83</v>
      </c>
      <c r="T55" s="44">
        <v>92</v>
      </c>
      <c r="U55" s="44">
        <v>87</v>
      </c>
      <c r="V55" s="44">
        <v>90</v>
      </c>
      <c r="W55" s="44">
        <v>76</v>
      </c>
      <c r="X55" s="44">
        <v>85</v>
      </c>
      <c r="Y55" s="44">
        <v>77</v>
      </c>
      <c r="Z55" s="44">
        <v>82</v>
      </c>
      <c r="AA55" s="44">
        <v>71</v>
      </c>
      <c r="AB55" s="44">
        <v>80</v>
      </c>
      <c r="AC55" s="44">
        <v>73</v>
      </c>
      <c r="AD55" s="44"/>
      <c r="AE55" s="44"/>
      <c r="AF55" s="44">
        <v>87</v>
      </c>
      <c r="AG55" s="44">
        <v>79</v>
      </c>
      <c r="AH55" s="44">
        <v>77</v>
      </c>
      <c r="AI55" s="44">
        <v>66</v>
      </c>
      <c r="AJ55" s="44">
        <v>77</v>
      </c>
      <c r="AK55" s="56">
        <v>74</v>
      </c>
      <c r="AL55" s="44">
        <v>79</v>
      </c>
      <c r="AM55" s="44">
        <v>67</v>
      </c>
      <c r="AN55" s="44">
        <v>72</v>
      </c>
      <c r="AO55" s="44">
        <v>0</v>
      </c>
      <c r="AP55" s="44">
        <v>0</v>
      </c>
      <c r="AQ55" s="73">
        <v>63</v>
      </c>
      <c r="AR55" s="44">
        <f t="shared" ref="AR55:AR58" si="72">AQ55</f>
        <v>63</v>
      </c>
      <c r="AS55" s="44">
        <v>68</v>
      </c>
      <c r="AT55" s="44">
        <v>68</v>
      </c>
      <c r="AU55" s="44">
        <v>57</v>
      </c>
      <c r="AV55" s="44"/>
      <c r="AW55" s="44"/>
      <c r="AX55" s="44"/>
      <c r="AY55" s="44"/>
      <c r="AZ55" s="44"/>
      <c r="BA55" s="44"/>
      <c r="BB55" s="44"/>
      <c r="BC55" s="44">
        <v>39</v>
      </c>
      <c r="BD55" s="44">
        <v>42</v>
      </c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44"/>
      <c r="CR55" s="44"/>
      <c r="CS55" s="44"/>
      <c r="CT55" s="43"/>
      <c r="CU55" s="44">
        <v>370</v>
      </c>
      <c r="CV55" s="44">
        <v>342</v>
      </c>
      <c r="CW55" s="44">
        <v>368</v>
      </c>
      <c r="CX55" s="44">
        <f t="shared" si="60"/>
        <v>352</v>
      </c>
      <c r="CY55" s="44">
        <f>SUM(W55:Z55)</f>
        <v>320</v>
      </c>
      <c r="CZ55" s="44">
        <f t="shared" si="61"/>
        <v>224</v>
      </c>
      <c r="DA55" s="44">
        <f t="shared" ref="DA55:DA58" si="73">CZ55</f>
        <v>224</v>
      </c>
      <c r="DB55" s="44">
        <f t="shared" ref="DB55:DB59" si="74">SUM(AI55:AL55)</f>
        <v>296</v>
      </c>
      <c r="DC55" s="44">
        <f t="shared" si="50"/>
        <v>139</v>
      </c>
      <c r="DD55" s="44">
        <f t="shared" si="51"/>
        <v>262</v>
      </c>
      <c r="DE55" s="44">
        <f t="shared" si="69"/>
        <v>57</v>
      </c>
      <c r="DF55" s="44">
        <f>+DE55*0.8</f>
        <v>45.6</v>
      </c>
      <c r="DG55" s="44">
        <f t="shared" ref="DG55:DL55" si="75">+DF55*0.8</f>
        <v>36.480000000000004</v>
      </c>
      <c r="DH55" s="44">
        <f t="shared" si="75"/>
        <v>29.184000000000005</v>
      </c>
      <c r="DI55" s="44">
        <f t="shared" si="75"/>
        <v>23.347200000000004</v>
      </c>
      <c r="DJ55" s="44">
        <f t="shared" si="75"/>
        <v>18.677760000000003</v>
      </c>
      <c r="DK55" s="44">
        <f t="shared" si="75"/>
        <v>14.942208000000003</v>
      </c>
      <c r="DL55" s="44">
        <f t="shared" si="75"/>
        <v>11.953766400000003</v>
      </c>
      <c r="DM55" s="44">
        <f t="shared" ref="DM55:DR55" si="76">+DL55*0.8</f>
        <v>9.5630131200000026</v>
      </c>
      <c r="DN55" s="44">
        <f t="shared" si="76"/>
        <v>7.6504104960000028</v>
      </c>
      <c r="DO55" s="44">
        <f t="shared" si="76"/>
        <v>6.1203283968000024</v>
      </c>
      <c r="DP55" s="44">
        <f t="shared" si="76"/>
        <v>4.8962627174400026</v>
      </c>
      <c r="DQ55" s="44">
        <f t="shared" si="76"/>
        <v>3.9170101739520025</v>
      </c>
      <c r="DR55" s="44">
        <f t="shared" si="76"/>
        <v>3.133608139161602</v>
      </c>
    </row>
    <row r="56" spans="1:122" s="11" customFormat="1">
      <c r="A56" s="35"/>
      <c r="B56" s="104" t="s">
        <v>44</v>
      </c>
      <c r="C56" s="44"/>
      <c r="D56" s="44"/>
      <c r="E56" s="44"/>
      <c r="F56" s="44"/>
      <c r="G56" s="44"/>
      <c r="H56" s="44"/>
      <c r="I56" s="44"/>
      <c r="J56" s="44"/>
      <c r="K56" s="44">
        <v>136</v>
      </c>
      <c r="L56" s="44">
        <v>98</v>
      </c>
      <c r="M56" s="44">
        <v>105</v>
      </c>
      <c r="N56" s="44">
        <v>119</v>
      </c>
      <c r="O56" s="44">
        <v>122</v>
      </c>
      <c r="P56" s="44">
        <v>126</v>
      </c>
      <c r="Q56" s="44">
        <v>126</v>
      </c>
      <c r="R56" s="44">
        <v>126</v>
      </c>
      <c r="S56" s="44">
        <v>107</v>
      </c>
      <c r="T56" s="44">
        <v>98</v>
      </c>
      <c r="U56" s="44">
        <v>76</v>
      </c>
      <c r="V56" s="44">
        <v>88</v>
      </c>
      <c r="W56" s="44">
        <v>89</v>
      </c>
      <c r="X56" s="44">
        <v>72</v>
      </c>
      <c r="Y56" s="44">
        <v>64</v>
      </c>
      <c r="Z56" s="44">
        <v>79</v>
      </c>
      <c r="AA56" s="44">
        <v>59</v>
      </c>
      <c r="AB56" s="44">
        <v>66</v>
      </c>
      <c r="AC56" s="44">
        <v>64</v>
      </c>
      <c r="AD56" s="44"/>
      <c r="AE56" s="44"/>
      <c r="AF56" s="44">
        <v>76</v>
      </c>
      <c r="AG56" s="44">
        <v>69</v>
      </c>
      <c r="AH56" s="44">
        <v>65</v>
      </c>
      <c r="AI56" s="44">
        <v>64</v>
      </c>
      <c r="AJ56" s="44">
        <v>70</v>
      </c>
      <c r="AK56" s="56">
        <v>77</v>
      </c>
      <c r="AL56" s="44">
        <v>79</v>
      </c>
      <c r="AM56" s="44">
        <v>75</v>
      </c>
      <c r="AN56" s="44">
        <v>81</v>
      </c>
      <c r="AO56" s="44">
        <v>85</v>
      </c>
      <c r="AP56" s="44">
        <v>81</v>
      </c>
      <c r="AQ56" s="73">
        <v>70</v>
      </c>
      <c r="AR56" s="44">
        <f t="shared" si="72"/>
        <v>70</v>
      </c>
      <c r="AS56" s="44">
        <v>71</v>
      </c>
      <c r="AT56" s="44">
        <v>67</v>
      </c>
      <c r="AU56" s="44">
        <v>66</v>
      </c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44"/>
      <c r="CR56" s="44"/>
      <c r="CS56" s="44"/>
      <c r="CT56" s="43"/>
      <c r="CU56" s="44"/>
      <c r="CV56" s="44">
        <v>458</v>
      </c>
      <c r="CW56" s="44">
        <v>500</v>
      </c>
      <c r="CX56" s="44">
        <f t="shared" si="60"/>
        <v>369</v>
      </c>
      <c r="CY56" s="44">
        <f>SUM(W56:Z56)</f>
        <v>304</v>
      </c>
      <c r="CZ56" s="44">
        <f t="shared" si="61"/>
        <v>189</v>
      </c>
      <c r="DA56" s="44">
        <f t="shared" si="73"/>
        <v>189</v>
      </c>
      <c r="DB56" s="44">
        <f t="shared" si="74"/>
        <v>290</v>
      </c>
      <c r="DC56" s="44">
        <f t="shared" si="50"/>
        <v>322</v>
      </c>
      <c r="DD56" s="44">
        <f t="shared" si="51"/>
        <v>278</v>
      </c>
      <c r="DE56" s="44">
        <f t="shared" si="69"/>
        <v>66</v>
      </c>
      <c r="DF56" s="44">
        <f>DE56</f>
        <v>66</v>
      </c>
      <c r="DG56" s="44">
        <f>+DF56*0.9</f>
        <v>59.4</v>
      </c>
      <c r="DH56" s="44">
        <f t="shared" ref="DH56:DR56" si="77">+DG56*0.9</f>
        <v>53.46</v>
      </c>
      <c r="DI56" s="44">
        <f t="shared" si="77"/>
        <v>48.114000000000004</v>
      </c>
      <c r="DJ56" s="44">
        <f t="shared" si="77"/>
        <v>43.302600000000005</v>
      </c>
      <c r="DK56" s="44">
        <f t="shared" si="77"/>
        <v>38.972340000000003</v>
      </c>
      <c r="DL56" s="44">
        <f t="shared" si="77"/>
        <v>35.075106000000005</v>
      </c>
      <c r="DM56" s="44">
        <f t="shared" si="77"/>
        <v>31.567595400000005</v>
      </c>
      <c r="DN56" s="44">
        <f t="shared" si="77"/>
        <v>28.410835860000006</v>
      </c>
      <c r="DO56" s="44">
        <f t="shared" si="77"/>
        <v>25.569752274000006</v>
      </c>
      <c r="DP56" s="44">
        <f t="shared" si="77"/>
        <v>23.012777046600007</v>
      </c>
      <c r="DQ56" s="44">
        <f t="shared" si="77"/>
        <v>20.711499341940009</v>
      </c>
      <c r="DR56" s="44">
        <f t="shared" si="77"/>
        <v>18.640349407746008</v>
      </c>
    </row>
    <row r="57" spans="1:122" s="11" customFormat="1">
      <c r="A57" s="35"/>
      <c r="B57" s="35" t="s">
        <v>225</v>
      </c>
      <c r="C57" s="44"/>
      <c r="D57" s="44"/>
      <c r="E57" s="44"/>
      <c r="F57" s="44"/>
      <c r="G57" s="44"/>
      <c r="H57" s="44"/>
      <c r="I57" s="44"/>
      <c r="J57" s="44"/>
      <c r="K57" s="44">
        <v>101</v>
      </c>
      <c r="L57" s="44">
        <v>122</v>
      </c>
      <c r="M57" s="44">
        <v>121</v>
      </c>
      <c r="N57" s="44">
        <v>122</v>
      </c>
      <c r="O57" s="44">
        <v>130</v>
      </c>
      <c r="P57" s="44">
        <v>140</v>
      </c>
      <c r="Q57" s="44">
        <v>128</v>
      </c>
      <c r="R57" s="44">
        <v>144</v>
      </c>
      <c r="S57" s="44">
        <v>127</v>
      </c>
      <c r="T57" s="44">
        <v>135</v>
      </c>
      <c r="U57" s="44">
        <v>118</v>
      </c>
      <c r="V57" s="44">
        <v>131</v>
      </c>
      <c r="W57" s="44">
        <v>132</v>
      </c>
      <c r="X57" s="44">
        <v>140</v>
      </c>
      <c r="Y57" s="44">
        <v>124</v>
      </c>
      <c r="Z57" s="44">
        <v>133</v>
      </c>
      <c r="AA57" s="44">
        <v>126</v>
      </c>
      <c r="AB57" s="44">
        <v>143</v>
      </c>
      <c r="AC57" s="44">
        <v>129</v>
      </c>
      <c r="AD57" s="44"/>
      <c r="AE57" s="44">
        <v>138</v>
      </c>
      <c r="AF57" s="44">
        <v>171</v>
      </c>
      <c r="AG57" s="44">
        <v>149</v>
      </c>
      <c r="AH57" s="44">
        <v>147</v>
      </c>
      <c r="AI57" s="44">
        <v>132</v>
      </c>
      <c r="AJ57" s="44">
        <v>153</v>
      </c>
      <c r="AK57" s="56">
        <v>148</v>
      </c>
      <c r="AL57" s="44">
        <v>166</v>
      </c>
      <c r="AM57" s="44">
        <v>149</v>
      </c>
      <c r="AN57" s="44">
        <v>155</v>
      </c>
      <c r="AO57" s="44">
        <v>139</v>
      </c>
      <c r="AP57" s="44">
        <v>162</v>
      </c>
      <c r="AQ57" s="73">
        <v>149</v>
      </c>
      <c r="AR57" s="44">
        <f t="shared" si="72"/>
        <v>149</v>
      </c>
      <c r="AS57" s="44">
        <v>149</v>
      </c>
      <c r="AT57" s="44">
        <v>148</v>
      </c>
      <c r="AU57" s="44">
        <v>132</v>
      </c>
      <c r="AV57" s="44"/>
      <c r="AW57" s="44"/>
      <c r="AX57" s="44"/>
      <c r="AY57" s="44"/>
      <c r="AZ57" s="44"/>
      <c r="BA57" s="44"/>
      <c r="BB57" s="44"/>
      <c r="BC57" s="44">
        <v>122</v>
      </c>
      <c r="BD57" s="44">
        <v>127</v>
      </c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44"/>
      <c r="CR57" s="44"/>
      <c r="CS57" s="44"/>
      <c r="CT57" s="43"/>
      <c r="CU57" s="44"/>
      <c r="CV57" s="44">
        <v>466</v>
      </c>
      <c r="CW57" s="44">
        <v>542</v>
      </c>
      <c r="CX57" s="44">
        <f t="shared" si="60"/>
        <v>511</v>
      </c>
      <c r="CY57" s="44">
        <f>SUM(W57:Z57)</f>
        <v>529</v>
      </c>
      <c r="CZ57" s="44">
        <f t="shared" si="61"/>
        <v>398</v>
      </c>
      <c r="DA57" s="44">
        <f t="shared" si="73"/>
        <v>398</v>
      </c>
      <c r="DB57" s="44">
        <f t="shared" si="74"/>
        <v>599</v>
      </c>
      <c r="DC57" s="44">
        <f t="shared" si="50"/>
        <v>605</v>
      </c>
      <c r="DD57" s="44">
        <f t="shared" si="51"/>
        <v>595</v>
      </c>
      <c r="DE57" s="44">
        <f t="shared" si="69"/>
        <v>132</v>
      </c>
      <c r="DF57" s="44">
        <f>DE57</f>
        <v>132</v>
      </c>
      <c r="DG57" s="44">
        <f t="shared" ref="DG57:DR57" si="78">DF57</f>
        <v>132</v>
      </c>
      <c r="DH57" s="44">
        <f t="shared" si="78"/>
        <v>132</v>
      </c>
      <c r="DI57" s="44">
        <f t="shared" si="78"/>
        <v>132</v>
      </c>
      <c r="DJ57" s="44">
        <f t="shared" si="78"/>
        <v>132</v>
      </c>
      <c r="DK57" s="44">
        <f t="shared" si="78"/>
        <v>132</v>
      </c>
      <c r="DL57" s="44">
        <f t="shared" si="78"/>
        <v>132</v>
      </c>
      <c r="DM57" s="44">
        <f t="shared" si="78"/>
        <v>132</v>
      </c>
      <c r="DN57" s="44">
        <f t="shared" si="78"/>
        <v>132</v>
      </c>
      <c r="DO57" s="44">
        <f t="shared" si="78"/>
        <v>132</v>
      </c>
      <c r="DP57" s="44">
        <f t="shared" si="78"/>
        <v>132</v>
      </c>
      <c r="DQ57" s="44">
        <f t="shared" si="78"/>
        <v>132</v>
      </c>
      <c r="DR57" s="44">
        <f t="shared" si="78"/>
        <v>132</v>
      </c>
    </row>
    <row r="58" spans="1:122" s="11" customFormat="1">
      <c r="A58" s="35"/>
      <c r="B58" s="104" t="s">
        <v>218</v>
      </c>
      <c r="C58" s="44">
        <v>207</v>
      </c>
      <c r="D58" s="44">
        <v>210</v>
      </c>
      <c r="E58" s="44">
        <v>190</v>
      </c>
      <c r="F58" s="44">
        <v>206</v>
      </c>
      <c r="G58" s="44">
        <v>164</v>
      </c>
      <c r="H58" s="44">
        <v>172</v>
      </c>
      <c r="I58" s="44">
        <v>165</v>
      </c>
      <c r="J58" s="44">
        <v>189</v>
      </c>
      <c r="K58" s="44">
        <v>66</v>
      </c>
      <c r="L58" s="44">
        <v>69</v>
      </c>
      <c r="M58" s="44">
        <v>100</v>
      </c>
      <c r="N58" s="44">
        <v>47</v>
      </c>
      <c r="O58" s="44">
        <v>72</v>
      </c>
      <c r="P58" s="44">
        <v>64</v>
      </c>
      <c r="Q58" s="44">
        <v>71</v>
      </c>
      <c r="R58" s="44">
        <v>86</v>
      </c>
      <c r="S58" s="44">
        <v>97</v>
      </c>
      <c r="T58" s="44">
        <v>92</v>
      </c>
      <c r="U58" s="44">
        <v>73</v>
      </c>
      <c r="V58" s="44">
        <v>72</v>
      </c>
      <c r="W58" s="44">
        <v>68</v>
      </c>
      <c r="X58" s="44">
        <v>65</v>
      </c>
      <c r="Y58" s="44">
        <v>57</v>
      </c>
      <c r="Z58" s="44">
        <v>81</v>
      </c>
      <c r="AA58" s="44">
        <v>74</v>
      </c>
      <c r="AB58" s="44">
        <v>66</v>
      </c>
      <c r="AC58" s="44">
        <v>63</v>
      </c>
      <c r="AD58" s="44">
        <v>68</v>
      </c>
      <c r="AE58" s="44">
        <f>787-519-213</f>
        <v>55</v>
      </c>
      <c r="AF58" s="44">
        <v>58</v>
      </c>
      <c r="AG58" s="44">
        <v>58</v>
      </c>
      <c r="AH58" s="44">
        <v>49</v>
      </c>
      <c r="AI58" s="44">
        <v>43</v>
      </c>
      <c r="AJ58" s="44">
        <v>35</v>
      </c>
      <c r="AK58" s="56">
        <v>35</v>
      </c>
      <c r="AL58" s="44">
        <v>30</v>
      </c>
      <c r="AM58" s="44">
        <v>28</v>
      </c>
      <c r="AN58" s="44">
        <v>25</v>
      </c>
      <c r="AO58" s="44">
        <v>30</v>
      </c>
      <c r="AP58" s="44">
        <v>25</v>
      </c>
      <c r="AQ58" s="73">
        <f>40-AQ59</f>
        <v>33</v>
      </c>
      <c r="AR58" s="44">
        <f t="shared" si="72"/>
        <v>33</v>
      </c>
      <c r="AS58" s="44">
        <v>29</v>
      </c>
      <c r="AT58" s="44">
        <v>36</v>
      </c>
      <c r="AU58" s="44">
        <v>16</v>
      </c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44"/>
      <c r="CR58" s="44"/>
      <c r="CS58" s="44"/>
      <c r="CT58" s="43"/>
      <c r="CU58" s="44">
        <v>690</v>
      </c>
      <c r="CV58" s="44">
        <v>282</v>
      </c>
      <c r="CW58" s="44">
        <v>293</v>
      </c>
      <c r="CX58" s="44">
        <f t="shared" si="60"/>
        <v>334</v>
      </c>
      <c r="CY58" s="44">
        <f>SUM(W58:Z58)</f>
        <v>271</v>
      </c>
      <c r="CZ58" s="44">
        <f t="shared" si="61"/>
        <v>271</v>
      </c>
      <c r="DA58" s="44">
        <f t="shared" si="73"/>
        <v>271</v>
      </c>
      <c r="DB58" s="44">
        <f t="shared" si="74"/>
        <v>143</v>
      </c>
      <c r="DC58" s="44">
        <f t="shared" si="50"/>
        <v>108</v>
      </c>
      <c r="DD58" s="44">
        <f t="shared" si="51"/>
        <v>131</v>
      </c>
      <c r="DE58" s="44">
        <f t="shared" si="69"/>
        <v>16</v>
      </c>
      <c r="DF58" s="44">
        <f>DE58</f>
        <v>16</v>
      </c>
      <c r="DG58" s="44">
        <f t="shared" ref="DG58:DR58" si="79">DF58</f>
        <v>16</v>
      </c>
      <c r="DH58" s="44">
        <f t="shared" si="79"/>
        <v>16</v>
      </c>
      <c r="DI58" s="44">
        <f t="shared" si="79"/>
        <v>16</v>
      </c>
      <c r="DJ58" s="44">
        <f t="shared" si="79"/>
        <v>16</v>
      </c>
      <c r="DK58" s="44">
        <f t="shared" si="79"/>
        <v>16</v>
      </c>
      <c r="DL58" s="44">
        <f t="shared" si="79"/>
        <v>16</v>
      </c>
      <c r="DM58" s="44">
        <f t="shared" si="79"/>
        <v>16</v>
      </c>
      <c r="DN58" s="44">
        <f t="shared" si="79"/>
        <v>16</v>
      </c>
      <c r="DO58" s="44">
        <f t="shared" si="79"/>
        <v>16</v>
      </c>
      <c r="DP58" s="44">
        <f t="shared" si="79"/>
        <v>16</v>
      </c>
      <c r="DQ58" s="44">
        <f t="shared" si="79"/>
        <v>16</v>
      </c>
      <c r="DR58" s="44">
        <f t="shared" si="79"/>
        <v>16</v>
      </c>
    </row>
    <row r="59" spans="1:122" s="11" customFormat="1">
      <c r="A59" s="35"/>
      <c r="B59" s="104" t="s">
        <v>341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>
        <v>0</v>
      </c>
      <c r="AH59" s="44"/>
      <c r="AI59" s="44"/>
      <c r="AJ59" s="44"/>
      <c r="AK59" s="56">
        <v>152</v>
      </c>
      <c r="AL59" s="44">
        <v>237</v>
      </c>
      <c r="AM59" s="44">
        <v>39</v>
      </c>
      <c r="AN59" s="44">
        <v>0</v>
      </c>
      <c r="AO59" s="44">
        <v>0</v>
      </c>
      <c r="AP59" s="44">
        <v>0</v>
      </c>
      <c r="AQ59" s="73">
        <v>7</v>
      </c>
      <c r="AR59" s="44">
        <v>0</v>
      </c>
      <c r="AS59" s="44">
        <v>0</v>
      </c>
      <c r="AT59" s="44">
        <v>0</v>
      </c>
      <c r="AU59" s="44">
        <v>0</v>
      </c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44"/>
      <c r="CR59" s="44"/>
      <c r="CS59" s="44"/>
      <c r="CT59" s="43"/>
      <c r="CU59" s="44"/>
      <c r="CV59" s="44"/>
      <c r="CW59" s="44"/>
      <c r="CX59" s="44"/>
      <c r="CY59" s="44"/>
      <c r="CZ59" s="44"/>
      <c r="DA59" s="44"/>
      <c r="DB59" s="44">
        <f t="shared" si="74"/>
        <v>389</v>
      </c>
      <c r="DC59" s="44">
        <f t="shared" si="50"/>
        <v>39</v>
      </c>
      <c r="DD59" s="44">
        <f t="shared" si="51"/>
        <v>7</v>
      </c>
      <c r="DE59" s="44"/>
      <c r="DF59" s="44"/>
      <c r="DG59" s="44"/>
      <c r="DH59" s="44"/>
      <c r="DI59" s="44"/>
      <c r="DJ59" s="44"/>
      <c r="DK59" s="44"/>
      <c r="DL59" s="44"/>
      <c r="DM59" s="44"/>
    </row>
    <row r="60" spans="1:122" s="11" customFormat="1">
      <c r="A60" s="35"/>
      <c r="B60" s="104" t="s">
        <v>452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56"/>
      <c r="AL60" s="44"/>
      <c r="AM60" s="44"/>
      <c r="AN60" s="44"/>
      <c r="AO60" s="44">
        <v>5</v>
      </c>
      <c r="AP60" s="44">
        <v>0</v>
      </c>
      <c r="AQ60" s="73">
        <v>4</v>
      </c>
      <c r="AR60" s="44">
        <f>AQ60</f>
        <v>4</v>
      </c>
      <c r="AS60" s="44">
        <v>10</v>
      </c>
      <c r="AT60" s="44">
        <v>14</v>
      </c>
      <c r="AU60" s="44">
        <v>16</v>
      </c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44"/>
      <c r="CR60" s="44"/>
      <c r="CS60" s="44"/>
      <c r="CT60" s="43"/>
      <c r="CU60" s="44"/>
      <c r="CV60" s="44"/>
      <c r="CW60" s="44"/>
      <c r="CX60" s="44"/>
      <c r="CY60" s="44"/>
      <c r="CZ60" s="44"/>
      <c r="DA60" s="44"/>
      <c r="DB60" s="44"/>
      <c r="DC60" s="44"/>
      <c r="DD60" s="44">
        <f t="shared" si="51"/>
        <v>32</v>
      </c>
      <c r="DE60" s="44">
        <f>SUM(AU60:AX60)</f>
        <v>16</v>
      </c>
      <c r="DF60" s="44">
        <f>+DE60*1.5</f>
        <v>24</v>
      </c>
      <c r="DG60" s="44">
        <f>+DF60*1.5</f>
        <v>36</v>
      </c>
      <c r="DH60" s="44">
        <f>+DG60*1.2</f>
        <v>43.199999999999996</v>
      </c>
      <c r="DI60" s="44">
        <f t="shared" ref="DI60:DP60" si="80">+DH60*1.2</f>
        <v>51.839999999999996</v>
      </c>
      <c r="DJ60" s="44">
        <f t="shared" si="80"/>
        <v>62.207999999999991</v>
      </c>
      <c r="DK60" s="44">
        <f t="shared" si="80"/>
        <v>74.649599999999992</v>
      </c>
      <c r="DL60" s="44">
        <f t="shared" si="80"/>
        <v>89.579519999999988</v>
      </c>
      <c r="DM60" s="44">
        <f t="shared" si="80"/>
        <v>107.49542399999999</v>
      </c>
      <c r="DN60" s="44">
        <f t="shared" si="80"/>
        <v>128.99450879999998</v>
      </c>
      <c r="DO60" s="44">
        <f t="shared" si="80"/>
        <v>154.79341055999996</v>
      </c>
      <c r="DP60" s="44">
        <f t="shared" si="80"/>
        <v>185.75209267199995</v>
      </c>
      <c r="DQ60" s="44">
        <f>+DP60*0.5</f>
        <v>92.876046335999973</v>
      </c>
      <c r="DR60" s="69">
        <f>+DQ60*0.9</f>
        <v>83.588441702399976</v>
      </c>
    </row>
    <row r="61" spans="1:122" s="11" customFormat="1">
      <c r="A61" s="35"/>
      <c r="B61" s="104" t="s">
        <v>36</v>
      </c>
      <c r="C61" s="44">
        <v>48</v>
      </c>
      <c r="D61" s="44">
        <v>45</v>
      </c>
      <c r="E61" s="44">
        <v>20</v>
      </c>
      <c r="F61" s="44">
        <v>30</v>
      </c>
      <c r="G61" s="44">
        <v>32</v>
      </c>
      <c r="H61" s="44">
        <v>33</v>
      </c>
      <c r="I61" s="44">
        <v>27</v>
      </c>
      <c r="J61" s="44">
        <v>52</v>
      </c>
      <c r="K61" s="44">
        <v>31</v>
      </c>
      <c r="L61" s="44">
        <v>25</v>
      </c>
      <c r="M61" s="44">
        <v>20</v>
      </c>
      <c r="N61" s="44">
        <v>31</v>
      </c>
      <c r="O61" s="44">
        <v>30</v>
      </c>
      <c r="P61" s="44">
        <v>23</v>
      </c>
      <c r="Q61" s="44">
        <v>31</v>
      </c>
      <c r="R61" s="44">
        <v>32</v>
      </c>
      <c r="S61" s="44">
        <v>28</v>
      </c>
      <c r="T61" s="44">
        <v>13</v>
      </c>
      <c r="U61" s="44">
        <v>14</v>
      </c>
      <c r="V61" s="44">
        <v>17</v>
      </c>
      <c r="W61" s="44">
        <f>39-X61</f>
        <v>18</v>
      </c>
      <c r="X61" s="44">
        <v>21</v>
      </c>
      <c r="Y61" s="44">
        <v>20</v>
      </c>
      <c r="Z61" s="44">
        <v>22</v>
      </c>
      <c r="AA61" s="44">
        <f>38-AB61</f>
        <v>19</v>
      </c>
      <c r="AB61" s="44">
        <v>19</v>
      </c>
      <c r="AC61" s="44">
        <v>19</v>
      </c>
      <c r="AD61" s="44">
        <v>19</v>
      </c>
      <c r="AE61" s="44">
        <v>18</v>
      </c>
      <c r="AF61" s="44">
        <v>19</v>
      </c>
      <c r="AG61" s="44">
        <v>18</v>
      </c>
      <c r="AH61" s="44">
        <v>18</v>
      </c>
      <c r="AI61" s="44">
        <v>16</v>
      </c>
      <c r="AJ61" s="44">
        <v>16</v>
      </c>
      <c r="AK61" s="56">
        <v>17</v>
      </c>
      <c r="AL61" s="44">
        <v>17</v>
      </c>
      <c r="AM61" s="44"/>
      <c r="AN61" s="44"/>
      <c r="AO61" s="44"/>
      <c r="AP61" s="44"/>
      <c r="AQ61" s="56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44"/>
      <c r="CR61" s="44"/>
      <c r="CS61" s="44"/>
      <c r="CT61" s="43"/>
      <c r="CU61" s="44">
        <v>144</v>
      </c>
      <c r="CV61" s="44">
        <v>107</v>
      </c>
      <c r="CW61" s="44">
        <v>116</v>
      </c>
      <c r="CX61" s="44">
        <f>SUM(S61:V61)</f>
        <v>72</v>
      </c>
      <c r="CY61" s="44">
        <f>SUM(W61:Z61)</f>
        <v>81</v>
      </c>
      <c r="CZ61" s="44">
        <f>SUM(AA61:AD61)</f>
        <v>76</v>
      </c>
      <c r="DA61" s="44">
        <f>CZ61</f>
        <v>76</v>
      </c>
      <c r="DB61" s="44">
        <f>SUM(AI61:AL61)</f>
        <v>66</v>
      </c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Q61" s="69"/>
      <c r="DR61" s="69"/>
    </row>
    <row r="62" spans="1:122" s="11" customFormat="1">
      <c r="A62" s="35"/>
      <c r="B62" s="104" t="s">
        <v>37</v>
      </c>
      <c r="C62" s="44">
        <v>32</v>
      </c>
      <c r="D62" s="44">
        <v>33</v>
      </c>
      <c r="E62" s="44">
        <v>29</v>
      </c>
      <c r="F62" s="44">
        <v>33</v>
      </c>
      <c r="G62" s="44">
        <v>31</v>
      </c>
      <c r="H62" s="44">
        <v>30</v>
      </c>
      <c r="I62" s="44">
        <v>30</v>
      </c>
      <c r="J62" s="44">
        <v>29</v>
      </c>
      <c r="K62" s="44">
        <v>31</v>
      </c>
      <c r="L62" s="44">
        <v>29</v>
      </c>
      <c r="M62" s="44">
        <v>31</v>
      </c>
      <c r="N62" s="44">
        <v>29</v>
      </c>
      <c r="O62" s="44">
        <v>25</v>
      </c>
      <c r="P62" s="44">
        <v>26</v>
      </c>
      <c r="Q62" s="44">
        <v>25</v>
      </c>
      <c r="R62" s="44">
        <v>25</v>
      </c>
      <c r="S62" s="44">
        <v>23</v>
      </c>
      <c r="T62" s="44">
        <v>23</v>
      </c>
      <c r="U62" s="44">
        <v>23</v>
      </c>
      <c r="V62" s="44">
        <v>22</v>
      </c>
      <c r="W62" s="44">
        <f>44-X62</f>
        <v>22</v>
      </c>
      <c r="X62" s="44">
        <v>22</v>
      </c>
      <c r="Y62" s="44">
        <v>21</v>
      </c>
      <c r="Z62" s="44">
        <v>23</v>
      </c>
      <c r="AA62" s="44">
        <f>46-AB62</f>
        <v>23</v>
      </c>
      <c r="AB62" s="44">
        <v>23</v>
      </c>
      <c r="AC62" s="44">
        <v>18</v>
      </c>
      <c r="AD62" s="44">
        <v>22</v>
      </c>
      <c r="AE62" s="44">
        <v>17</v>
      </c>
      <c r="AF62" s="44">
        <v>21</v>
      </c>
      <c r="AG62" s="44">
        <v>18</v>
      </c>
      <c r="AH62" s="44">
        <v>15</v>
      </c>
      <c r="AI62" s="44">
        <v>12</v>
      </c>
      <c r="AJ62" s="44">
        <v>16</v>
      </c>
      <c r="AK62" s="56">
        <v>16</v>
      </c>
      <c r="AL62" s="44">
        <v>19</v>
      </c>
      <c r="AM62" s="44"/>
      <c r="AN62" s="44"/>
      <c r="AO62" s="44"/>
      <c r="AP62" s="44"/>
      <c r="AQ62" s="56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44"/>
      <c r="CR62" s="44"/>
      <c r="CS62" s="44"/>
      <c r="CT62" s="43"/>
      <c r="CU62" s="44">
        <v>120</v>
      </c>
      <c r="CV62" s="44">
        <v>120</v>
      </c>
      <c r="CW62" s="44">
        <v>101</v>
      </c>
      <c r="CX62" s="44">
        <f>SUM(S62:V62)</f>
        <v>91</v>
      </c>
      <c r="CY62" s="44">
        <f>SUM(W62:Z62)</f>
        <v>88</v>
      </c>
      <c r="CZ62" s="44">
        <f>SUM(AA62:AD62)</f>
        <v>86</v>
      </c>
      <c r="DA62" s="44">
        <f>CZ62</f>
        <v>86</v>
      </c>
      <c r="DB62" s="44">
        <f>SUM(AI62:AL62)</f>
        <v>63</v>
      </c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Q62" s="69"/>
      <c r="DR62" s="69"/>
    </row>
    <row r="63" spans="1:122" s="11" customFormat="1">
      <c r="A63" s="35"/>
      <c r="B63" s="104" t="s">
        <v>190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>
        <v>0</v>
      </c>
      <c r="AB63" s="44">
        <v>8</v>
      </c>
      <c r="AC63" s="44">
        <v>19</v>
      </c>
      <c r="AD63" s="44">
        <v>16</v>
      </c>
      <c r="AE63" s="44">
        <v>14</v>
      </c>
      <c r="AF63" s="44">
        <v>6</v>
      </c>
      <c r="AG63" s="44">
        <v>3</v>
      </c>
      <c r="AH63" s="44">
        <v>5</v>
      </c>
      <c r="AI63" s="44">
        <v>4</v>
      </c>
      <c r="AJ63" s="44">
        <v>5</v>
      </c>
      <c r="AK63" s="56">
        <v>2</v>
      </c>
      <c r="AL63" s="44">
        <v>4</v>
      </c>
      <c r="AM63" s="44"/>
      <c r="AN63" s="44"/>
      <c r="AO63" s="44"/>
      <c r="AP63" s="44"/>
      <c r="AQ63" s="56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44"/>
      <c r="CR63" s="44"/>
      <c r="CS63" s="44"/>
      <c r="CT63" s="43"/>
      <c r="CU63" s="44"/>
      <c r="CV63" s="44"/>
      <c r="CW63" s="44"/>
      <c r="CX63" s="44"/>
      <c r="CY63" s="44"/>
      <c r="CZ63" s="44">
        <f>SUM(AA63:AG63)</f>
        <v>66</v>
      </c>
      <c r="DA63" s="44">
        <f>CZ63</f>
        <v>66</v>
      </c>
      <c r="DB63" s="44">
        <f>SUM(AI63:AL63)</f>
        <v>15</v>
      </c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Q63" s="69"/>
      <c r="DR63" s="69"/>
    </row>
    <row r="64" spans="1:122" s="11" customFormat="1">
      <c r="A64" s="35"/>
      <c r="B64" s="104" t="s">
        <v>41</v>
      </c>
      <c r="C64" s="44">
        <v>136</v>
      </c>
      <c r="D64" s="44">
        <v>144</v>
      </c>
      <c r="E64" s="44">
        <v>157</v>
      </c>
      <c r="F64" s="44">
        <v>181</v>
      </c>
      <c r="G64" s="44">
        <v>140</v>
      </c>
      <c r="H64" s="44">
        <v>117</v>
      </c>
      <c r="I64" s="44">
        <v>85</v>
      </c>
      <c r="J64" s="44">
        <v>138</v>
      </c>
      <c r="K64" s="44">
        <v>61</v>
      </c>
      <c r="L64" s="44">
        <v>39</v>
      </c>
      <c r="M64" s="44">
        <v>38</v>
      </c>
      <c r="N64" s="44">
        <v>40</v>
      </c>
      <c r="O64" s="44">
        <v>31</v>
      </c>
      <c r="P64" s="44">
        <v>38</v>
      </c>
      <c r="Q64" s="44">
        <v>30</v>
      </c>
      <c r="R64" s="44">
        <v>35</v>
      </c>
      <c r="S64" s="44">
        <v>28</v>
      </c>
      <c r="T64" s="44">
        <v>32</v>
      </c>
      <c r="U64" s="44">
        <v>26</v>
      </c>
      <c r="V64" s="44">
        <v>28</v>
      </c>
      <c r="W64" s="44">
        <f>45-X64</f>
        <v>21</v>
      </c>
      <c r="X64" s="44">
        <v>24</v>
      </c>
      <c r="Y64" s="44"/>
      <c r="Z64" s="44">
        <v>23</v>
      </c>
      <c r="AA64" s="44">
        <f>39-AB64</f>
        <v>19</v>
      </c>
      <c r="AB64" s="44">
        <v>20</v>
      </c>
      <c r="AC64" s="44"/>
      <c r="AD64" s="44">
        <v>24</v>
      </c>
      <c r="AE64" s="44">
        <v>18</v>
      </c>
      <c r="AF64" s="44"/>
      <c r="AG64" s="57" t="s">
        <v>343</v>
      </c>
      <c r="AH64" s="44"/>
      <c r="AI64" s="44"/>
      <c r="AJ64" s="44"/>
      <c r="AK64" s="56"/>
      <c r="AL64" s="44"/>
      <c r="AM64" s="44"/>
      <c r="AN64" s="44"/>
      <c r="AO64" s="44"/>
      <c r="AP64" s="44"/>
      <c r="AQ64" s="73">
        <v>23</v>
      </c>
      <c r="AR64" s="44">
        <f>AQ64</f>
        <v>23</v>
      </c>
      <c r="AS64" s="44">
        <v>0</v>
      </c>
      <c r="AT64" s="44">
        <v>0</v>
      </c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44"/>
      <c r="CR64" s="44"/>
      <c r="CS64" s="44"/>
      <c r="CT64" s="43"/>
      <c r="CU64" s="44">
        <v>480</v>
      </c>
      <c r="CV64" s="44">
        <v>178</v>
      </c>
      <c r="CW64" s="44">
        <v>134</v>
      </c>
      <c r="CX64" s="44">
        <f>SUM(S64:V64)</f>
        <v>114</v>
      </c>
      <c r="CY64" s="44">
        <f>SUM(W64:Z64)</f>
        <v>68</v>
      </c>
      <c r="CZ64" s="44">
        <f>SUM(AA64:AD64)</f>
        <v>63</v>
      </c>
      <c r="DA64" s="44">
        <f>CZ64</f>
        <v>63</v>
      </c>
      <c r="DB64" s="44">
        <f>SUM(AI64:AL64)</f>
        <v>0</v>
      </c>
      <c r="DC64" s="44"/>
      <c r="DD64" s="44">
        <f>SUM(AQ64:AT64)</f>
        <v>46</v>
      </c>
      <c r="DE64" s="44"/>
      <c r="DF64" s="43">
        <f t="shared" ref="DF64:DL64" si="81">DE64*0.5</f>
        <v>0</v>
      </c>
      <c r="DG64" s="43">
        <f t="shared" si="81"/>
        <v>0</v>
      </c>
      <c r="DH64" s="43">
        <f t="shared" si="81"/>
        <v>0</v>
      </c>
      <c r="DI64" s="43">
        <f t="shared" si="81"/>
        <v>0</v>
      </c>
      <c r="DJ64" s="43">
        <f t="shared" si="81"/>
        <v>0</v>
      </c>
      <c r="DK64" s="43">
        <f t="shared" si="81"/>
        <v>0</v>
      </c>
      <c r="DL64" s="43">
        <f t="shared" si="81"/>
        <v>0</v>
      </c>
      <c r="DM64" s="44"/>
      <c r="DQ64" s="69"/>
      <c r="DR64" s="69"/>
    </row>
    <row r="65" spans="1:122" s="11" customFormat="1">
      <c r="A65" s="35"/>
      <c r="B65" s="104" t="s">
        <v>327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56"/>
      <c r="AL65" s="44"/>
      <c r="AM65" s="44"/>
      <c r="AN65" s="44"/>
      <c r="AO65" s="44"/>
      <c r="AP65" s="44"/>
      <c r="AQ65" s="56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44"/>
      <c r="CR65" s="44"/>
      <c r="CS65" s="44"/>
      <c r="CT65" s="43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Q65" s="69"/>
      <c r="DR65" s="69"/>
    </row>
    <row r="66" spans="1:122" s="11" customFormat="1">
      <c r="A66" s="35"/>
      <c r="B66" s="104" t="s">
        <v>475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56"/>
      <c r="AL66" s="44"/>
      <c r="AM66" s="44"/>
      <c r="AN66" s="44"/>
      <c r="AO66" s="44"/>
      <c r="AP66" s="44"/>
      <c r="AQ66" s="56"/>
      <c r="AR66" s="44"/>
      <c r="AS66" s="44">
        <v>0</v>
      </c>
      <c r="AT66" s="44">
        <v>0</v>
      </c>
      <c r="AU66" s="44">
        <v>5</v>
      </c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44"/>
      <c r="CR66" s="44"/>
      <c r="CS66" s="44"/>
      <c r="CT66" s="43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>
        <f>SUM(AU66:AX66)</f>
        <v>5</v>
      </c>
      <c r="DF66" s="44">
        <f>+DE66*2</f>
        <v>10</v>
      </c>
      <c r="DG66" s="44">
        <f>+DF66*1.5</f>
        <v>15</v>
      </c>
      <c r="DH66" s="44">
        <f>+DG66*1.2</f>
        <v>18</v>
      </c>
      <c r="DI66" s="44">
        <f>+DH66*1.2</f>
        <v>21.599999999999998</v>
      </c>
      <c r="DJ66" s="44">
        <f>+DI66*1.2</f>
        <v>25.919999999999998</v>
      </c>
      <c r="DK66" s="44">
        <f>+DJ66*1.2</f>
        <v>31.103999999999996</v>
      </c>
      <c r="DL66" s="44">
        <f>+DK66*1.1</f>
        <v>34.214399999999998</v>
      </c>
      <c r="DM66" s="44">
        <f>+DL66*1.1</f>
        <v>37.635840000000002</v>
      </c>
      <c r="DN66" s="44">
        <f>+DM66*1.1</f>
        <v>41.399424000000003</v>
      </c>
      <c r="DO66" s="44">
        <f>+DN66*1.1</f>
        <v>45.539366400000006</v>
      </c>
      <c r="DP66" s="44">
        <f>+DO66*1.1</f>
        <v>50.093303040000009</v>
      </c>
      <c r="DQ66" s="44">
        <f>+DP66*0.5</f>
        <v>25.046651520000005</v>
      </c>
      <c r="DR66" s="69">
        <f>+DQ66*0.9</f>
        <v>22.541986368000003</v>
      </c>
    </row>
    <row r="67" spans="1:122" s="11" customFormat="1">
      <c r="A67" s="35"/>
      <c r="B67" s="104">
        <v>6140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56"/>
      <c r="AL67" s="44"/>
      <c r="AM67" s="44"/>
      <c r="AN67" s="44"/>
      <c r="AO67" s="44"/>
      <c r="AP67" s="44"/>
      <c r="AQ67" s="56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44"/>
      <c r="CR67" s="44"/>
      <c r="CS67" s="44"/>
      <c r="CT67" s="43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</row>
    <row r="68" spans="1:122" s="11" customFormat="1">
      <c r="A68" s="35"/>
      <c r="B68" s="104" t="s">
        <v>240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56"/>
      <c r="AL68" s="44"/>
      <c r="AM68" s="44"/>
      <c r="AN68" s="44"/>
      <c r="AO68" s="44"/>
      <c r="AP68" s="44"/>
      <c r="AQ68" s="56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44"/>
      <c r="CR68" s="44"/>
      <c r="CS68" s="44"/>
      <c r="CT68" s="43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</row>
    <row r="69" spans="1:122" s="11" customFormat="1">
      <c r="A69" s="35"/>
      <c r="B69" s="104" t="s">
        <v>48</v>
      </c>
      <c r="C69" s="44"/>
      <c r="D69" s="44"/>
      <c r="E69" s="44"/>
      <c r="F69" s="44"/>
      <c r="G69" s="44">
        <v>116</v>
      </c>
      <c r="H69" s="44">
        <v>123</v>
      </c>
      <c r="I69" s="44">
        <v>124</v>
      </c>
      <c r="J69" s="44">
        <v>135</v>
      </c>
      <c r="K69" s="44">
        <v>140</v>
      </c>
      <c r="L69" s="44">
        <v>137</v>
      </c>
      <c r="M69" s="44">
        <v>116</v>
      </c>
      <c r="N69" s="44">
        <v>138</v>
      </c>
      <c r="O69" s="44">
        <v>132</v>
      </c>
      <c r="P69" s="44">
        <v>141</v>
      </c>
      <c r="Q69" s="44">
        <v>139</v>
      </c>
      <c r="R69" s="44">
        <v>148</v>
      </c>
      <c r="S69" s="44">
        <v>156</v>
      </c>
      <c r="T69" s="44">
        <v>166</v>
      </c>
      <c r="U69" s="44">
        <v>154</v>
      </c>
      <c r="V69" s="44">
        <v>171</v>
      </c>
      <c r="W69" s="44">
        <f>88+83</f>
        <v>171</v>
      </c>
      <c r="X69" s="44">
        <f>93+90</f>
        <v>183</v>
      </c>
      <c r="Y69" s="44">
        <f>95+85</f>
        <v>180</v>
      </c>
      <c r="Z69" s="44">
        <f>98+102</f>
        <v>200</v>
      </c>
      <c r="AA69" s="44">
        <f>98+102</f>
        <v>200</v>
      </c>
      <c r="AB69" s="44">
        <f>111+102</f>
        <v>213</v>
      </c>
      <c r="AC69" s="44">
        <v>204</v>
      </c>
      <c r="AD69" s="44">
        <f>8170-SUM(AD13:AD58)</f>
        <v>746</v>
      </c>
      <c r="AE69" s="44">
        <f>7677-SUM(AE13:AE58)</f>
        <v>626</v>
      </c>
      <c r="AF69" s="44">
        <f>148+98</f>
        <v>246</v>
      </c>
      <c r="AG69" s="44">
        <f>129+98</f>
        <v>227</v>
      </c>
      <c r="AH69" s="44">
        <f>101+124</f>
        <v>225</v>
      </c>
      <c r="AI69" s="44">
        <f>105+117</f>
        <v>222</v>
      </c>
      <c r="AJ69" s="44">
        <f>112+127</f>
        <v>239</v>
      </c>
      <c r="AK69" s="44">
        <f>104+120</f>
        <v>224</v>
      </c>
      <c r="AL69" s="44">
        <f>72+142</f>
        <v>214</v>
      </c>
      <c r="AM69" s="44">
        <f>64+132</f>
        <v>196</v>
      </c>
      <c r="AN69" s="44">
        <f>59+134</f>
        <v>193</v>
      </c>
      <c r="AO69" s="44">
        <f>42+123</f>
        <v>165</v>
      </c>
      <c r="AP69" s="44">
        <f>146+54</f>
        <v>200</v>
      </c>
      <c r="AQ69" s="73">
        <f>53+141</f>
        <v>194</v>
      </c>
      <c r="AR69" s="44">
        <f>AQ69</f>
        <v>194</v>
      </c>
      <c r="AS69" s="44">
        <f>56+88</f>
        <v>144</v>
      </c>
      <c r="AT69" s="44">
        <v>55</v>
      </c>
      <c r="AU69" s="44">
        <v>29</v>
      </c>
      <c r="AV69" s="44">
        <v>0</v>
      </c>
      <c r="AW69" s="44">
        <v>0</v>
      </c>
      <c r="AX69" s="44">
        <v>0</v>
      </c>
      <c r="AY69" s="44">
        <v>0</v>
      </c>
      <c r="AZ69" s="44">
        <v>0</v>
      </c>
      <c r="BA69" s="44">
        <v>0</v>
      </c>
      <c r="BB69" s="44">
        <v>0</v>
      </c>
      <c r="BC69" s="44">
        <v>0</v>
      </c>
      <c r="BD69" s="44">
        <v>0</v>
      </c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44"/>
      <c r="CR69" s="44"/>
      <c r="CS69" s="44"/>
      <c r="CT69" s="43"/>
      <c r="CU69" s="44">
        <v>498</v>
      </c>
      <c r="CV69" s="44">
        <v>531</v>
      </c>
      <c r="CW69" s="44">
        <v>560</v>
      </c>
      <c r="CX69" s="44">
        <f>SUM(S69:V69)</f>
        <v>647</v>
      </c>
      <c r="CY69" s="44">
        <f>SUM(W69:Z69)</f>
        <v>734</v>
      </c>
      <c r="CZ69" s="44">
        <f>SUM(AA69:AD69)</f>
        <v>1363</v>
      </c>
      <c r="DA69" s="44">
        <f>CZ69</f>
        <v>1363</v>
      </c>
      <c r="DB69" s="44">
        <f>SUM(AI69:AL69)</f>
        <v>899</v>
      </c>
      <c r="DC69" s="44">
        <f>SUM(AM69:AP69)</f>
        <v>754</v>
      </c>
      <c r="DD69" s="44">
        <f>SUM(AQ69:AT69)</f>
        <v>587</v>
      </c>
      <c r="DE69" s="44">
        <f>SUM(AU69:AX69)</f>
        <v>29</v>
      </c>
      <c r="DF69" s="44">
        <v>0</v>
      </c>
      <c r="DG69" s="44">
        <f t="shared" ref="DG69:DM69" si="82">DF69</f>
        <v>0</v>
      </c>
      <c r="DH69" s="44">
        <f t="shared" si="82"/>
        <v>0</v>
      </c>
      <c r="DI69" s="44">
        <f t="shared" si="82"/>
        <v>0</v>
      </c>
      <c r="DJ69" s="44">
        <f t="shared" si="82"/>
        <v>0</v>
      </c>
      <c r="DK69" s="44">
        <f t="shared" si="82"/>
        <v>0</v>
      </c>
      <c r="DL69" s="44">
        <f t="shared" si="82"/>
        <v>0</v>
      </c>
      <c r="DM69" s="44">
        <f t="shared" si="82"/>
        <v>0</v>
      </c>
      <c r="DN69" s="44">
        <f>DM69</f>
        <v>0</v>
      </c>
      <c r="DO69" s="44">
        <f>DN69</f>
        <v>0</v>
      </c>
      <c r="DP69" s="44">
        <f>DO69</f>
        <v>0</v>
      </c>
      <c r="DQ69" s="44">
        <f>DP69</f>
        <v>0</v>
      </c>
      <c r="DR69" s="44">
        <f>DQ69</f>
        <v>0</v>
      </c>
    </row>
    <row r="70" spans="1:122" s="10" customFormat="1">
      <c r="A70" s="101"/>
      <c r="B70" s="105" t="s">
        <v>561</v>
      </c>
      <c r="C70" s="74">
        <v>3933</v>
      </c>
      <c r="D70" s="74">
        <v>4035</v>
      </c>
      <c r="E70" s="74">
        <v>3888</v>
      </c>
      <c r="F70" s="74">
        <v>4366.5</v>
      </c>
      <c r="G70" s="74">
        <v>4346.3</v>
      </c>
      <c r="H70" s="74">
        <v>4312</v>
      </c>
      <c r="I70" s="74">
        <v>4282</v>
      </c>
      <c r="J70" s="74">
        <v>4901</v>
      </c>
      <c r="K70" s="74">
        <v>4744</v>
      </c>
      <c r="L70" s="74">
        <v>4447</v>
      </c>
      <c r="M70" s="74">
        <v>4817</v>
      </c>
      <c r="N70" s="74">
        <v>4841.3999999999996</v>
      </c>
      <c r="O70" s="74">
        <v>5074</v>
      </c>
      <c r="P70" s="74">
        <v>5288</v>
      </c>
      <c r="Q70" s="74">
        <v>5265</v>
      </c>
      <c r="R70" s="74">
        <v>5799</v>
      </c>
      <c r="S70" s="74">
        <v>5743</v>
      </c>
      <c r="T70" s="74">
        <v>6132.25</v>
      </c>
      <c r="U70" s="74">
        <v>5789</v>
      </c>
      <c r="V70" s="74">
        <f t="shared" ref="V70:BA70" si="83">SUM(V13:V69)</f>
        <v>6022</v>
      </c>
      <c r="W70" s="74">
        <f t="shared" si="83"/>
        <v>5903</v>
      </c>
      <c r="X70" s="74">
        <f t="shared" si="83"/>
        <v>6317</v>
      </c>
      <c r="Y70" s="74">
        <f t="shared" si="83"/>
        <v>6240</v>
      </c>
      <c r="Z70" s="74">
        <f t="shared" si="83"/>
        <v>6902</v>
      </c>
      <c r="AA70" s="74">
        <f t="shared" si="83"/>
        <v>6612</v>
      </c>
      <c r="AB70" s="74">
        <f t="shared" si="83"/>
        <v>6859</v>
      </c>
      <c r="AC70" s="74">
        <f t="shared" si="83"/>
        <v>6779</v>
      </c>
      <c r="AD70" s="74">
        <f t="shared" si="83"/>
        <v>8251</v>
      </c>
      <c r="AE70" s="74">
        <f t="shared" si="83"/>
        <v>7744</v>
      </c>
      <c r="AF70" s="74">
        <f t="shared" si="83"/>
        <v>7438</v>
      </c>
      <c r="AG70" s="74">
        <f t="shared" si="83"/>
        <v>7274</v>
      </c>
      <c r="AH70" s="74">
        <f t="shared" si="83"/>
        <v>7679</v>
      </c>
      <c r="AI70" s="74">
        <f t="shared" si="83"/>
        <v>7186</v>
      </c>
      <c r="AJ70" s="74">
        <f t="shared" si="83"/>
        <v>7407</v>
      </c>
      <c r="AK70" s="74">
        <f t="shared" si="83"/>
        <v>7638</v>
      </c>
      <c r="AL70" s="74">
        <f t="shared" si="83"/>
        <v>8279</v>
      </c>
      <c r="AM70" s="74">
        <f t="shared" si="83"/>
        <v>7875</v>
      </c>
      <c r="AN70" s="74">
        <f t="shared" si="83"/>
        <v>7514</v>
      </c>
      <c r="AO70" s="74">
        <f t="shared" si="83"/>
        <v>7258</v>
      </c>
      <c r="AP70" s="74">
        <f t="shared" si="83"/>
        <v>7876</v>
      </c>
      <c r="AQ70" s="94">
        <f t="shared" si="83"/>
        <v>7540</v>
      </c>
      <c r="AR70" s="74">
        <f t="shared" si="83"/>
        <v>7082.16</v>
      </c>
      <c r="AS70" s="74">
        <f t="shared" si="83"/>
        <v>7458</v>
      </c>
      <c r="AT70" s="74">
        <f t="shared" si="83"/>
        <v>7817</v>
      </c>
      <c r="AU70" s="74">
        <f t="shared" si="83"/>
        <v>6626</v>
      </c>
      <c r="AV70" s="74">
        <f t="shared" si="83"/>
        <v>0</v>
      </c>
      <c r="AW70" s="74">
        <f t="shared" si="83"/>
        <v>0</v>
      </c>
      <c r="AX70" s="74">
        <f t="shared" si="83"/>
        <v>0</v>
      </c>
      <c r="AY70" s="74">
        <f t="shared" si="83"/>
        <v>4825</v>
      </c>
      <c r="AZ70" s="74">
        <f t="shared" si="83"/>
        <v>4461</v>
      </c>
      <c r="BA70" s="74">
        <f t="shared" si="83"/>
        <v>0</v>
      </c>
      <c r="BB70" s="74">
        <f t="shared" ref="BB70:BV70" si="84">SUM(BB13:BB69)</f>
        <v>0</v>
      </c>
      <c r="BC70" s="74">
        <f t="shared" si="84"/>
        <v>5488</v>
      </c>
      <c r="BD70" s="74">
        <f t="shared" si="84"/>
        <v>5526</v>
      </c>
      <c r="BE70" s="74">
        <f t="shared" si="84"/>
        <v>0</v>
      </c>
      <c r="BF70" s="74">
        <f t="shared" si="84"/>
        <v>0</v>
      </c>
      <c r="BG70" s="74">
        <f t="shared" si="84"/>
        <v>0</v>
      </c>
      <c r="BH70" s="74">
        <f t="shared" si="84"/>
        <v>0</v>
      </c>
      <c r="BI70" s="74">
        <f t="shared" si="84"/>
        <v>0</v>
      </c>
      <c r="BJ70" s="74">
        <f t="shared" si="84"/>
        <v>0</v>
      </c>
      <c r="BK70" s="74">
        <f t="shared" si="84"/>
        <v>0</v>
      </c>
      <c r="BL70" s="74">
        <f t="shared" si="84"/>
        <v>0</v>
      </c>
      <c r="BM70" s="74">
        <f t="shared" si="84"/>
        <v>0</v>
      </c>
      <c r="BN70" s="74">
        <f t="shared" si="84"/>
        <v>0</v>
      </c>
      <c r="BO70" s="74">
        <f t="shared" si="84"/>
        <v>0</v>
      </c>
      <c r="BP70" s="74">
        <f t="shared" si="84"/>
        <v>0</v>
      </c>
      <c r="BQ70" s="74">
        <f t="shared" si="84"/>
        <v>0</v>
      </c>
      <c r="BR70" s="74">
        <f t="shared" si="84"/>
        <v>0</v>
      </c>
      <c r="BS70" s="74">
        <f t="shared" si="84"/>
        <v>0</v>
      </c>
      <c r="BT70" s="74">
        <f t="shared" si="84"/>
        <v>0</v>
      </c>
      <c r="BU70" s="74">
        <f t="shared" si="84"/>
        <v>0</v>
      </c>
      <c r="BV70" s="74">
        <f t="shared" si="84"/>
        <v>0</v>
      </c>
      <c r="BW70" s="95">
        <f t="shared" ref="BW70:CP70" si="85">SUM(BW3:BW69)</f>
        <v>5465</v>
      </c>
      <c r="BX70" s="95">
        <f t="shared" si="85"/>
        <v>5718</v>
      </c>
      <c r="BY70" s="95">
        <f t="shared" si="85"/>
        <v>6128</v>
      </c>
      <c r="BZ70" s="95">
        <f t="shared" si="85"/>
        <v>6667</v>
      </c>
      <c r="CA70" s="95">
        <f t="shared" si="85"/>
        <v>6354</v>
      </c>
      <c r="CB70" s="95">
        <f t="shared" si="85"/>
        <v>6275</v>
      </c>
      <c r="CC70" s="95">
        <f t="shared" si="85"/>
        <v>6578</v>
      </c>
      <c r="CD70" s="95">
        <f t="shared" si="85"/>
        <v>7410</v>
      </c>
      <c r="CE70" s="95">
        <f t="shared" si="85"/>
        <v>7320</v>
      </c>
      <c r="CF70" s="95">
        <f t="shared" si="85"/>
        <v>8220</v>
      </c>
      <c r="CG70" s="95">
        <f t="shared" si="85"/>
        <v>9866</v>
      </c>
      <c r="CH70" s="95">
        <f t="shared" si="85"/>
        <v>12011</v>
      </c>
      <c r="CI70" s="95">
        <f t="shared" si="85"/>
        <v>11390</v>
      </c>
      <c r="CJ70" s="95">
        <f t="shared" si="85"/>
        <v>10771</v>
      </c>
      <c r="CK70" s="95">
        <f t="shared" si="85"/>
        <v>8600</v>
      </c>
      <c r="CL70" s="95">
        <f t="shared" si="85"/>
        <v>8856.7999999999993</v>
      </c>
      <c r="CM70" s="95">
        <f t="shared" si="85"/>
        <v>8789.6500000000015</v>
      </c>
      <c r="CN70" s="95">
        <f t="shared" si="85"/>
        <v>9045.0000000000018</v>
      </c>
      <c r="CO70" s="95">
        <f t="shared" si="85"/>
        <v>8319.994999999999</v>
      </c>
      <c r="CP70" s="95">
        <f t="shared" si="85"/>
        <v>8750.0650000000005</v>
      </c>
      <c r="CQ70" s="74"/>
      <c r="CR70" s="74"/>
      <c r="CS70" s="74"/>
      <c r="CT70" s="51"/>
      <c r="CU70" s="96">
        <v>17841.3</v>
      </c>
      <c r="CV70" s="96">
        <v>18849.400000000001</v>
      </c>
      <c r="CW70" s="96">
        <v>21426</v>
      </c>
      <c r="CX70" s="96">
        <f t="shared" ref="CX70:DR70" si="86">SUM(CX13:CX69)</f>
        <v>22944.25</v>
      </c>
      <c r="CY70" s="96">
        <f t="shared" si="86"/>
        <v>25362</v>
      </c>
      <c r="CZ70" s="96">
        <f t="shared" si="86"/>
        <v>28311</v>
      </c>
      <c r="DA70" s="96">
        <f t="shared" si="86"/>
        <v>29874</v>
      </c>
      <c r="DB70" s="96">
        <f t="shared" si="86"/>
        <v>30510</v>
      </c>
      <c r="DC70" s="96">
        <f t="shared" si="86"/>
        <v>30518</v>
      </c>
      <c r="DD70" s="96">
        <f t="shared" si="86"/>
        <v>29897.159999999996</v>
      </c>
      <c r="DE70" s="96">
        <f t="shared" si="86"/>
        <v>7026</v>
      </c>
      <c r="DF70" s="96">
        <f t="shared" si="86"/>
        <v>6264.9</v>
      </c>
      <c r="DG70" s="96">
        <f t="shared" si="86"/>
        <v>6121.1438000000007</v>
      </c>
      <c r="DH70" s="96">
        <f t="shared" si="86"/>
        <v>5506.4488259999998</v>
      </c>
      <c r="DI70" s="96">
        <f t="shared" si="86"/>
        <v>5074.6351404600009</v>
      </c>
      <c r="DJ70" s="96">
        <f t="shared" si="86"/>
        <v>4365.5005070085008</v>
      </c>
      <c r="DK70" s="96">
        <f t="shared" si="86"/>
        <v>3892.4491569880784</v>
      </c>
      <c r="DL70" s="96">
        <f t="shared" si="86"/>
        <v>3736.9021128875552</v>
      </c>
      <c r="DM70" s="96">
        <f t="shared" si="86"/>
        <v>3900.5810200377623</v>
      </c>
      <c r="DN70" s="96">
        <f t="shared" si="86"/>
        <v>3869.9185174782288</v>
      </c>
      <c r="DO70" s="96">
        <f t="shared" si="86"/>
        <v>3583.8583301657941</v>
      </c>
      <c r="DP70" s="96">
        <f t="shared" si="86"/>
        <v>3377.539008964085</v>
      </c>
      <c r="DQ70" s="96">
        <f t="shared" si="86"/>
        <v>3107.5481422477337</v>
      </c>
      <c r="DR70" s="96">
        <f t="shared" si="86"/>
        <v>3003.1563596963506</v>
      </c>
    </row>
    <row r="71" spans="1:122">
      <c r="B71" s="35" t="s">
        <v>562</v>
      </c>
      <c r="C71" s="38"/>
      <c r="D71" s="38"/>
      <c r="E71" s="38"/>
      <c r="F71" s="38"/>
      <c r="G71" s="38"/>
      <c r="H71" s="38"/>
      <c r="I71" s="38"/>
      <c r="J71" s="38"/>
      <c r="K71" s="38">
        <v>-1184</v>
      </c>
      <c r="L71" s="38">
        <v>-1073</v>
      </c>
      <c r="M71" s="38">
        <v>-1177</v>
      </c>
      <c r="N71" s="38">
        <v>-1029</v>
      </c>
      <c r="O71" s="38">
        <v>-1158</v>
      </c>
      <c r="P71" s="38">
        <v>-1251</v>
      </c>
      <c r="Q71" s="38">
        <v>-1286</v>
      </c>
      <c r="R71" s="38">
        <v>-1498</v>
      </c>
      <c r="S71" s="38">
        <v>-1410</v>
      </c>
      <c r="T71" s="38">
        <v>-1313</v>
      </c>
      <c r="U71" s="38">
        <v>-1245</v>
      </c>
      <c r="V71" s="38">
        <v>-1388</v>
      </c>
      <c r="W71" s="38">
        <f>1251+54</f>
        <v>1305</v>
      </c>
      <c r="X71" s="38">
        <f>1391+58</f>
        <v>1449</v>
      </c>
      <c r="Y71" s="38">
        <f>1339+53</f>
        <v>1392</v>
      </c>
      <c r="Z71" s="38">
        <f>1578+61</f>
        <v>1639</v>
      </c>
      <c r="AA71" s="38">
        <f>1486+61</f>
        <v>1547</v>
      </c>
      <c r="AB71" s="38">
        <f>1668+61</f>
        <v>1729</v>
      </c>
      <c r="AC71" s="38">
        <f>1444+59</f>
        <v>1503</v>
      </c>
      <c r="AD71" s="38">
        <f>1821+67</f>
        <v>1888</v>
      </c>
      <c r="AE71" s="38">
        <f>1502+66</f>
        <v>1568</v>
      </c>
      <c r="AF71" s="38">
        <f>1455+75</f>
        <v>1530</v>
      </c>
      <c r="AG71" s="38">
        <f>1529+79</f>
        <v>1608</v>
      </c>
      <c r="AH71" s="38">
        <f>2112+71</f>
        <v>2183</v>
      </c>
      <c r="AI71" s="38">
        <f>1383+64</f>
        <v>1447</v>
      </c>
      <c r="AJ71" s="38">
        <f>1464+70</f>
        <v>1534</v>
      </c>
      <c r="AK71" s="38">
        <f>1263+73</f>
        <v>1336</v>
      </c>
      <c r="AL71" s="38">
        <f>1665+91</f>
        <v>1756</v>
      </c>
      <c r="AM71" s="38">
        <f>1654+78</f>
        <v>1732</v>
      </c>
      <c r="AN71" s="38">
        <f>1452+88</f>
        <v>1540</v>
      </c>
      <c r="AO71" s="38">
        <f>1524+82</f>
        <v>1606</v>
      </c>
      <c r="AP71" s="38">
        <v>1759</v>
      </c>
      <c r="AQ71" s="38">
        <f>1339+80</f>
        <v>1419</v>
      </c>
      <c r="AR71" s="38">
        <f>AR70-AR72</f>
        <v>1203.9672</v>
      </c>
      <c r="AS71" s="38">
        <f>1593+93</f>
        <v>1686</v>
      </c>
      <c r="AT71" s="38">
        <f>1612+85</f>
        <v>1697</v>
      </c>
      <c r="AU71" s="38">
        <f>1375+76</f>
        <v>1451</v>
      </c>
      <c r="AV71" s="38">
        <f t="shared" ref="AV71:BB71" si="87">+AV70-AV72</f>
        <v>0</v>
      </c>
      <c r="AW71" s="38">
        <f t="shared" si="87"/>
        <v>0</v>
      </c>
      <c r="AX71" s="38">
        <f t="shared" si="87"/>
        <v>0</v>
      </c>
      <c r="AY71" s="38"/>
      <c r="AZ71" s="38"/>
      <c r="BA71" s="38">
        <f t="shared" si="87"/>
        <v>0</v>
      </c>
      <c r="BB71" s="38">
        <f t="shared" si="87"/>
        <v>0</v>
      </c>
      <c r="BC71" s="38"/>
      <c r="BD71" s="38">
        <f>1307+77</f>
        <v>1384</v>
      </c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82"/>
      <c r="BX71" s="82"/>
      <c r="BY71" s="82"/>
      <c r="BZ71" s="82">
        <f>1378+92</f>
        <v>1470</v>
      </c>
      <c r="CA71" s="82">
        <f>1420+87</f>
        <v>1507</v>
      </c>
      <c r="CB71" s="82">
        <f>984+104</f>
        <v>1088</v>
      </c>
      <c r="CC71" s="82">
        <f>1370+99</f>
        <v>1469</v>
      </c>
      <c r="CD71" s="82">
        <f>1525+109-9-16-1</f>
        <v>1608</v>
      </c>
      <c r="CE71" s="82">
        <f>1864-99-7-17</f>
        <v>1741</v>
      </c>
      <c r="CF71" s="82">
        <f>2191+103-6-16</f>
        <v>2272</v>
      </c>
      <c r="CG71" s="82">
        <f>3757+120-208-14-1049-2</f>
        <v>2604</v>
      </c>
      <c r="CH71" s="82">
        <f>4625+124-1157-501-16</f>
        <v>3075</v>
      </c>
      <c r="CI71" s="82">
        <f>3511+124-51-8-1181</f>
        <v>2395</v>
      </c>
      <c r="CJ71" s="82">
        <f>2998+129-30-8-1139</f>
        <v>1950</v>
      </c>
      <c r="CK71" s="82"/>
      <c r="CL71" s="82"/>
      <c r="CM71" s="82"/>
      <c r="CN71" s="82"/>
      <c r="CO71" s="82"/>
      <c r="CP71" s="82"/>
      <c r="CQ71" s="38"/>
      <c r="CR71" s="38"/>
      <c r="CS71" s="38"/>
      <c r="CV71" s="38">
        <v>-4463</v>
      </c>
      <c r="CW71" s="38">
        <v>-5193</v>
      </c>
      <c r="CX71" s="38">
        <v>-5356</v>
      </c>
      <c r="CY71" s="44">
        <f>SUM(W71:Z71)</f>
        <v>5785</v>
      </c>
      <c r="CZ71" s="38">
        <f>CZ70-CZ72</f>
        <v>6143.487000000001</v>
      </c>
      <c r="DA71" s="38">
        <f t="shared" ref="DA71:DH71" si="88">DA70-DA72</f>
        <v>6452.7839999999997</v>
      </c>
      <c r="DB71" s="38">
        <f>5775+298</f>
        <v>6073</v>
      </c>
      <c r="DC71" s="38">
        <f>DC70-DC72</f>
        <v>6632</v>
      </c>
      <c r="DD71" s="44">
        <f>SUM(AQ71:AT71)</f>
        <v>6005.9672</v>
      </c>
      <c r="DE71" s="38">
        <f t="shared" si="88"/>
        <v>1597.1107765908646</v>
      </c>
      <c r="DF71" s="38">
        <f t="shared" si="88"/>
        <v>1455.4263081787794</v>
      </c>
      <c r="DG71" s="38">
        <f t="shared" si="88"/>
        <v>1452.6353958767941</v>
      </c>
      <c r="DH71" s="38">
        <f t="shared" si="88"/>
        <v>1334.2916883750149</v>
      </c>
      <c r="DI71" s="38">
        <f t="shared" ref="DI71:DR71" si="89">DI70-DI72</f>
        <v>1255.0302021111302</v>
      </c>
      <c r="DJ71" s="38">
        <f t="shared" si="89"/>
        <v>1101.4785182197838</v>
      </c>
      <c r="DK71" s="38">
        <f t="shared" si="89"/>
        <v>1001.5831097733608</v>
      </c>
      <c r="DL71" s="38">
        <f t="shared" si="89"/>
        <v>980.24313039255094</v>
      </c>
      <c r="DM71" s="38">
        <f t="shared" si="89"/>
        <v>1042.6813652063065</v>
      </c>
      <c r="DN71" s="38">
        <f t="shared" si="89"/>
        <v>1053.834430182766</v>
      </c>
      <c r="DO71" s="38">
        <f t="shared" si="89"/>
        <v>993.8554216154248</v>
      </c>
      <c r="DP71" s="38">
        <f t="shared" si="89"/>
        <v>953.52780370147457</v>
      </c>
      <c r="DQ71" s="38">
        <f t="shared" si="89"/>
        <v>892.84324247149607</v>
      </c>
      <c r="DR71" s="38">
        <f t="shared" si="89"/>
        <v>877.86576484033003</v>
      </c>
    </row>
    <row r="72" spans="1:122" s="11" customFormat="1">
      <c r="A72" s="35"/>
      <c r="B72" s="35" t="s">
        <v>563</v>
      </c>
      <c r="C72" s="46"/>
      <c r="D72" s="46"/>
      <c r="E72" s="46"/>
      <c r="F72" s="46"/>
      <c r="G72" s="46"/>
      <c r="H72" s="46"/>
      <c r="I72" s="46"/>
      <c r="J72" s="46"/>
      <c r="K72" s="46">
        <v>3551</v>
      </c>
      <c r="L72" s="46">
        <v>3363</v>
      </c>
      <c r="M72" s="46">
        <v>3626</v>
      </c>
      <c r="N72" s="46">
        <v>3846</v>
      </c>
      <c r="O72" s="46">
        <v>3916</v>
      </c>
      <c r="P72" s="46">
        <v>4037</v>
      </c>
      <c r="Q72" s="46">
        <v>3979</v>
      </c>
      <c r="R72" s="46">
        <v>4301</v>
      </c>
      <c r="S72" s="46">
        <v>4333</v>
      </c>
      <c r="T72" s="46">
        <v>4819.25</v>
      </c>
      <c r="U72" s="46">
        <v>4544</v>
      </c>
      <c r="V72" s="46">
        <v>4898</v>
      </c>
      <c r="W72" s="46">
        <f t="shared" ref="W72:AD72" si="90">W70-W71</f>
        <v>4598</v>
      </c>
      <c r="X72" s="46">
        <f t="shared" si="90"/>
        <v>4868</v>
      </c>
      <c r="Y72" s="46">
        <f t="shared" si="90"/>
        <v>4848</v>
      </c>
      <c r="Z72" s="46">
        <f t="shared" si="90"/>
        <v>5263</v>
      </c>
      <c r="AA72" s="46">
        <f t="shared" si="90"/>
        <v>5065</v>
      </c>
      <c r="AB72" s="46">
        <f t="shared" si="90"/>
        <v>5130</v>
      </c>
      <c r="AC72" s="46">
        <f t="shared" si="90"/>
        <v>5276</v>
      </c>
      <c r="AD72" s="46">
        <f t="shared" si="90"/>
        <v>6363</v>
      </c>
      <c r="AE72" s="46">
        <f>AE70-AE71</f>
        <v>6176</v>
      </c>
      <c r="AF72" s="46">
        <f>AF70-AF71</f>
        <v>5908</v>
      </c>
      <c r="AG72" s="46">
        <f>AG70-AG71</f>
        <v>5666</v>
      </c>
      <c r="AH72" s="46">
        <f>AH70-AH71</f>
        <v>5496</v>
      </c>
      <c r="AI72" s="46">
        <f>+AI70-AI71</f>
        <v>5739</v>
      </c>
      <c r="AJ72" s="46">
        <f>+AJ70-AJ71</f>
        <v>5873</v>
      </c>
      <c r="AK72" s="46">
        <f>+AK70-AK71</f>
        <v>6302</v>
      </c>
      <c r="AL72" s="46">
        <f>AL70-AL71</f>
        <v>6523</v>
      </c>
      <c r="AM72" s="46">
        <f>AM70-AM71</f>
        <v>6143</v>
      </c>
      <c r="AN72" s="46">
        <f>+AN70-AN71</f>
        <v>5974</v>
      </c>
      <c r="AO72" s="46">
        <f>+AO70-AO71</f>
        <v>5652</v>
      </c>
      <c r="AP72" s="46">
        <f>+AP70-AP71</f>
        <v>6117</v>
      </c>
      <c r="AQ72" s="46">
        <f>AQ70-AQ71</f>
        <v>6121</v>
      </c>
      <c r="AR72" s="46">
        <f>AR70*0.83</f>
        <v>5878.1927999999998</v>
      </c>
      <c r="AS72" s="46">
        <f>+AS70-AS71</f>
        <v>5772</v>
      </c>
      <c r="AT72" s="46">
        <f>+AT70-AT71</f>
        <v>6120</v>
      </c>
      <c r="AU72" s="46">
        <f>+AU70-AU71</f>
        <v>5175</v>
      </c>
      <c r="AV72" s="46">
        <f>+AV70*0.79</f>
        <v>0</v>
      </c>
      <c r="AW72" s="46">
        <f>+AW70*0.79</f>
        <v>0</v>
      </c>
      <c r="AX72" s="46">
        <f>+AX70*0.79</f>
        <v>0</v>
      </c>
      <c r="AY72" s="46"/>
      <c r="AZ72" s="46"/>
      <c r="BA72" s="46"/>
      <c r="BB72" s="46"/>
      <c r="BC72" s="46"/>
      <c r="BD72" s="46">
        <f>+BD70-BD71</f>
        <v>4142</v>
      </c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83"/>
      <c r="BX72" s="83"/>
      <c r="BY72" s="83"/>
      <c r="BZ72" s="83">
        <f t="shared" ref="BZ72:CD72" si="91">BZ70-BZ71</f>
        <v>5197</v>
      </c>
      <c r="CA72" s="83">
        <f t="shared" si="91"/>
        <v>4847</v>
      </c>
      <c r="CB72" s="83">
        <f t="shared" si="91"/>
        <v>5187</v>
      </c>
      <c r="CC72" s="83">
        <f>CC70-CC71</f>
        <v>5109</v>
      </c>
      <c r="CD72" s="83">
        <f t="shared" si="91"/>
        <v>5802</v>
      </c>
      <c r="CE72" s="83">
        <f>CE70-CE71</f>
        <v>5579</v>
      </c>
      <c r="CF72" s="83">
        <f>CF70-CF71</f>
        <v>5948</v>
      </c>
      <c r="CG72" s="83">
        <f>+CG70-CG71</f>
        <v>7262</v>
      </c>
      <c r="CH72" s="83">
        <f>CH70-CH71</f>
        <v>8936</v>
      </c>
      <c r="CI72" s="83">
        <f>CI70-CI71</f>
        <v>8995</v>
      </c>
      <c r="CJ72" s="83">
        <f>CJ70-CJ71</f>
        <v>8821</v>
      </c>
      <c r="CK72" s="83"/>
      <c r="CL72" s="83"/>
      <c r="CM72" s="83"/>
      <c r="CN72" s="83"/>
      <c r="CO72" s="83"/>
      <c r="CP72" s="83"/>
      <c r="CQ72" s="46"/>
      <c r="CR72" s="46"/>
      <c r="CS72" s="46"/>
      <c r="CT72" s="43"/>
      <c r="CU72" s="43"/>
      <c r="CV72" s="46">
        <v>14386</v>
      </c>
      <c r="CW72" s="46">
        <v>16233</v>
      </c>
      <c r="CX72" s="46">
        <v>18594.25</v>
      </c>
      <c r="CY72" s="46">
        <f>CY70-CY71</f>
        <v>19577</v>
      </c>
      <c r="CZ72" s="46">
        <f>CZ70*CZ86</f>
        <v>22167.512999999999</v>
      </c>
      <c r="DA72" s="46">
        <f t="shared" ref="DA72:DH72" si="92">DA70*DA86</f>
        <v>23421.216</v>
      </c>
      <c r="DB72" s="46">
        <f>DB70-DB71</f>
        <v>24437</v>
      </c>
      <c r="DC72" s="46">
        <f>SUM(AM72:AP72)</f>
        <v>23886</v>
      </c>
      <c r="DD72" s="44">
        <f>SUM(AQ72:AT72)</f>
        <v>23891.192800000001</v>
      </c>
      <c r="DE72" s="46">
        <f>DE70*DE86</f>
        <v>5428.8892234091354</v>
      </c>
      <c r="DF72" s="46">
        <f t="shared" si="92"/>
        <v>4809.4736918212202</v>
      </c>
      <c r="DG72" s="46">
        <f t="shared" si="92"/>
        <v>4668.5084041232067</v>
      </c>
      <c r="DH72" s="46">
        <f t="shared" si="92"/>
        <v>4172.1571376249849</v>
      </c>
      <c r="DI72" s="46">
        <f t="shared" ref="DI72:DR72" si="93">DI70*DI86</f>
        <v>3819.6049383488707</v>
      </c>
      <c r="DJ72" s="46">
        <f t="shared" si="93"/>
        <v>3264.021988788717</v>
      </c>
      <c r="DK72" s="46">
        <f t="shared" si="93"/>
        <v>2890.8660472147176</v>
      </c>
      <c r="DL72" s="46">
        <f t="shared" si="93"/>
        <v>2756.6589824950042</v>
      </c>
      <c r="DM72" s="46">
        <f t="shared" si="93"/>
        <v>2857.8996548314558</v>
      </c>
      <c r="DN72" s="46">
        <f t="shared" si="93"/>
        <v>2816.0840872954627</v>
      </c>
      <c r="DO72" s="46">
        <f t="shared" si="93"/>
        <v>2590.0029085503693</v>
      </c>
      <c r="DP72" s="46">
        <f t="shared" si="93"/>
        <v>2424.0112052626105</v>
      </c>
      <c r="DQ72" s="46">
        <f t="shared" si="93"/>
        <v>2214.7048997762377</v>
      </c>
      <c r="DR72" s="46">
        <f t="shared" si="93"/>
        <v>2125.2905948560206</v>
      </c>
    </row>
    <row r="73" spans="1:122" s="11" customFormat="1">
      <c r="A73" s="35"/>
      <c r="B73" s="35" t="s">
        <v>13</v>
      </c>
      <c r="C73" s="46"/>
      <c r="D73" s="46"/>
      <c r="E73" s="46"/>
      <c r="F73" s="46"/>
      <c r="G73" s="46"/>
      <c r="H73" s="46"/>
      <c r="I73" s="46"/>
      <c r="J73" s="46"/>
      <c r="K73" s="46">
        <v>-708</v>
      </c>
      <c r="L73" s="46">
        <v>-700</v>
      </c>
      <c r="M73" s="46">
        <v>-725</v>
      </c>
      <c r="N73" s="46">
        <v>-879</v>
      </c>
      <c r="O73" s="46">
        <v>-857</v>
      </c>
      <c r="P73" s="46">
        <v>-888</v>
      </c>
      <c r="Q73" s="46">
        <v>-823</v>
      </c>
      <c r="R73" s="46">
        <v>-899</v>
      </c>
      <c r="S73" s="46">
        <v>-865</v>
      </c>
      <c r="T73" s="46">
        <v>-860</v>
      </c>
      <c r="U73" s="46">
        <v>-781</v>
      </c>
      <c r="V73" s="46">
        <v>-873</v>
      </c>
      <c r="W73" s="46">
        <v>861</v>
      </c>
      <c r="X73" s="46">
        <v>955</v>
      </c>
      <c r="Y73" s="46">
        <v>962</v>
      </c>
      <c r="Z73" s="46">
        <v>1124</v>
      </c>
      <c r="AA73" s="46">
        <v>1170</v>
      </c>
      <c r="AB73" s="46">
        <v>1225</v>
      </c>
      <c r="AC73" s="46">
        <v>1335</v>
      </c>
      <c r="AD73" s="46">
        <v>1432</v>
      </c>
      <c r="AE73" s="46">
        <v>1236</v>
      </c>
      <c r="AF73" s="46">
        <v>1297</v>
      </c>
      <c r="AG73" s="46">
        <v>1291</v>
      </c>
      <c r="AH73" s="46">
        <v>1355</v>
      </c>
      <c r="AI73" s="46">
        <v>980</v>
      </c>
      <c r="AJ73" s="46">
        <v>1059</v>
      </c>
      <c r="AK73" s="46">
        <v>1056</v>
      </c>
      <c r="AL73" s="46">
        <v>1314</v>
      </c>
      <c r="AM73" s="46">
        <v>991</v>
      </c>
      <c r="AN73" s="46">
        <v>1320</v>
      </c>
      <c r="AO73" s="46">
        <v>1077</v>
      </c>
      <c r="AP73" s="46">
        <v>1930</v>
      </c>
      <c r="AQ73" s="46">
        <v>1162</v>
      </c>
      <c r="AR73" s="46">
        <f>AQ73</f>
        <v>1162</v>
      </c>
      <c r="AS73" s="46">
        <v>1296</v>
      </c>
      <c r="AT73" s="46">
        <v>1867</v>
      </c>
      <c r="AU73" s="46">
        <v>1530</v>
      </c>
      <c r="AV73" s="46"/>
      <c r="AW73" s="46"/>
      <c r="AX73" s="46"/>
      <c r="AY73" s="46"/>
      <c r="AZ73" s="46"/>
      <c r="BA73" s="46"/>
      <c r="BB73" s="46"/>
      <c r="BC73" s="46"/>
      <c r="BD73" s="46">
        <v>1328</v>
      </c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83"/>
      <c r="BX73" s="83"/>
      <c r="BY73" s="83"/>
      <c r="BZ73" s="83">
        <v>2091</v>
      </c>
      <c r="CA73" s="83">
        <v>1388</v>
      </c>
      <c r="CB73" s="83">
        <v>1389</v>
      </c>
      <c r="CC73" s="83">
        <v>1495</v>
      </c>
      <c r="CD73" s="83">
        <v>1707</v>
      </c>
      <c r="CE73" s="83">
        <v>1638</v>
      </c>
      <c r="CF73" s="83">
        <v>1801</v>
      </c>
      <c r="CG73" s="83">
        <v>2152</v>
      </c>
      <c r="CH73" s="83">
        <v>2396</v>
      </c>
      <c r="CI73" s="83">
        <v>2186</v>
      </c>
      <c r="CJ73" s="83">
        <v>2431</v>
      </c>
      <c r="CK73" s="83"/>
      <c r="CL73" s="83"/>
      <c r="CM73" s="83"/>
      <c r="CN73" s="83"/>
      <c r="CO73" s="83"/>
      <c r="CP73" s="83"/>
      <c r="CQ73" s="46"/>
      <c r="CR73" s="46"/>
      <c r="CS73" s="46"/>
      <c r="CT73" s="43"/>
      <c r="CU73" s="43"/>
      <c r="CV73" s="46">
        <v>-3012</v>
      </c>
      <c r="CW73" s="46">
        <v>-3467</v>
      </c>
      <c r="CX73" s="46">
        <v>-3379</v>
      </c>
      <c r="CY73" s="44">
        <f>SUM(W73:Z73)</f>
        <v>3902</v>
      </c>
      <c r="CZ73" s="46">
        <f>CY73</f>
        <v>3902</v>
      </c>
      <c r="DA73" s="46">
        <f>CZ73</f>
        <v>3902</v>
      </c>
      <c r="DB73" s="44">
        <f>SUM(AI73:AL73)</f>
        <v>4409</v>
      </c>
      <c r="DC73" s="46">
        <f>SUM(AM73:AP73)</f>
        <v>5318</v>
      </c>
      <c r="DD73" s="44">
        <f>SUM(AQ73:AT73)</f>
        <v>5487</v>
      </c>
      <c r="DE73" s="46"/>
      <c r="DF73" s="46"/>
      <c r="DG73" s="46"/>
      <c r="DH73" s="46"/>
      <c r="DI73" s="46"/>
      <c r="DJ73" s="46"/>
      <c r="DK73" s="46"/>
      <c r="DL73" s="46"/>
      <c r="DM73" s="46"/>
    </row>
    <row r="74" spans="1:122" s="11" customFormat="1">
      <c r="A74" s="35"/>
      <c r="B74" s="35" t="s">
        <v>12</v>
      </c>
      <c r="C74" s="46"/>
      <c r="D74" s="46"/>
      <c r="E74" s="46"/>
      <c r="F74" s="46"/>
      <c r="G74" s="46"/>
      <c r="H74" s="46"/>
      <c r="I74" s="46"/>
      <c r="J74" s="46"/>
      <c r="K74" s="46">
        <v>-1677</v>
      </c>
      <c r="L74" s="46">
        <v>-1821</v>
      </c>
      <c r="M74" s="46">
        <v>-1898</v>
      </c>
      <c r="N74" s="46">
        <v>-2159</v>
      </c>
      <c r="O74" s="46">
        <v>-2045</v>
      </c>
      <c r="P74" s="46">
        <v>-2206</v>
      </c>
      <c r="Q74" s="46">
        <v>-2011</v>
      </c>
      <c r="R74" s="46">
        <v>-2183</v>
      </c>
      <c r="S74" s="46">
        <v>-2057</v>
      </c>
      <c r="T74" s="46">
        <v>-2283</v>
      </c>
      <c r="U74" s="46">
        <v>-2107</v>
      </c>
      <c r="V74" s="46">
        <v>-2459</v>
      </c>
      <c r="W74" s="46">
        <v>2115</v>
      </c>
      <c r="X74" s="46">
        <v>2290</v>
      </c>
      <c r="Y74" s="46">
        <v>2180</v>
      </c>
      <c r="Z74" s="46">
        <v>2511</v>
      </c>
      <c r="AA74" s="46">
        <v>2217</v>
      </c>
      <c r="AB74" s="46">
        <v>2605</v>
      </c>
      <c r="AC74" s="46">
        <v>2487</v>
      </c>
      <c r="AD74" s="46">
        <v>3055</v>
      </c>
      <c r="AE74" s="46">
        <v>2737</v>
      </c>
      <c r="AF74" s="46">
        <v>2834</v>
      </c>
      <c r="AG74" s="46">
        <v>2486</v>
      </c>
      <c r="AH74" s="46">
        <v>2856</v>
      </c>
      <c r="AI74" s="46">
        <v>2376</v>
      </c>
      <c r="AJ74" s="46">
        <v>2828</v>
      </c>
      <c r="AK74" s="46">
        <v>2663</v>
      </c>
      <c r="AL74" s="46">
        <v>3465</v>
      </c>
      <c r="AM74" s="46">
        <v>2462</v>
      </c>
      <c r="AN74" s="46">
        <v>2450</v>
      </c>
      <c r="AO74" s="46">
        <v>3011</v>
      </c>
      <c r="AP74" s="46">
        <v>2522</v>
      </c>
      <c r="AQ74" s="46">
        <v>2508</v>
      </c>
      <c r="AR74" s="46">
        <f>AQ74</f>
        <v>2508</v>
      </c>
      <c r="AS74" s="46">
        <v>2644</v>
      </c>
      <c r="AT74" s="46">
        <v>3141</v>
      </c>
      <c r="AU74" s="46">
        <v>2461</v>
      </c>
      <c r="AV74" s="46">
        <f>+AR74-100</f>
        <v>2408</v>
      </c>
      <c r="AW74" s="46">
        <f>+AS74-100</f>
        <v>2544</v>
      </c>
      <c r="AX74" s="46">
        <f>+AT74-100</f>
        <v>3041</v>
      </c>
      <c r="AY74" s="46"/>
      <c r="AZ74" s="46"/>
      <c r="BA74" s="46"/>
      <c r="BB74" s="46"/>
      <c r="BC74" s="46"/>
      <c r="BD74" s="46">
        <v>3058</v>
      </c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83"/>
      <c r="BX74" s="83"/>
      <c r="BY74" s="83"/>
      <c r="BZ74" s="83">
        <v>3026</v>
      </c>
      <c r="CA74" s="83">
        <v>2719</v>
      </c>
      <c r="CB74" s="83">
        <v>2635</v>
      </c>
      <c r="CC74" s="83">
        <v>2730</v>
      </c>
      <c r="CD74" s="83">
        <v>2838</v>
      </c>
      <c r="CE74" s="83">
        <v>2399</v>
      </c>
      <c r="CF74" s="83">
        <v>2471</v>
      </c>
      <c r="CG74" s="83">
        <v>2866</v>
      </c>
      <c r="CH74" s="83">
        <v>3368</v>
      </c>
      <c r="CI74" s="83">
        <v>2946</v>
      </c>
      <c r="CJ74" s="83">
        <v>3137</v>
      </c>
      <c r="CK74" s="83"/>
      <c r="CL74" s="83"/>
      <c r="CM74" s="83"/>
      <c r="CN74" s="83"/>
      <c r="CO74" s="83"/>
      <c r="CP74" s="83"/>
      <c r="CQ74" s="46"/>
      <c r="CR74" s="46"/>
      <c r="CS74" s="46"/>
      <c r="CT74" s="43"/>
      <c r="CU74" s="43"/>
      <c r="CV74" s="46">
        <v>-7555</v>
      </c>
      <c r="CW74" s="46">
        <v>-8445</v>
      </c>
      <c r="CX74" s="46">
        <v>-8906</v>
      </c>
      <c r="CY74" s="44">
        <f>SUM(W74:Z74)</f>
        <v>9096</v>
      </c>
      <c r="CZ74" s="46">
        <f>CY74*1.01</f>
        <v>9186.9600000000009</v>
      </c>
      <c r="DA74" s="46">
        <f>CZ74*1.01</f>
        <v>9278.8296000000009</v>
      </c>
      <c r="DB74" s="44">
        <f>SUM(AI74:AL74)</f>
        <v>11332</v>
      </c>
      <c r="DC74" s="46">
        <f>SUM(AM74:AP74)</f>
        <v>10445</v>
      </c>
      <c r="DD74" s="44">
        <f>SUM(AQ74:AT74)</f>
        <v>10801</v>
      </c>
      <c r="DE74" s="46">
        <f>+DE70*DE88</f>
        <v>2178.06</v>
      </c>
      <c r="DF74" s="46">
        <f t="shared" ref="DF74:DL74" si="94">+DF70*DF88</f>
        <v>1942.1189999999999</v>
      </c>
      <c r="DG74" s="46">
        <f t="shared" si="94"/>
        <v>1897.5545780000002</v>
      </c>
      <c r="DH74" s="46">
        <f t="shared" si="94"/>
        <v>1762.0636243199999</v>
      </c>
      <c r="DI74" s="46">
        <f t="shared" si="94"/>
        <v>1623.8832449472004</v>
      </c>
      <c r="DJ74" s="46">
        <f t="shared" si="94"/>
        <v>1440.6151673128054</v>
      </c>
      <c r="DK74" s="46">
        <f t="shared" si="94"/>
        <v>1323.4327133759468</v>
      </c>
      <c r="DL74" s="46">
        <f t="shared" si="94"/>
        <v>1307.9157395106442</v>
      </c>
      <c r="DM74" s="46">
        <f t="shared" ref="DM74:DR74" si="95">+DM70*DM88</f>
        <v>1404.2091672135944</v>
      </c>
      <c r="DN74" s="46">
        <f t="shared" si="95"/>
        <v>1393.1706662921622</v>
      </c>
      <c r="DO74" s="46">
        <f t="shared" si="95"/>
        <v>1290.1889988596859</v>
      </c>
      <c r="DP74" s="46">
        <f t="shared" si="95"/>
        <v>1215.9140432270706</v>
      </c>
      <c r="DQ74" s="46">
        <f t="shared" si="95"/>
        <v>1118.7173312091841</v>
      </c>
      <c r="DR74" s="46">
        <f t="shared" si="95"/>
        <v>1081.1362894906861</v>
      </c>
    </row>
    <row r="75" spans="1:122" s="11" customFormat="1">
      <c r="A75" s="35"/>
      <c r="B75" s="35" t="s">
        <v>14</v>
      </c>
      <c r="C75" s="46"/>
      <c r="D75" s="46"/>
      <c r="E75" s="46"/>
      <c r="F75" s="46"/>
      <c r="G75" s="46"/>
      <c r="H75" s="46"/>
      <c r="I75" s="46"/>
      <c r="J75" s="46"/>
      <c r="K75" s="46">
        <v>18</v>
      </c>
      <c r="L75" s="46">
        <v>40</v>
      </c>
      <c r="M75" s="46">
        <v>70</v>
      </c>
      <c r="N75" s="46">
        <v>60</v>
      </c>
      <c r="O75" s="46">
        <v>38</v>
      </c>
      <c r="P75" s="46">
        <v>109</v>
      </c>
      <c r="Q75" s="46">
        <v>27</v>
      </c>
      <c r="R75" s="46">
        <v>52</v>
      </c>
      <c r="S75" s="46">
        <v>42</v>
      </c>
      <c r="T75" s="46">
        <v>42</v>
      </c>
      <c r="U75" s="46">
        <v>39</v>
      </c>
      <c r="V75" s="46">
        <v>70</v>
      </c>
      <c r="W75" s="46">
        <v>77</v>
      </c>
      <c r="X75" s="46">
        <v>200</v>
      </c>
      <c r="Y75" s="46">
        <v>124</v>
      </c>
      <c r="Z75" s="46">
        <v>123</v>
      </c>
      <c r="AA75" s="46">
        <v>138</v>
      </c>
      <c r="AB75" s="46">
        <v>259</v>
      </c>
      <c r="AC75" s="46">
        <v>197</v>
      </c>
      <c r="AD75" s="46">
        <v>134</v>
      </c>
      <c r="AE75" s="46">
        <v>121</v>
      </c>
      <c r="AF75" s="46">
        <v>178</v>
      </c>
      <c r="AG75" s="46">
        <v>132</v>
      </c>
      <c r="AH75" s="46">
        <v>93</v>
      </c>
      <c r="AI75" s="46">
        <v>265</v>
      </c>
      <c r="AJ75" s="46">
        <v>314</v>
      </c>
      <c r="AK75" s="46">
        <v>59</v>
      </c>
      <c r="AL75" s="46">
        <v>-85</v>
      </c>
      <c r="AM75" s="46">
        <v>252</v>
      </c>
      <c r="AN75" s="46">
        <v>166</v>
      </c>
      <c r="AO75" s="46">
        <v>202</v>
      </c>
      <c r="AP75" s="46">
        <v>92</v>
      </c>
      <c r="AQ75" s="46">
        <v>198</v>
      </c>
      <c r="AR75" s="46">
        <f>AQ75</f>
        <v>198</v>
      </c>
      <c r="AS75" s="46"/>
      <c r="AT75" s="46">
        <v>216</v>
      </c>
      <c r="AU75" s="46">
        <v>253</v>
      </c>
      <c r="AV75" s="46"/>
      <c r="AW75" s="46"/>
      <c r="AX75" s="46"/>
      <c r="AY75" s="46"/>
      <c r="AZ75" s="46"/>
      <c r="BA75" s="46"/>
      <c r="BB75" s="46"/>
      <c r="BC75" s="46"/>
      <c r="BD75" s="46">
        <v>425</v>
      </c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83"/>
      <c r="BX75" s="83"/>
      <c r="BY75" s="83"/>
      <c r="BZ75" s="83">
        <v>500</v>
      </c>
      <c r="CA75" s="83">
        <v>480</v>
      </c>
      <c r="CB75" s="83">
        <v>121</v>
      </c>
      <c r="CC75" s="83">
        <v>287</v>
      </c>
      <c r="CD75" s="83">
        <v>642</v>
      </c>
      <c r="CE75" s="83">
        <v>1180</v>
      </c>
      <c r="CF75" s="83">
        <v>129</v>
      </c>
      <c r="CG75" s="83">
        <v>37</v>
      </c>
      <c r="CH75" s="83"/>
      <c r="CI75" s="83">
        <v>98</v>
      </c>
      <c r="CJ75" s="83">
        <v>112</v>
      </c>
      <c r="CK75" s="83"/>
      <c r="CL75" s="83"/>
      <c r="CM75" s="83"/>
      <c r="CN75" s="83"/>
      <c r="CO75" s="83"/>
      <c r="CP75" s="83"/>
      <c r="CQ75" s="46"/>
      <c r="CR75" s="46"/>
      <c r="CS75" s="46"/>
      <c r="CT75" s="43"/>
      <c r="CU75" s="43"/>
      <c r="CV75" s="46">
        <v>188</v>
      </c>
      <c r="CW75" s="46">
        <v>226</v>
      </c>
      <c r="CX75" s="46">
        <v>193</v>
      </c>
      <c r="CY75" s="44">
        <f>SUM(W75:Z75)</f>
        <v>524</v>
      </c>
      <c r="CZ75" s="46">
        <f>CY75</f>
        <v>524</v>
      </c>
      <c r="DA75" s="46">
        <f>CZ75</f>
        <v>524</v>
      </c>
      <c r="DB75" s="44">
        <f>SUM(AI75:AL75)</f>
        <v>553</v>
      </c>
      <c r="DC75" s="46">
        <f>SUM(AM75:AP75)</f>
        <v>712</v>
      </c>
      <c r="DD75" s="44">
        <f>SUM(AQ75:AT75)</f>
        <v>612</v>
      </c>
      <c r="DE75" s="46"/>
      <c r="DF75" s="46"/>
      <c r="DG75" s="46"/>
      <c r="DH75" s="46"/>
      <c r="DI75" s="46"/>
      <c r="DJ75" s="46"/>
      <c r="DK75" s="46"/>
      <c r="DL75" s="46"/>
      <c r="DM75" s="46"/>
    </row>
    <row r="76" spans="1:122" s="11" customFormat="1">
      <c r="A76" s="35"/>
      <c r="B76" s="35" t="s">
        <v>15</v>
      </c>
      <c r="C76" s="46"/>
      <c r="D76" s="46"/>
      <c r="E76" s="46"/>
      <c r="F76" s="46"/>
      <c r="G76" s="46"/>
      <c r="H76" s="46"/>
      <c r="I76" s="46"/>
      <c r="J76" s="46"/>
      <c r="K76" s="46">
        <v>1184</v>
      </c>
      <c r="L76" s="46">
        <v>882</v>
      </c>
      <c r="M76" s="46">
        <v>1073</v>
      </c>
      <c r="N76" s="46">
        <v>868</v>
      </c>
      <c r="O76" s="46">
        <v>1052</v>
      </c>
      <c r="P76" s="46">
        <v>1052</v>
      </c>
      <c r="Q76" s="46">
        <v>1172</v>
      </c>
      <c r="R76" s="46">
        <v>1271</v>
      </c>
      <c r="S76" s="46">
        <v>1453</v>
      </c>
      <c r="T76" s="46">
        <v>1718.25</v>
      </c>
      <c r="U76" s="46">
        <v>1695</v>
      </c>
      <c r="V76" s="46">
        <v>1636</v>
      </c>
      <c r="W76" s="46">
        <f t="shared" ref="W76:AD76" si="96">W72-W73-W74+W75</f>
        <v>1699</v>
      </c>
      <c r="X76" s="46">
        <f t="shared" si="96"/>
        <v>1823</v>
      </c>
      <c r="Y76" s="46">
        <f t="shared" si="96"/>
        <v>1830</v>
      </c>
      <c r="Z76" s="46">
        <f t="shared" si="96"/>
        <v>1751</v>
      </c>
      <c r="AA76" s="46">
        <f t="shared" si="96"/>
        <v>1816</v>
      </c>
      <c r="AB76" s="46">
        <f t="shared" si="96"/>
        <v>1559</v>
      </c>
      <c r="AC76" s="46">
        <f t="shared" si="96"/>
        <v>1651</v>
      </c>
      <c r="AD76" s="46">
        <f t="shared" si="96"/>
        <v>2010</v>
      </c>
      <c r="AE76" s="46">
        <f t="shared" ref="AE76:AL76" si="97">AE72-AE73-AE74+AE75</f>
        <v>2324</v>
      </c>
      <c r="AF76" s="46">
        <f t="shared" si="97"/>
        <v>1955</v>
      </c>
      <c r="AG76" s="46">
        <f t="shared" si="97"/>
        <v>2021</v>
      </c>
      <c r="AH76" s="46">
        <f t="shared" si="97"/>
        <v>1378</v>
      </c>
      <c r="AI76" s="46">
        <f t="shared" si="97"/>
        <v>2648</v>
      </c>
      <c r="AJ76" s="46">
        <f t="shared" si="97"/>
        <v>2300</v>
      </c>
      <c r="AK76" s="46">
        <f t="shared" si="97"/>
        <v>2642</v>
      </c>
      <c r="AL76" s="46">
        <f t="shared" si="97"/>
        <v>1659</v>
      </c>
      <c r="AM76" s="46">
        <f t="shared" ref="AM76:AT76" si="98">AM72-AM73-AM74+AM75</f>
        <v>2942</v>
      </c>
      <c r="AN76" s="46">
        <f t="shared" si="98"/>
        <v>2370</v>
      </c>
      <c r="AO76" s="46">
        <f t="shared" si="98"/>
        <v>1766</v>
      </c>
      <c r="AP76" s="46">
        <f t="shared" si="98"/>
        <v>1757</v>
      </c>
      <c r="AQ76" s="46">
        <f t="shared" si="98"/>
        <v>2649</v>
      </c>
      <c r="AR76" s="46">
        <f t="shared" si="98"/>
        <v>2406.1927999999998</v>
      </c>
      <c r="AS76" s="46">
        <f t="shared" si="98"/>
        <v>1832</v>
      </c>
      <c r="AT76" s="46">
        <f t="shared" si="98"/>
        <v>1328</v>
      </c>
      <c r="AU76" s="46">
        <f>AU72-AU73-AU74+AU75</f>
        <v>1437</v>
      </c>
      <c r="AV76" s="46">
        <f>AV72-AV73-AV74+AV75</f>
        <v>-2408</v>
      </c>
      <c r="AW76" s="46">
        <f>AW72-AW73-AW74+AW75</f>
        <v>-2544</v>
      </c>
      <c r="AX76" s="46">
        <f>AX72-AX73-AX74+AX75</f>
        <v>-3041</v>
      </c>
      <c r="AY76" s="46"/>
      <c r="AZ76" s="46"/>
      <c r="BA76" s="46"/>
      <c r="BB76" s="46"/>
      <c r="BC76" s="46"/>
      <c r="BD76" s="46">
        <f>BD72-BD73-BD74+BD75</f>
        <v>181</v>
      </c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83"/>
      <c r="BX76" s="83"/>
      <c r="BY76" s="83"/>
      <c r="BZ76" s="83">
        <f t="shared" ref="BZ76:CJ76" si="99">BZ72-BZ73-BZ74+BZ75</f>
        <v>580</v>
      </c>
      <c r="CA76" s="83">
        <f t="shared" si="99"/>
        <v>1220</v>
      </c>
      <c r="CB76" s="83">
        <f t="shared" ref="CB76" si="100">CB72-CB73-CB74+CB75</f>
        <v>1284</v>
      </c>
      <c r="CC76" s="83">
        <f t="shared" si="99"/>
        <v>1171</v>
      </c>
      <c r="CD76" s="83">
        <f t="shared" si="99"/>
        <v>1899</v>
      </c>
      <c r="CE76" s="83">
        <f t="shared" si="99"/>
        <v>2722</v>
      </c>
      <c r="CF76" s="83">
        <f t="shared" si="99"/>
        <v>1805</v>
      </c>
      <c r="CG76" s="83">
        <f t="shared" si="99"/>
        <v>2281</v>
      </c>
      <c r="CH76" s="83">
        <f t="shared" si="99"/>
        <v>3172</v>
      </c>
      <c r="CI76" s="83">
        <f t="shared" si="99"/>
        <v>3961</v>
      </c>
      <c r="CJ76" s="83">
        <f t="shared" si="99"/>
        <v>3365</v>
      </c>
      <c r="CK76" s="83"/>
      <c r="CL76" s="83"/>
      <c r="CM76" s="83"/>
      <c r="CN76" s="83"/>
      <c r="CO76" s="83"/>
      <c r="CP76" s="83"/>
      <c r="CQ76" s="46"/>
      <c r="CR76" s="46"/>
      <c r="CS76" s="46"/>
      <c r="CT76" s="43"/>
      <c r="CU76" s="43"/>
      <c r="CV76" s="46">
        <v>4007</v>
      </c>
      <c r="CW76" s="46">
        <v>4547</v>
      </c>
      <c r="CX76" s="46">
        <v>6502.25</v>
      </c>
      <c r="CY76" s="46">
        <f>CY72-CY73-CY74+CY75</f>
        <v>7103</v>
      </c>
      <c r="CZ76" s="46">
        <f>CZ72-CZ73-CZ74+CZ75</f>
        <v>9602.5529999999981</v>
      </c>
      <c r="DA76" s="46">
        <f t="shared" ref="DA76:DO76" si="101">DA72-DA73-DA74+DA75</f>
        <v>10764.386399999999</v>
      </c>
      <c r="DB76" s="46">
        <f>DB72-DB73-DB74+DB75</f>
        <v>9249</v>
      </c>
      <c r="DC76" s="46">
        <f>DC72-DC73-DC74+DC75</f>
        <v>8835</v>
      </c>
      <c r="DD76" s="46">
        <f t="shared" si="101"/>
        <v>8215.1928000000007</v>
      </c>
      <c r="DE76" s="46">
        <f t="shared" si="101"/>
        <v>3250.8292234091355</v>
      </c>
      <c r="DF76" s="46">
        <f t="shared" si="101"/>
        <v>2867.3546918212205</v>
      </c>
      <c r="DG76" s="46">
        <f t="shared" si="101"/>
        <v>2770.9538261232065</v>
      </c>
      <c r="DH76" s="46">
        <f t="shared" si="101"/>
        <v>2410.0935133049852</v>
      </c>
      <c r="DI76" s="46">
        <f t="shared" si="101"/>
        <v>2195.7216934016706</v>
      </c>
      <c r="DJ76" s="46">
        <f t="shared" si="101"/>
        <v>1823.4068214759116</v>
      </c>
      <c r="DK76" s="46">
        <f t="shared" si="101"/>
        <v>1567.4333338387707</v>
      </c>
      <c r="DL76" s="46">
        <f t="shared" si="101"/>
        <v>1448.74324298436</v>
      </c>
      <c r="DM76" s="46">
        <f>DM72-DM73-DM74+DM75</f>
        <v>1453.6904876178614</v>
      </c>
      <c r="DN76" s="46">
        <f t="shared" si="101"/>
        <v>1422.9134210033005</v>
      </c>
      <c r="DO76" s="46">
        <f t="shared" si="101"/>
        <v>1299.8139096906834</v>
      </c>
      <c r="DP76" s="46">
        <f>DP72-DP73-DP74+DP75</f>
        <v>1208.0971620355399</v>
      </c>
      <c r="DQ76" s="46">
        <f>DQ72-DQ73-DQ74+DQ75</f>
        <v>1095.9875685670536</v>
      </c>
      <c r="DR76" s="46">
        <f>DR72-DR73-DR74+DR75</f>
        <v>1044.1543053653345</v>
      </c>
    </row>
    <row r="77" spans="1:122" s="11" customFormat="1">
      <c r="A77" s="35"/>
      <c r="B77" s="35" t="s">
        <v>22</v>
      </c>
      <c r="C77" s="46"/>
      <c r="D77" s="46"/>
      <c r="E77" s="46"/>
      <c r="F77" s="46"/>
      <c r="G77" s="46"/>
      <c r="H77" s="46"/>
      <c r="I77" s="46"/>
      <c r="J77" s="46"/>
      <c r="K77" s="46">
        <v>11</v>
      </c>
      <c r="L77" s="46">
        <v>31</v>
      </c>
      <c r="M77" s="46">
        <v>4</v>
      </c>
      <c r="N77" s="46">
        <v>10</v>
      </c>
      <c r="O77" s="46">
        <v>30</v>
      </c>
      <c r="P77" s="46">
        <v>-13</v>
      </c>
      <c r="Q77" s="46">
        <v>13</v>
      </c>
      <c r="R77" s="46">
        <v>48</v>
      </c>
      <c r="S77" s="46">
        <v>33</v>
      </c>
      <c r="T77" s="46">
        <v>31</v>
      </c>
      <c r="U77" s="46">
        <v>48</v>
      </c>
      <c r="V77" s="46">
        <v>53</v>
      </c>
      <c r="W77" s="46">
        <f>200-132</f>
        <v>68</v>
      </c>
      <c r="X77" s="46">
        <f>199-121</f>
        <v>78</v>
      </c>
      <c r="Y77" s="46">
        <f>221-140</f>
        <v>81</v>
      </c>
      <c r="Z77" s="46">
        <f>267-167</f>
        <v>100</v>
      </c>
      <c r="AA77" s="46">
        <f>247-150</f>
        <v>97</v>
      </c>
      <c r="AB77" s="46">
        <f>239-221</f>
        <v>18</v>
      </c>
      <c r="AC77" s="46">
        <f>217-351</f>
        <v>-134</v>
      </c>
      <c r="AD77" s="46">
        <f>256-348</f>
        <v>-92</v>
      </c>
      <c r="AE77" s="46">
        <v>-114</v>
      </c>
      <c r="AF77" s="46">
        <f>144-338</f>
        <v>-194</v>
      </c>
      <c r="AG77" s="46">
        <f>235-314</f>
        <v>-79</v>
      </c>
      <c r="AH77" s="46">
        <f>217-293</f>
        <v>-76</v>
      </c>
      <c r="AI77" s="46">
        <f>113-273</f>
        <v>-160</v>
      </c>
      <c r="AJ77" s="46">
        <f>94-337</f>
        <v>-243</v>
      </c>
      <c r="AK77" s="46">
        <f>125-297</f>
        <v>-172</v>
      </c>
      <c r="AL77" s="46">
        <f>130-291</f>
        <v>-161</v>
      </c>
      <c r="AM77" s="46">
        <f>133-257</f>
        <v>-124</v>
      </c>
      <c r="AN77" s="46">
        <f>126-243</f>
        <v>-117</v>
      </c>
      <c r="AO77" s="46">
        <f>123-271</f>
        <v>-148</v>
      </c>
      <c r="AP77" s="46">
        <f>140-268</f>
        <v>-128</v>
      </c>
      <c r="AQ77" s="46">
        <f>137-250</f>
        <v>-113</v>
      </c>
      <c r="AR77" s="46">
        <f>137-250</f>
        <v>-113</v>
      </c>
      <c r="AS77" s="46">
        <f>153-246</f>
        <v>-93</v>
      </c>
      <c r="AT77" s="46">
        <f>126-241</f>
        <v>-115</v>
      </c>
      <c r="AU77" s="46">
        <f>132-239</f>
        <v>-107</v>
      </c>
      <c r="AV77" s="46"/>
      <c r="AW77" s="46"/>
      <c r="AX77" s="46"/>
      <c r="AY77" s="46"/>
      <c r="AZ77" s="46"/>
      <c r="BA77" s="46"/>
      <c r="BB77" s="46"/>
      <c r="BC77" s="46"/>
      <c r="BD77" s="46">
        <f>10-253</f>
        <v>-243</v>
      </c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83"/>
      <c r="BX77" s="83"/>
      <c r="BY77" s="83"/>
      <c r="BZ77" s="83">
        <f>312+25</f>
        <v>337</v>
      </c>
      <c r="CA77" s="83">
        <f>281+4</f>
        <v>285</v>
      </c>
      <c r="CB77" s="83">
        <f>307+16</f>
        <v>323</v>
      </c>
      <c r="CC77" s="83">
        <f>324+1-7</f>
        <v>318</v>
      </c>
      <c r="CD77" s="83">
        <f>314+6-54-55</f>
        <v>211</v>
      </c>
      <c r="CE77" s="83">
        <f>-20+303+4-49-47</f>
        <v>191</v>
      </c>
      <c r="CF77" s="83">
        <f>319+44-50-47</f>
        <v>266</v>
      </c>
      <c r="CG77" s="83">
        <f>335+7-15-101</f>
        <v>226</v>
      </c>
      <c r="CH77" s="83">
        <f>-146+233</f>
        <v>87</v>
      </c>
      <c r="CI77" s="83">
        <v>252</v>
      </c>
      <c r="CJ77" s="83">
        <f>223-1</f>
        <v>222</v>
      </c>
      <c r="CK77" s="83"/>
      <c r="CL77" s="83"/>
      <c r="CM77" s="83"/>
      <c r="CN77" s="83"/>
      <c r="CO77" s="83"/>
      <c r="CP77" s="83"/>
      <c r="CQ77" s="46"/>
      <c r="CR77" s="46"/>
      <c r="CS77" s="46"/>
      <c r="CT77" s="43"/>
      <c r="CU77" s="43"/>
      <c r="CV77" s="46">
        <v>56</v>
      </c>
      <c r="CW77" s="46">
        <v>78</v>
      </c>
      <c r="CX77" s="46">
        <v>165</v>
      </c>
      <c r="CY77" s="44">
        <f>SUM(W77:Z77)</f>
        <v>327</v>
      </c>
      <c r="CZ77" s="43"/>
      <c r="DA77" s="46">
        <f>CZ92*0.07</f>
        <v>0</v>
      </c>
      <c r="DB77" s="44">
        <f>SUM(AI77:AL77)</f>
        <v>-736</v>
      </c>
      <c r="DC77" s="46">
        <f>SUM(AM77:AP77)</f>
        <v>-517</v>
      </c>
      <c r="DD77" s="44">
        <f>SUM(AQ77:AT77)</f>
        <v>-434</v>
      </c>
      <c r="DE77" s="46">
        <f t="shared" ref="DE77:DR77" si="102">DD92*$DV$90</f>
        <v>0</v>
      </c>
      <c r="DF77" s="46">
        <f t="shared" si="102"/>
        <v>-50</v>
      </c>
      <c r="DG77" s="46">
        <f t="shared" si="102"/>
        <v>55.650800943295785</v>
      </c>
      <c r="DH77" s="46">
        <f t="shared" si="102"/>
        <v>161.64847445828963</v>
      </c>
      <c r="DI77" s="46">
        <f t="shared" si="102"/>
        <v>258.0887989994124</v>
      </c>
      <c r="DJ77" s="46">
        <f t="shared" si="102"/>
        <v>350.10669246445303</v>
      </c>
      <c r="DK77" s="46">
        <f t="shared" si="102"/>
        <v>431.61344923721663</v>
      </c>
      <c r="DL77" s="46">
        <f t="shared" si="102"/>
        <v>506.5777036025662</v>
      </c>
      <c r="DM77" s="46">
        <f t="shared" si="102"/>
        <v>579.90223909957592</v>
      </c>
      <c r="DN77" s="46">
        <f t="shared" si="102"/>
        <v>656.16196635147992</v>
      </c>
      <c r="DO77" s="46">
        <f t="shared" si="102"/>
        <v>734.12729337728422</v>
      </c>
      <c r="DP77" s="46">
        <f t="shared" si="102"/>
        <v>810.400088492333</v>
      </c>
      <c r="DQ77" s="46">
        <f t="shared" si="102"/>
        <v>886.09373538712816</v>
      </c>
      <c r="DR77" s="46">
        <f t="shared" si="102"/>
        <v>960.42178428541001</v>
      </c>
    </row>
    <row r="78" spans="1:122" s="11" customFormat="1">
      <c r="A78" s="35"/>
      <c r="B78" s="35" t="s">
        <v>23</v>
      </c>
      <c r="C78" s="46"/>
      <c r="D78" s="46"/>
      <c r="E78" s="46"/>
      <c r="F78" s="46"/>
      <c r="G78" s="46"/>
      <c r="H78" s="46"/>
      <c r="I78" s="46"/>
      <c r="J78" s="46"/>
      <c r="K78" s="46">
        <v>1195</v>
      </c>
      <c r="L78" s="46">
        <v>914</v>
      </c>
      <c r="M78" s="46">
        <v>1077</v>
      </c>
      <c r="N78" s="46">
        <v>879</v>
      </c>
      <c r="O78" s="46">
        <v>1082</v>
      </c>
      <c r="P78" s="46">
        <v>1039</v>
      </c>
      <c r="Q78" s="46">
        <v>1185</v>
      </c>
      <c r="R78" s="46">
        <v>1319</v>
      </c>
      <c r="S78" s="46">
        <v>1486</v>
      </c>
      <c r="T78" s="46">
        <v>1749.25</v>
      </c>
      <c r="U78" s="46">
        <v>1743</v>
      </c>
      <c r="V78" s="46">
        <v>1689</v>
      </c>
      <c r="W78" s="46">
        <f t="shared" ref="W78:AB78" si="103">W76+W77</f>
        <v>1767</v>
      </c>
      <c r="X78" s="46">
        <f t="shared" si="103"/>
        <v>1901</v>
      </c>
      <c r="Y78" s="46">
        <f t="shared" si="103"/>
        <v>1911</v>
      </c>
      <c r="Z78" s="46">
        <f t="shared" si="103"/>
        <v>1851</v>
      </c>
      <c r="AA78" s="46">
        <f t="shared" si="103"/>
        <v>1913</v>
      </c>
      <c r="AB78" s="46">
        <f t="shared" si="103"/>
        <v>1577</v>
      </c>
      <c r="AC78" s="46">
        <f t="shared" ref="AC78:AH78" si="104">AC76+AC77</f>
        <v>1517</v>
      </c>
      <c r="AD78" s="46">
        <f t="shared" si="104"/>
        <v>1918</v>
      </c>
      <c r="AE78" s="46">
        <f t="shared" si="104"/>
        <v>2210</v>
      </c>
      <c r="AF78" s="46">
        <f t="shared" si="104"/>
        <v>1761</v>
      </c>
      <c r="AG78" s="46">
        <f t="shared" si="104"/>
        <v>1942</v>
      </c>
      <c r="AH78" s="46">
        <f t="shared" si="104"/>
        <v>1302</v>
      </c>
      <c r="AI78" s="46">
        <f t="shared" ref="AI78:AQ78" si="105">AI76+AI77</f>
        <v>2488</v>
      </c>
      <c r="AJ78" s="46">
        <f t="shared" si="105"/>
        <v>2057</v>
      </c>
      <c r="AK78" s="46">
        <f t="shared" si="105"/>
        <v>2470</v>
      </c>
      <c r="AL78" s="46">
        <f t="shared" si="105"/>
        <v>1498</v>
      </c>
      <c r="AM78" s="46">
        <f t="shared" si="105"/>
        <v>2818</v>
      </c>
      <c r="AN78" s="46">
        <f t="shared" si="105"/>
        <v>2253</v>
      </c>
      <c r="AO78" s="46">
        <f t="shared" si="105"/>
        <v>1618</v>
      </c>
      <c r="AP78" s="46">
        <f t="shared" si="105"/>
        <v>1629</v>
      </c>
      <c r="AQ78" s="46">
        <f t="shared" si="105"/>
        <v>2536</v>
      </c>
      <c r="AR78" s="46">
        <f t="shared" ref="AR78:AX78" si="106">AR76+AR77</f>
        <v>2293.1927999999998</v>
      </c>
      <c r="AS78" s="46">
        <f t="shared" si="106"/>
        <v>1739</v>
      </c>
      <c r="AT78" s="46">
        <f t="shared" si="106"/>
        <v>1213</v>
      </c>
      <c r="AU78" s="46">
        <f t="shared" si="106"/>
        <v>1330</v>
      </c>
      <c r="AV78" s="46">
        <f t="shared" si="106"/>
        <v>-2408</v>
      </c>
      <c r="AW78" s="46">
        <f t="shared" si="106"/>
        <v>-2544</v>
      </c>
      <c r="AX78" s="46">
        <f t="shared" si="106"/>
        <v>-3041</v>
      </c>
      <c r="AY78" s="46"/>
      <c r="AZ78" s="46"/>
      <c r="BA78" s="46"/>
      <c r="BB78" s="46"/>
      <c r="BC78" s="46"/>
      <c r="BD78" s="46">
        <f>+BD77+BD76</f>
        <v>-62</v>
      </c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83"/>
      <c r="BX78" s="83"/>
      <c r="BY78" s="83"/>
      <c r="BZ78" s="83">
        <f t="shared" ref="BZ78:CB78" si="107">BZ76-BZ77</f>
        <v>243</v>
      </c>
      <c r="CA78" s="83">
        <f t="shared" si="107"/>
        <v>935</v>
      </c>
      <c r="CB78" s="83">
        <f t="shared" si="107"/>
        <v>961</v>
      </c>
      <c r="CC78" s="83">
        <f t="shared" ref="CC78:CJ78" si="108">CC76-CC77</f>
        <v>853</v>
      </c>
      <c r="CD78" s="83">
        <f t="shared" si="108"/>
        <v>1688</v>
      </c>
      <c r="CE78" s="83">
        <f t="shared" si="108"/>
        <v>2531</v>
      </c>
      <c r="CF78" s="83">
        <f t="shared" si="108"/>
        <v>1539</v>
      </c>
      <c r="CG78" s="83">
        <f t="shared" si="108"/>
        <v>2055</v>
      </c>
      <c r="CH78" s="83">
        <f t="shared" si="108"/>
        <v>3085</v>
      </c>
      <c r="CI78" s="83">
        <f t="shared" si="108"/>
        <v>3709</v>
      </c>
      <c r="CJ78" s="83">
        <f t="shared" si="108"/>
        <v>3143</v>
      </c>
      <c r="CK78" s="83"/>
      <c r="CL78" s="83"/>
      <c r="CM78" s="83"/>
      <c r="CN78" s="83"/>
      <c r="CO78" s="83"/>
      <c r="CP78" s="83"/>
      <c r="CQ78" s="46"/>
      <c r="CR78" s="46"/>
      <c r="CS78" s="46"/>
      <c r="CT78" s="43"/>
      <c r="CU78" s="43"/>
      <c r="CV78" s="46">
        <v>4065</v>
      </c>
      <c r="CW78" s="46">
        <v>4625</v>
      </c>
      <c r="CX78" s="46">
        <v>6667.25</v>
      </c>
      <c r="CY78" s="46">
        <f>CY76+CY77</f>
        <v>7430</v>
      </c>
      <c r="CZ78" s="46">
        <f t="shared" ref="CZ78:DQ78" si="109">CZ76+CZ77</f>
        <v>9602.5529999999981</v>
      </c>
      <c r="DA78" s="46">
        <f t="shared" si="109"/>
        <v>10764.386399999999</v>
      </c>
      <c r="DB78" s="46">
        <f>DB76+DB77</f>
        <v>8513</v>
      </c>
      <c r="DC78" s="46">
        <f>DC76+DC77</f>
        <v>8318</v>
      </c>
      <c r="DD78" s="46">
        <f t="shared" si="109"/>
        <v>7781.1928000000007</v>
      </c>
      <c r="DE78" s="46">
        <f t="shared" si="109"/>
        <v>3250.8292234091355</v>
      </c>
      <c r="DF78" s="46">
        <f t="shared" si="109"/>
        <v>2817.3546918212205</v>
      </c>
      <c r="DG78" s="46">
        <f t="shared" si="109"/>
        <v>2826.6046270665024</v>
      </c>
      <c r="DH78" s="46">
        <f t="shared" si="109"/>
        <v>2571.7419877632747</v>
      </c>
      <c r="DI78" s="46">
        <f t="shared" si="109"/>
        <v>2453.8104924010831</v>
      </c>
      <c r="DJ78" s="46">
        <f t="shared" si="109"/>
        <v>2173.5135139403646</v>
      </c>
      <c r="DK78" s="46">
        <f t="shared" si="109"/>
        <v>1999.0467830759874</v>
      </c>
      <c r="DL78" s="46">
        <f t="shared" si="109"/>
        <v>1955.3209465869263</v>
      </c>
      <c r="DM78" s="46">
        <f t="shared" si="109"/>
        <v>2033.5927267174375</v>
      </c>
      <c r="DN78" s="46">
        <f t="shared" si="109"/>
        <v>2079.0753873547806</v>
      </c>
      <c r="DO78" s="46">
        <f t="shared" si="109"/>
        <v>2033.9412030679678</v>
      </c>
      <c r="DP78" s="46">
        <f t="shared" si="109"/>
        <v>2018.4972505278729</v>
      </c>
      <c r="DQ78" s="46">
        <f t="shared" si="109"/>
        <v>1982.0813039541817</v>
      </c>
      <c r="DR78" s="46">
        <f>DR76+DR77</f>
        <v>2004.5760896507445</v>
      </c>
    </row>
    <row r="79" spans="1:122" s="11" customFormat="1">
      <c r="A79" s="35"/>
      <c r="B79" s="35" t="s">
        <v>16</v>
      </c>
      <c r="C79" s="46"/>
      <c r="D79" s="46"/>
      <c r="E79" s="46"/>
      <c r="F79" s="46"/>
      <c r="G79" s="46"/>
      <c r="H79" s="46"/>
      <c r="I79" s="46"/>
      <c r="J79" s="46"/>
      <c r="K79" s="46">
        <v>-247</v>
      </c>
      <c r="L79" s="46">
        <v>-253</v>
      </c>
      <c r="M79" s="46">
        <v>-311</v>
      </c>
      <c r="N79" s="46">
        <v>-218</v>
      </c>
      <c r="O79" s="46">
        <v>-285</v>
      </c>
      <c r="P79" s="46">
        <v>-230</v>
      </c>
      <c r="Q79" s="46">
        <v>-341</v>
      </c>
      <c r="R79" s="46">
        <v>-366</v>
      </c>
      <c r="S79" s="46">
        <v>-443</v>
      </c>
      <c r="T79" s="46">
        <v>-525</v>
      </c>
      <c r="U79" s="46">
        <v>-513</v>
      </c>
      <c r="V79" s="46">
        <v>-462</v>
      </c>
      <c r="W79" s="46">
        <v>620</v>
      </c>
      <c r="X79" s="46">
        <v>607</v>
      </c>
      <c r="Y79" s="46">
        <v>595</v>
      </c>
      <c r="Z79" s="46">
        <v>658</v>
      </c>
      <c r="AA79" s="46">
        <v>703</v>
      </c>
      <c r="AB79" s="46">
        <v>554</v>
      </c>
      <c r="AC79" s="46">
        <v>537</v>
      </c>
      <c r="AD79" s="46">
        <v>562</v>
      </c>
      <c r="AE79" s="46">
        <v>638</v>
      </c>
      <c r="AF79" s="46">
        <v>651</v>
      </c>
      <c r="AG79" s="46">
        <v>705</v>
      </c>
      <c r="AH79" s="46">
        <v>557</v>
      </c>
      <c r="AI79" s="46">
        <v>859</v>
      </c>
      <c r="AJ79" s="46">
        <v>891</v>
      </c>
      <c r="AK79" s="46">
        <v>911</v>
      </c>
      <c r="AL79" s="46">
        <v>602</v>
      </c>
      <c r="AM79" s="46">
        <v>740</v>
      </c>
      <c r="AN79" s="46">
        <v>801</v>
      </c>
      <c r="AO79" s="46">
        <v>704</v>
      </c>
      <c r="AP79" s="46">
        <v>651</v>
      </c>
      <c r="AQ79" s="46">
        <v>373</v>
      </c>
      <c r="AR79" s="46">
        <f>AR78*0.2</f>
        <v>458.63855999999998</v>
      </c>
      <c r="AS79" s="46">
        <v>684</v>
      </c>
      <c r="AT79" s="46">
        <v>559</v>
      </c>
      <c r="AU79" s="46">
        <v>411</v>
      </c>
      <c r="AV79" s="46">
        <f>+AV78*0.2</f>
        <v>-481.6</v>
      </c>
      <c r="AW79" s="46">
        <f>+AW78*0.2</f>
        <v>-508.8</v>
      </c>
      <c r="AX79" s="46">
        <f>+AX78*0.2</f>
        <v>-608.20000000000005</v>
      </c>
      <c r="AY79" s="46"/>
      <c r="AZ79" s="46"/>
      <c r="BA79" s="46"/>
      <c r="BB79" s="46"/>
      <c r="BC79" s="46"/>
      <c r="BD79" s="46">
        <v>69</v>
      </c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83"/>
      <c r="BX79" s="83"/>
      <c r="BY79" s="83"/>
      <c r="BZ79" s="83">
        <v>-37</v>
      </c>
      <c r="CA79" s="83">
        <v>185</v>
      </c>
      <c r="CB79" s="83">
        <v>202</v>
      </c>
      <c r="CC79" s="83">
        <v>202</v>
      </c>
      <c r="CD79" s="83">
        <v>297</v>
      </c>
      <c r="CE79" s="83">
        <v>190</v>
      </c>
      <c r="CF79" s="83">
        <v>364</v>
      </c>
      <c r="CG79" s="83">
        <v>443</v>
      </c>
      <c r="CH79" s="83">
        <v>497</v>
      </c>
      <c r="CI79" s="83">
        <v>772</v>
      </c>
      <c r="CJ79" s="83">
        <v>481</v>
      </c>
      <c r="CK79" s="83"/>
      <c r="CL79" s="83"/>
      <c r="CM79" s="83"/>
      <c r="CN79" s="83"/>
      <c r="CO79" s="83"/>
      <c r="CP79" s="83"/>
      <c r="CQ79" s="46"/>
      <c r="CR79" s="46"/>
      <c r="CS79" s="46"/>
      <c r="CT79" s="43"/>
      <c r="CU79" s="43"/>
      <c r="CV79" s="46">
        <v>-1029</v>
      </c>
      <c r="CW79" s="46">
        <v>-1222</v>
      </c>
      <c r="CX79" s="46">
        <v>-1943</v>
      </c>
      <c r="CY79" s="44">
        <f>SUM(W79:Z79)</f>
        <v>2480</v>
      </c>
      <c r="CZ79" s="46">
        <f>CZ78*0.25</f>
        <v>2400.6382499999995</v>
      </c>
      <c r="DA79" s="46">
        <f t="shared" ref="DA79:DQ79" si="110">DA78*0.25</f>
        <v>2691.0965999999999</v>
      </c>
      <c r="DB79" s="44">
        <f>SUM(AI79:AL79)</f>
        <v>3263</v>
      </c>
      <c r="DC79" s="46">
        <f>SUM(AM79:AP79)</f>
        <v>2896</v>
      </c>
      <c r="DD79" s="44">
        <f>SUM(AQ79:AT79)</f>
        <v>2074.6385599999999</v>
      </c>
      <c r="DE79" s="46">
        <f t="shared" si="110"/>
        <v>812.70730585228387</v>
      </c>
      <c r="DF79" s="46">
        <f t="shared" si="110"/>
        <v>704.33867295530513</v>
      </c>
      <c r="DG79" s="46">
        <f t="shared" si="110"/>
        <v>706.6511567666256</v>
      </c>
      <c r="DH79" s="46">
        <f t="shared" si="110"/>
        <v>642.93549694081867</v>
      </c>
      <c r="DI79" s="46">
        <f t="shared" si="110"/>
        <v>613.45262310027078</v>
      </c>
      <c r="DJ79" s="46">
        <f t="shared" si="110"/>
        <v>543.37837848509116</v>
      </c>
      <c r="DK79" s="46">
        <f t="shared" si="110"/>
        <v>499.76169576899684</v>
      </c>
      <c r="DL79" s="46">
        <f t="shared" si="110"/>
        <v>488.83023664673158</v>
      </c>
      <c r="DM79" s="46">
        <f t="shared" si="110"/>
        <v>508.39818167935937</v>
      </c>
      <c r="DN79" s="46">
        <f t="shared" si="110"/>
        <v>519.76884683869514</v>
      </c>
      <c r="DO79" s="46">
        <f t="shared" si="110"/>
        <v>508.48530076699194</v>
      </c>
      <c r="DP79" s="46">
        <f t="shared" si="110"/>
        <v>504.62431263196822</v>
      </c>
      <c r="DQ79" s="46">
        <f t="shared" si="110"/>
        <v>495.52032598854544</v>
      </c>
      <c r="DR79" s="46">
        <f>DR78*0.25</f>
        <v>501.14402241268613</v>
      </c>
    </row>
    <row r="80" spans="1:122" s="11" customFormat="1">
      <c r="A80" s="35"/>
      <c r="B80" s="35" t="s">
        <v>24</v>
      </c>
      <c r="C80" s="46"/>
      <c r="D80" s="46"/>
      <c r="E80" s="46"/>
      <c r="F80" s="46"/>
      <c r="G80" s="46"/>
      <c r="H80" s="46"/>
      <c r="I80" s="46"/>
      <c r="J80" s="46"/>
      <c r="K80" s="46">
        <v>-5</v>
      </c>
      <c r="L80" s="46">
        <v>-2</v>
      </c>
      <c r="M80" s="46">
        <v>-7</v>
      </c>
      <c r="N80" s="46">
        <v>-8</v>
      </c>
      <c r="O80" s="46">
        <v>-2</v>
      </c>
      <c r="P80" s="46">
        <v>-5</v>
      </c>
      <c r="Q80" s="46">
        <v>-6</v>
      </c>
      <c r="R80" s="46">
        <v>-6</v>
      </c>
      <c r="S80" s="46">
        <v>-3</v>
      </c>
      <c r="T80" s="46">
        <v>-5</v>
      </c>
      <c r="U80" s="46">
        <v>-7</v>
      </c>
      <c r="V80" s="46">
        <v>-3</v>
      </c>
      <c r="W80" s="46">
        <v>-1</v>
      </c>
      <c r="X80" s="46">
        <v>3</v>
      </c>
      <c r="Y80" s="46">
        <v>5</v>
      </c>
      <c r="Z80" s="46">
        <v>13</v>
      </c>
      <c r="AA80" s="46">
        <v>4</v>
      </c>
      <c r="AB80" s="46">
        <v>0</v>
      </c>
      <c r="AC80" s="46">
        <v>8</v>
      </c>
      <c r="AD80" s="46">
        <v>9</v>
      </c>
      <c r="AE80" s="46">
        <v>2</v>
      </c>
      <c r="AF80" s="46">
        <v>8</v>
      </c>
      <c r="AG80" s="46">
        <v>8</v>
      </c>
      <c r="AH80" s="46">
        <v>11</v>
      </c>
      <c r="AI80" s="46">
        <v>2</v>
      </c>
      <c r="AJ80" s="46">
        <v>10</v>
      </c>
      <c r="AK80" s="46">
        <v>6</v>
      </c>
      <c r="AL80" s="46">
        <v>9</v>
      </c>
      <c r="AM80" s="46">
        <v>2</v>
      </c>
      <c r="AN80" s="46">
        <v>0</v>
      </c>
      <c r="AO80" s="46">
        <v>0</v>
      </c>
      <c r="AP80" s="46">
        <v>11</v>
      </c>
      <c r="AQ80" s="46">
        <v>8</v>
      </c>
      <c r="AR80" s="46"/>
      <c r="AS80" s="46">
        <v>358</v>
      </c>
      <c r="AT80" s="46">
        <v>490</v>
      </c>
      <c r="AU80" s="46">
        <f>-117</f>
        <v>-117</v>
      </c>
      <c r="AV80" s="46"/>
      <c r="AW80" s="46"/>
      <c r="AX80" s="46"/>
      <c r="AY80" s="46"/>
      <c r="AZ80" s="46"/>
      <c r="BA80" s="46"/>
      <c r="BB80" s="46"/>
      <c r="BC80" s="46"/>
      <c r="BD80" s="46">
        <v>1</v>
      </c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83"/>
      <c r="BX80" s="83"/>
      <c r="BY80" s="83"/>
      <c r="BZ80" s="83">
        <v>0</v>
      </c>
      <c r="CA80" s="83">
        <v>0</v>
      </c>
      <c r="CB80" s="83">
        <v>0</v>
      </c>
      <c r="CC80" s="83">
        <v>0</v>
      </c>
      <c r="CD80" s="83">
        <v>0</v>
      </c>
      <c r="CE80" s="83">
        <v>0</v>
      </c>
      <c r="CF80" s="83">
        <v>0</v>
      </c>
      <c r="CG80" s="83">
        <v>0</v>
      </c>
      <c r="CH80" s="83">
        <v>0</v>
      </c>
      <c r="CI80" s="83">
        <v>0</v>
      </c>
      <c r="CJ80" s="83">
        <v>0</v>
      </c>
      <c r="CK80" s="83"/>
      <c r="CL80" s="83"/>
      <c r="CM80" s="83"/>
      <c r="CN80" s="83"/>
      <c r="CO80" s="83"/>
      <c r="CP80" s="83"/>
      <c r="CQ80" s="46"/>
      <c r="CR80" s="46"/>
      <c r="CS80" s="46"/>
      <c r="CT80" s="43"/>
      <c r="CU80" s="43"/>
      <c r="CV80" s="46">
        <v>0</v>
      </c>
      <c r="CW80" s="46">
        <v>3670</v>
      </c>
      <c r="CX80" s="46">
        <v>4706.25</v>
      </c>
      <c r="CY80" s="43"/>
      <c r="CZ80" s="43"/>
      <c r="DA80" s="43"/>
      <c r="DB80" s="44">
        <f>SUM(AI80:AL80)</f>
        <v>27</v>
      </c>
      <c r="DC80" s="46">
        <f>SUM(AM80:AP80)</f>
        <v>13</v>
      </c>
      <c r="DD80" s="44">
        <f>SUM(AQ80:AT80)</f>
        <v>856</v>
      </c>
      <c r="DE80" s="43"/>
      <c r="DF80" s="43"/>
      <c r="DG80" s="43"/>
      <c r="DH80" s="43"/>
      <c r="DI80" s="43"/>
      <c r="DJ80" s="43"/>
      <c r="DK80" s="43"/>
      <c r="DL80" s="43"/>
      <c r="DM80" s="43"/>
    </row>
    <row r="81" spans="1:189" s="11" customFormat="1">
      <c r="A81" s="35"/>
      <c r="B81" s="35" t="s">
        <v>442</v>
      </c>
      <c r="C81" s="46"/>
      <c r="D81" s="46"/>
      <c r="E81" s="46"/>
      <c r="F81" s="46"/>
      <c r="G81" s="46"/>
      <c r="H81" s="46"/>
      <c r="I81" s="46"/>
      <c r="J81" s="46"/>
      <c r="K81" s="46">
        <v>943</v>
      </c>
      <c r="L81" s="46">
        <v>659</v>
      </c>
      <c r="M81" s="46">
        <v>759</v>
      </c>
      <c r="N81" s="46">
        <v>653</v>
      </c>
      <c r="O81" s="46">
        <v>795</v>
      </c>
      <c r="P81" s="46">
        <v>804</v>
      </c>
      <c r="Q81" s="46">
        <v>838</v>
      </c>
      <c r="R81" s="46">
        <v>947</v>
      </c>
      <c r="S81" s="46">
        <v>1040</v>
      </c>
      <c r="T81" s="46">
        <v>1219.25</v>
      </c>
      <c r="U81" s="46">
        <v>1223</v>
      </c>
      <c r="V81" s="46">
        <v>1224</v>
      </c>
      <c r="W81" s="46">
        <f t="shared" ref="W81:AE81" si="111">W78-W79-W80</f>
        <v>1148</v>
      </c>
      <c r="X81" s="46">
        <f t="shared" si="111"/>
        <v>1291</v>
      </c>
      <c r="Y81" s="46">
        <f t="shared" si="111"/>
        <v>1311</v>
      </c>
      <c r="Z81" s="46">
        <f t="shared" si="111"/>
        <v>1180</v>
      </c>
      <c r="AA81" s="46">
        <f t="shared" si="111"/>
        <v>1206</v>
      </c>
      <c r="AB81" s="46">
        <f t="shared" si="111"/>
        <v>1023</v>
      </c>
      <c r="AC81" s="46">
        <f t="shared" si="111"/>
        <v>972</v>
      </c>
      <c r="AD81" s="46">
        <f t="shared" si="111"/>
        <v>1347</v>
      </c>
      <c r="AE81" s="46">
        <f t="shared" si="111"/>
        <v>1570</v>
      </c>
      <c r="AF81" s="46">
        <f t="shared" ref="AF81:AL81" si="112">AF78-AF79-AF80</f>
        <v>1102</v>
      </c>
      <c r="AG81" s="46">
        <f t="shared" si="112"/>
        <v>1229</v>
      </c>
      <c r="AH81" s="46">
        <f>AH78-AH79-AH80</f>
        <v>734</v>
      </c>
      <c r="AI81" s="46">
        <f t="shared" si="112"/>
        <v>1627</v>
      </c>
      <c r="AJ81" s="46">
        <f t="shared" si="112"/>
        <v>1156</v>
      </c>
      <c r="AK81" s="46">
        <f t="shared" si="112"/>
        <v>1553</v>
      </c>
      <c r="AL81" s="46">
        <f t="shared" si="112"/>
        <v>887</v>
      </c>
      <c r="AM81" s="46">
        <f t="shared" ref="AM81:AT81" si="113">AM78-AM79-AM80</f>
        <v>2076</v>
      </c>
      <c r="AN81" s="46">
        <f t="shared" si="113"/>
        <v>1452</v>
      </c>
      <c r="AO81" s="46">
        <f t="shared" si="113"/>
        <v>914</v>
      </c>
      <c r="AP81" s="46">
        <f t="shared" si="113"/>
        <v>967</v>
      </c>
      <c r="AQ81" s="46">
        <f t="shared" si="113"/>
        <v>2155</v>
      </c>
      <c r="AR81" s="46">
        <f t="shared" si="113"/>
        <v>1834.5542399999999</v>
      </c>
      <c r="AS81" s="46">
        <f>AS78-AS79-AS80</f>
        <v>697</v>
      </c>
      <c r="AT81" s="46">
        <f t="shared" si="113"/>
        <v>164</v>
      </c>
      <c r="AU81" s="46">
        <f>AU78-AU79-AU80</f>
        <v>1036</v>
      </c>
      <c r="AV81" s="46">
        <f>AV78-AV79-AV80</f>
        <v>-1926.4</v>
      </c>
      <c r="AW81" s="46">
        <f>AW78-AW79-AW80</f>
        <v>-2035.2</v>
      </c>
      <c r="AX81" s="46">
        <f>AX78-AX79-AX80</f>
        <v>-2432.8000000000002</v>
      </c>
      <c r="AY81" s="46"/>
      <c r="AZ81" s="46"/>
      <c r="BA81" s="46"/>
      <c r="BB81" s="46"/>
      <c r="BC81" s="46"/>
      <c r="BD81" s="46">
        <f>BD78-BD79-BD80</f>
        <v>-132</v>
      </c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83"/>
      <c r="BX81" s="83"/>
      <c r="BY81" s="83"/>
      <c r="BZ81" s="83">
        <f t="shared" ref="BZ81:CJ81" si="114">BZ78-BZ79-BZ80</f>
        <v>280</v>
      </c>
      <c r="CA81" s="83">
        <f t="shared" si="114"/>
        <v>750</v>
      </c>
      <c r="CB81" s="83">
        <f t="shared" ref="CB81" si="115">CB78-CB79-CB80</f>
        <v>759</v>
      </c>
      <c r="CC81" s="83">
        <f t="shared" si="114"/>
        <v>651</v>
      </c>
      <c r="CD81" s="83">
        <f t="shared" si="114"/>
        <v>1391</v>
      </c>
      <c r="CE81" s="83">
        <f t="shared" si="114"/>
        <v>2341</v>
      </c>
      <c r="CF81" s="83">
        <f t="shared" si="114"/>
        <v>1175</v>
      </c>
      <c r="CG81" s="83">
        <f t="shared" si="114"/>
        <v>1612</v>
      </c>
      <c r="CH81" s="83">
        <f t="shared" si="114"/>
        <v>2588</v>
      </c>
      <c r="CI81" s="83">
        <f t="shared" si="114"/>
        <v>2937</v>
      </c>
      <c r="CJ81" s="83">
        <f t="shared" si="114"/>
        <v>2662</v>
      </c>
      <c r="CK81" s="83"/>
      <c r="CL81" s="83"/>
      <c r="CM81" s="83"/>
      <c r="CN81" s="83"/>
      <c r="CO81" s="83"/>
      <c r="CP81" s="83"/>
      <c r="CQ81" s="46"/>
      <c r="CR81" s="46"/>
      <c r="CS81" s="46"/>
      <c r="CT81" s="43"/>
      <c r="CU81" s="43"/>
      <c r="CV81" s="47"/>
      <c r="CW81" s="47"/>
      <c r="CX81" s="47"/>
      <c r="CY81" s="46">
        <f t="shared" ref="CY81:DD81" si="116">CY78-CY79</f>
        <v>4950</v>
      </c>
      <c r="CZ81" s="46">
        <f t="shared" si="116"/>
        <v>7201.9147499999981</v>
      </c>
      <c r="DA81" s="46">
        <f t="shared" si="116"/>
        <v>8073.2897999999996</v>
      </c>
      <c r="DB81" s="46">
        <f>DB78-DB79-DB80</f>
        <v>5223</v>
      </c>
      <c r="DC81" s="46">
        <f>DC78-DC79</f>
        <v>5422</v>
      </c>
      <c r="DD81" s="46">
        <f t="shared" si="116"/>
        <v>5706.5542400000013</v>
      </c>
      <c r="DE81" s="46">
        <f t="shared" ref="DE81:DJ81" si="117">DE78-DE79</f>
        <v>2438.1219175568517</v>
      </c>
      <c r="DF81" s="46">
        <f t="shared" si="117"/>
        <v>2113.0160188659156</v>
      </c>
      <c r="DG81" s="46">
        <f t="shared" si="117"/>
        <v>2119.9534702998767</v>
      </c>
      <c r="DH81" s="46">
        <f t="shared" si="117"/>
        <v>1928.806490822456</v>
      </c>
      <c r="DI81" s="46">
        <f t="shared" si="117"/>
        <v>1840.3578693008124</v>
      </c>
      <c r="DJ81" s="46">
        <f t="shared" si="117"/>
        <v>1630.1351354552735</v>
      </c>
      <c r="DK81" s="46">
        <f>DK78-DK79</f>
        <v>1499.2850873069906</v>
      </c>
      <c r="DL81" s="46">
        <f t="shared" ref="DL81:DQ81" si="118">DL78-DL79</f>
        <v>1466.4907099401948</v>
      </c>
      <c r="DM81" s="46">
        <f t="shared" si="118"/>
        <v>1525.1945450380781</v>
      </c>
      <c r="DN81" s="46">
        <f t="shared" si="118"/>
        <v>1559.3065405160855</v>
      </c>
      <c r="DO81" s="46">
        <f t="shared" si="118"/>
        <v>1525.4559023009758</v>
      </c>
      <c r="DP81" s="46">
        <f t="shared" si="118"/>
        <v>1513.8729378959047</v>
      </c>
      <c r="DQ81" s="46">
        <f t="shared" si="118"/>
        <v>1486.5609779656363</v>
      </c>
      <c r="DR81" s="46">
        <f>DR78-DR79</f>
        <v>1503.4320672380584</v>
      </c>
      <c r="DS81" s="33">
        <f t="shared" ref="DS81:EX81" si="119">DR81*(1+$DV$86)</f>
        <v>1428.2604638761554</v>
      </c>
      <c r="DT81" s="33">
        <f t="shared" si="119"/>
        <v>1356.8474406823475</v>
      </c>
      <c r="DU81" s="33">
        <f t="shared" si="119"/>
        <v>1289.00506864823</v>
      </c>
      <c r="DV81" s="33">
        <f t="shared" si="119"/>
        <v>1224.5548152158185</v>
      </c>
      <c r="DW81" s="33">
        <f t="shared" si="119"/>
        <v>1163.3270744550275</v>
      </c>
      <c r="DX81" s="33">
        <f t="shared" si="119"/>
        <v>1105.1607207322761</v>
      </c>
      <c r="DY81" s="33">
        <f t="shared" si="119"/>
        <v>1049.9026846956622</v>
      </c>
      <c r="DZ81" s="33">
        <f t="shared" si="119"/>
        <v>997.40755046087907</v>
      </c>
      <c r="EA81" s="33">
        <f t="shared" si="119"/>
        <v>947.53717293783507</v>
      </c>
      <c r="EB81" s="33">
        <f t="shared" si="119"/>
        <v>900.16031429094323</v>
      </c>
      <c r="EC81" s="33">
        <f t="shared" si="119"/>
        <v>855.15229857639599</v>
      </c>
      <c r="ED81" s="33">
        <f t="shared" si="119"/>
        <v>812.39468364757613</v>
      </c>
      <c r="EE81" s="33">
        <f t="shared" si="119"/>
        <v>771.77494946519732</v>
      </c>
      <c r="EF81" s="33">
        <f t="shared" si="119"/>
        <v>733.18620199193742</v>
      </c>
      <c r="EG81" s="33">
        <f t="shared" si="119"/>
        <v>696.52689189234047</v>
      </c>
      <c r="EH81" s="33">
        <f t="shared" si="119"/>
        <v>661.70054729772346</v>
      </c>
      <c r="EI81" s="33">
        <f t="shared" si="119"/>
        <v>628.61551993283729</v>
      </c>
      <c r="EJ81" s="33">
        <f t="shared" si="119"/>
        <v>597.18474393619545</v>
      </c>
      <c r="EK81" s="33">
        <f t="shared" si="119"/>
        <v>567.32550673938567</v>
      </c>
      <c r="EL81" s="33">
        <f t="shared" si="119"/>
        <v>538.95923140241632</v>
      </c>
      <c r="EM81" s="33">
        <f t="shared" si="119"/>
        <v>512.01126983229551</v>
      </c>
      <c r="EN81" s="33">
        <f t="shared" si="119"/>
        <v>486.41070634068069</v>
      </c>
      <c r="EO81" s="33">
        <f t="shared" si="119"/>
        <v>462.09017102364663</v>
      </c>
      <c r="EP81" s="33">
        <f t="shared" si="119"/>
        <v>438.9856624724643</v>
      </c>
      <c r="EQ81" s="33">
        <f t="shared" si="119"/>
        <v>417.03637934884108</v>
      </c>
      <c r="ER81" s="33">
        <f t="shared" si="119"/>
        <v>396.18456038139902</v>
      </c>
      <c r="ES81" s="33">
        <f t="shared" si="119"/>
        <v>376.37533236232906</v>
      </c>
      <c r="ET81" s="33">
        <f t="shared" si="119"/>
        <v>357.55656574421261</v>
      </c>
      <c r="EU81" s="33">
        <f t="shared" si="119"/>
        <v>339.67873745700194</v>
      </c>
      <c r="EV81" s="33">
        <f t="shared" si="119"/>
        <v>322.69480058415184</v>
      </c>
      <c r="EW81" s="33">
        <f t="shared" si="119"/>
        <v>306.56006055494424</v>
      </c>
      <c r="EX81" s="33">
        <f t="shared" si="119"/>
        <v>291.23205752719701</v>
      </c>
      <c r="EY81" s="33">
        <f t="shared" ref="EY81:GG81" si="120">EX81*(1+$DV$86)</f>
        <v>276.67045465083714</v>
      </c>
      <c r="EZ81" s="33">
        <f t="shared" si="120"/>
        <v>262.83693191829525</v>
      </c>
      <c r="FA81" s="33">
        <f t="shared" si="120"/>
        <v>249.69508532238046</v>
      </c>
      <c r="FB81" s="33">
        <f t="shared" si="120"/>
        <v>237.21033105626142</v>
      </c>
      <c r="FC81" s="33">
        <f t="shared" si="120"/>
        <v>225.34981450344833</v>
      </c>
      <c r="FD81" s="33">
        <f t="shared" si="120"/>
        <v>214.08232377827591</v>
      </c>
      <c r="FE81" s="33">
        <f t="shared" si="120"/>
        <v>203.37820758936209</v>
      </c>
      <c r="FF81" s="33">
        <f t="shared" si="120"/>
        <v>193.20929720989398</v>
      </c>
      <c r="FG81" s="33">
        <f t="shared" si="120"/>
        <v>183.54883234939928</v>
      </c>
      <c r="FH81" s="33">
        <f t="shared" si="120"/>
        <v>174.3713907319293</v>
      </c>
      <c r="FI81" s="33">
        <f t="shared" si="120"/>
        <v>165.65282119533282</v>
      </c>
      <c r="FJ81" s="33">
        <f t="shared" si="120"/>
        <v>157.37018013556616</v>
      </c>
      <c r="FK81" s="33">
        <f t="shared" si="120"/>
        <v>149.50167112878785</v>
      </c>
      <c r="FL81" s="33">
        <f t="shared" si="120"/>
        <v>142.02658757234846</v>
      </c>
      <c r="FM81" s="33">
        <f t="shared" si="120"/>
        <v>134.92525819373103</v>
      </c>
      <c r="FN81" s="33">
        <f t="shared" si="120"/>
        <v>128.17899528404448</v>
      </c>
      <c r="FO81" s="33">
        <f t="shared" si="120"/>
        <v>121.77004551984224</v>
      </c>
      <c r="FP81" s="33">
        <f t="shared" si="120"/>
        <v>115.68154324385013</v>
      </c>
      <c r="FQ81" s="33">
        <f t="shared" si="120"/>
        <v>109.89746608165761</v>
      </c>
      <c r="FR81" s="33">
        <f t="shared" si="120"/>
        <v>104.40259277757472</v>
      </c>
      <c r="FS81" s="33">
        <f t="shared" si="120"/>
        <v>99.182463138695979</v>
      </c>
      <c r="FT81" s="33">
        <f t="shared" si="120"/>
        <v>94.223339981761171</v>
      </c>
      <c r="FU81" s="33">
        <f t="shared" si="120"/>
        <v>89.512172982673107</v>
      </c>
      <c r="FV81" s="33">
        <f t="shared" si="120"/>
        <v>85.036564333539445</v>
      </c>
      <c r="FW81" s="33">
        <f t="shared" si="120"/>
        <v>80.784736116862476</v>
      </c>
      <c r="FX81" s="33">
        <f t="shared" si="120"/>
        <v>76.745499311019344</v>
      </c>
      <c r="FY81" s="33">
        <f t="shared" si="120"/>
        <v>72.908224345468369</v>
      </c>
      <c r="FZ81" s="33">
        <f t="shared" si="120"/>
        <v>69.262813128194949</v>
      </c>
      <c r="GA81" s="33">
        <f t="shared" si="120"/>
        <v>65.7996724717852</v>
      </c>
      <c r="GB81" s="33">
        <f t="shared" si="120"/>
        <v>62.509688848195935</v>
      </c>
      <c r="GC81" s="33">
        <f t="shared" si="120"/>
        <v>59.384204405786136</v>
      </c>
      <c r="GD81" s="33">
        <f t="shared" si="120"/>
        <v>56.414994185496823</v>
      </c>
      <c r="GE81" s="33">
        <f t="shared" si="120"/>
        <v>53.594244476221981</v>
      </c>
      <c r="GF81" s="33">
        <f t="shared" si="120"/>
        <v>50.914532252410879</v>
      </c>
      <c r="GG81" s="33">
        <f t="shared" si="120"/>
        <v>48.368805639790331</v>
      </c>
    </row>
    <row r="82" spans="1:189">
      <c r="B82" s="101" t="s">
        <v>443</v>
      </c>
      <c r="C82" s="49"/>
      <c r="D82" s="49"/>
      <c r="E82" s="49"/>
      <c r="F82" s="49"/>
      <c r="G82" s="49"/>
      <c r="H82" s="49"/>
      <c r="I82" s="49"/>
      <c r="J82" s="49"/>
      <c r="K82" s="49">
        <v>0.54921374490390218</v>
      </c>
      <c r="L82" s="49">
        <v>0.38492990654205606</v>
      </c>
      <c r="M82" s="49">
        <v>0.44385964912280701</v>
      </c>
      <c r="N82" s="49">
        <v>0.38547815820543091</v>
      </c>
      <c r="O82" s="49">
        <v>0.47041420118343197</v>
      </c>
      <c r="P82" s="49">
        <v>0.47885646217986899</v>
      </c>
      <c r="Q82" s="49">
        <v>0.50149611011370432</v>
      </c>
      <c r="R82" s="49">
        <v>0.57255139056831927</v>
      </c>
      <c r="S82" s="49">
        <v>0.63414634146341464</v>
      </c>
      <c r="T82" s="49">
        <v>0.74892506142506143</v>
      </c>
      <c r="U82" s="49">
        <v>0.75821450712957228</v>
      </c>
      <c r="V82" s="49">
        <v>0.76739811912225708</v>
      </c>
      <c r="W82" s="49">
        <f t="shared" ref="W82:AE82" si="121">W81/W83</f>
        <v>0.72566371681415931</v>
      </c>
      <c r="X82" s="49">
        <f t="shared" si="121"/>
        <v>0.81708860759493673</v>
      </c>
      <c r="Y82" s="49">
        <f t="shared" si="121"/>
        <v>0.83556405353728491</v>
      </c>
      <c r="Z82" s="49">
        <f t="shared" si="121"/>
        <v>0.7637540453074434</v>
      </c>
      <c r="AA82" s="49">
        <f t="shared" si="121"/>
        <v>0.78772044415414766</v>
      </c>
      <c r="AB82" s="49">
        <f t="shared" si="121"/>
        <v>0.67928286852589637</v>
      </c>
      <c r="AC82" s="49">
        <f t="shared" si="121"/>
        <v>0.65278710543989249</v>
      </c>
      <c r="AD82" s="49">
        <f t="shared" si="121"/>
        <v>0.90463398253861649</v>
      </c>
      <c r="AE82" s="49">
        <f t="shared" si="121"/>
        <v>1.0775566231983529</v>
      </c>
      <c r="AF82" s="49">
        <f t="shared" ref="AF82:AM82" si="122">AF81/AF83</f>
        <v>0.75634866163349346</v>
      </c>
      <c r="AG82" s="49">
        <f t="shared" si="122"/>
        <v>0.84467353951890034</v>
      </c>
      <c r="AH82" s="49">
        <f>AH81/AH83</f>
        <v>0.50725639253628196</v>
      </c>
      <c r="AI82" s="49">
        <f t="shared" si="122"/>
        <v>1.1236187845303867</v>
      </c>
      <c r="AJ82" s="49">
        <f t="shared" si="122"/>
        <v>0.7983425414364641</v>
      </c>
      <c r="AK82" s="49">
        <f t="shared" si="122"/>
        <v>1.0688231245698554</v>
      </c>
      <c r="AL82" s="49">
        <f t="shared" si="122"/>
        <v>0.60962199312714782</v>
      </c>
      <c r="AM82" s="49">
        <f t="shared" si="122"/>
        <v>1.4238683127572016</v>
      </c>
      <c r="AN82" s="49">
        <f t="shared" ref="AN82:AX82" si="123">AN81/AN83</f>
        <v>1.0013793103448276</v>
      </c>
      <c r="AO82" s="49">
        <f t="shared" si="123"/>
        <v>0.63208852005532501</v>
      </c>
      <c r="AP82" s="49">
        <f t="shared" si="123"/>
        <v>0.67812061711079941</v>
      </c>
      <c r="AQ82" s="49">
        <f t="shared" si="123"/>
        <v>1.5349002849002849</v>
      </c>
      <c r="AR82" s="49">
        <f t="shared" si="123"/>
        <v>1.306662564102564</v>
      </c>
      <c r="AS82" s="49">
        <f t="shared" si="123"/>
        <v>0.51287711552612214</v>
      </c>
      <c r="AT82" s="49">
        <f t="shared" si="123"/>
        <v>0.12452543659832954</v>
      </c>
      <c r="AU82" s="49">
        <f t="shared" si="123"/>
        <v>0.80622568093385216</v>
      </c>
      <c r="AV82" s="49">
        <f t="shared" si="123"/>
        <v>-1.4991439688715955</v>
      </c>
      <c r="AW82" s="49">
        <f t="shared" si="123"/>
        <v>-1.5838132295719844</v>
      </c>
      <c r="AX82" s="49">
        <f t="shared" si="123"/>
        <v>-1.8932295719844359</v>
      </c>
      <c r="AY82" s="49"/>
      <c r="AZ82" s="49"/>
      <c r="BA82" s="49"/>
      <c r="BB82" s="49"/>
      <c r="BC82" s="49"/>
      <c r="BD82" s="49">
        <f>BD81/BD83</f>
        <v>-0.10443037974683544</v>
      </c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84"/>
      <c r="BX82" s="84"/>
      <c r="BY82" s="84"/>
      <c r="BZ82" s="84">
        <f t="shared" ref="BZ82:CD82" si="124">BZ81/BZ83</f>
        <v>0.21341463414634146</v>
      </c>
      <c r="CA82" s="84">
        <f t="shared" si="124"/>
        <v>0.57121096725057119</v>
      </c>
      <c r="CB82" s="84">
        <f t="shared" si="124"/>
        <v>0.57806549885757808</v>
      </c>
      <c r="CC82" s="84">
        <f t="shared" si="124"/>
        <v>0.49581111957349583</v>
      </c>
      <c r="CD82" s="84">
        <f t="shared" si="124"/>
        <v>1.0545868081880212</v>
      </c>
      <c r="CE82" s="84">
        <f t="shared" ref="CE82:CI82" si="125">CE81/CE83</f>
        <v>1.7748294162244125</v>
      </c>
      <c r="CF82" s="84">
        <f t="shared" si="125"/>
        <v>0.89150227617602429</v>
      </c>
      <c r="CG82" s="84">
        <f t="shared" si="125"/>
        <v>1.0775401069518717</v>
      </c>
      <c r="CH82" s="84">
        <f>CH81/CH83</f>
        <v>1.6729153199741436</v>
      </c>
      <c r="CI82" s="84">
        <f t="shared" si="125"/>
        <v>1.8814862267777066</v>
      </c>
      <c r="CJ82" s="84">
        <f>CJ81/CJ83</f>
        <v>1.7053171044202435</v>
      </c>
      <c r="CK82" s="84"/>
      <c r="CL82" s="84"/>
      <c r="CM82" s="84"/>
      <c r="CN82" s="84"/>
      <c r="CO82" s="84"/>
      <c r="CP82" s="84"/>
      <c r="CQ82" s="49"/>
      <c r="CR82" s="49"/>
      <c r="CS82" s="49"/>
      <c r="CV82" s="48">
        <v>1.7636044470450556</v>
      </c>
      <c r="CW82" s="48">
        <v>2.0227136879856547</v>
      </c>
      <c r="CX82" s="48">
        <v>2.9086840291403053</v>
      </c>
      <c r="CY82" s="48"/>
      <c r="DA82" s="49">
        <f>DA81/DA83</f>
        <v>5.5524689133425031</v>
      </c>
      <c r="DB82" s="49">
        <f>DB81/DB83</f>
        <v>3.5995864920744314</v>
      </c>
      <c r="DC82" s="49">
        <f>DC81/DC83</f>
        <v>3.7522491349480971</v>
      </c>
      <c r="DD82" s="49">
        <f t="shared" ref="DD82:DM82" si="126">DD81/DD83</f>
        <v>4.1623298614150261</v>
      </c>
      <c r="DE82" s="49">
        <f t="shared" si="126"/>
        <v>1.8973711420675889</v>
      </c>
      <c r="DF82" s="49">
        <f t="shared" si="126"/>
        <v>1.6443704426972106</v>
      </c>
      <c r="DG82" s="49">
        <f t="shared" si="126"/>
        <v>1.6497692375874526</v>
      </c>
      <c r="DH82" s="49">
        <f t="shared" si="126"/>
        <v>1.5010167243754522</v>
      </c>
      <c r="DI82" s="49">
        <f t="shared" si="126"/>
        <v>1.432185112296352</v>
      </c>
      <c r="DJ82" s="49">
        <f t="shared" si="126"/>
        <v>1.2685876540507965</v>
      </c>
      <c r="DK82" s="49">
        <f t="shared" si="126"/>
        <v>1.1667588228069965</v>
      </c>
      <c r="DL82" s="49">
        <f t="shared" si="126"/>
        <v>1.141237906568245</v>
      </c>
      <c r="DM82" s="49">
        <f t="shared" si="126"/>
        <v>1.1869218249323565</v>
      </c>
      <c r="DN82" s="49">
        <f>DN81/DN83</f>
        <v>1.2134681249152417</v>
      </c>
      <c r="DO82" s="49">
        <f>DO81/DO83</f>
        <v>1.1871252157984247</v>
      </c>
      <c r="DP82" s="49">
        <f>DP81/DP83</f>
        <v>1.1781112357166574</v>
      </c>
      <c r="DQ82" s="49">
        <f>DQ81/DQ83</f>
        <v>1.1568567921911566</v>
      </c>
      <c r="DR82" s="49">
        <f>DR81/DR83</f>
        <v>1.1699860445432362</v>
      </c>
    </row>
    <row r="83" spans="1:189">
      <c r="B83" s="106" t="s">
        <v>182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>
        <v>1582</v>
      </c>
      <c r="X83" s="38">
        <v>1580</v>
      </c>
      <c r="Y83" s="38">
        <v>1569</v>
      </c>
      <c r="Z83" s="38">
        <v>1545</v>
      </c>
      <c r="AA83" s="38">
        <v>1531</v>
      </c>
      <c r="AB83" s="38">
        <v>1506</v>
      </c>
      <c r="AC83" s="38">
        <v>1489</v>
      </c>
      <c r="AD83" s="38">
        <f>AC83</f>
        <v>1489</v>
      </c>
      <c r="AE83" s="38">
        <v>1457</v>
      </c>
      <c r="AF83" s="38">
        <v>1457</v>
      </c>
      <c r="AG83" s="38">
        <v>1455</v>
      </c>
      <c r="AH83" s="38">
        <v>1447</v>
      </c>
      <c r="AI83" s="38">
        <v>1448</v>
      </c>
      <c r="AJ83" s="38">
        <v>1448</v>
      </c>
      <c r="AK83" s="38">
        <v>1453</v>
      </c>
      <c r="AL83" s="38">
        <v>1455</v>
      </c>
      <c r="AM83" s="38">
        <v>1458</v>
      </c>
      <c r="AN83" s="38">
        <v>1450</v>
      </c>
      <c r="AO83" s="38">
        <v>1446</v>
      </c>
      <c r="AP83" s="38">
        <v>1426</v>
      </c>
      <c r="AQ83" s="38">
        <v>1404</v>
      </c>
      <c r="AR83" s="38">
        <f>AQ83</f>
        <v>1404</v>
      </c>
      <c r="AS83" s="38">
        <v>1359</v>
      </c>
      <c r="AT83" s="38">
        <v>1317</v>
      </c>
      <c r="AU83" s="38">
        <v>1285</v>
      </c>
      <c r="AV83" s="38">
        <f>+AU83</f>
        <v>1285</v>
      </c>
      <c r="AW83" s="38">
        <f>+AV83</f>
        <v>1285</v>
      </c>
      <c r="AX83" s="38">
        <f>+AW83</f>
        <v>1285</v>
      </c>
      <c r="AY83" s="38"/>
      <c r="AZ83" s="38"/>
      <c r="BA83" s="38"/>
      <c r="BB83" s="38"/>
      <c r="BC83" s="38"/>
      <c r="BD83" s="38">
        <v>1264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82"/>
      <c r="BX83" s="82"/>
      <c r="BY83" s="82"/>
      <c r="BZ83" s="82">
        <v>1312</v>
      </c>
      <c r="CA83" s="82">
        <v>1313</v>
      </c>
      <c r="CB83" s="82">
        <v>1313</v>
      </c>
      <c r="CC83" s="82">
        <v>1313</v>
      </c>
      <c r="CD83" s="82">
        <v>1319</v>
      </c>
      <c r="CE83" s="82">
        <v>1319</v>
      </c>
      <c r="CF83" s="82">
        <v>1318</v>
      </c>
      <c r="CG83" s="82">
        <v>1496</v>
      </c>
      <c r="CH83" s="82">
        <v>1547</v>
      </c>
      <c r="CI83" s="82">
        <v>1561</v>
      </c>
      <c r="CJ83" s="82">
        <v>1561</v>
      </c>
      <c r="CK83" s="82"/>
      <c r="CL83" s="82"/>
      <c r="CM83" s="82"/>
      <c r="CN83" s="82"/>
      <c r="CO83" s="82"/>
      <c r="CP83" s="82"/>
      <c r="CQ83" s="38"/>
      <c r="CR83" s="38"/>
      <c r="CS83" s="38"/>
      <c r="CV83" s="50"/>
      <c r="CW83" s="50"/>
      <c r="DA83" s="38">
        <f>AVERAGE(AE83:AH83)</f>
        <v>1454</v>
      </c>
      <c r="DB83" s="38">
        <f>AVERAGE(AI83:AL83)</f>
        <v>1451</v>
      </c>
      <c r="DC83" s="38">
        <f>AVERAGE(AM83:AP83)</f>
        <v>1445</v>
      </c>
      <c r="DD83" s="38">
        <f>AVERAGE(AQ83:AT83)</f>
        <v>1371</v>
      </c>
      <c r="DE83" s="38">
        <f>AVERAGE(AU83:AX83)</f>
        <v>1285</v>
      </c>
      <c r="DF83" s="38">
        <f>DE83</f>
        <v>1285</v>
      </c>
      <c r="DG83" s="38">
        <f>DF83</f>
        <v>1285</v>
      </c>
      <c r="DH83" s="38">
        <f>DG83</f>
        <v>1285</v>
      </c>
      <c r="DI83" s="38">
        <f t="shared" ref="DI83:DR83" si="127">+DH83</f>
        <v>1285</v>
      </c>
      <c r="DJ83" s="38">
        <f t="shared" si="127"/>
        <v>1285</v>
      </c>
      <c r="DK83" s="38">
        <f t="shared" si="127"/>
        <v>1285</v>
      </c>
      <c r="DL83" s="38">
        <f t="shared" si="127"/>
        <v>1285</v>
      </c>
      <c r="DM83" s="38">
        <f t="shared" si="127"/>
        <v>1285</v>
      </c>
      <c r="DN83" s="38">
        <f t="shared" si="127"/>
        <v>1285</v>
      </c>
      <c r="DO83" s="38">
        <f t="shared" si="127"/>
        <v>1285</v>
      </c>
      <c r="DP83" s="38">
        <f t="shared" si="127"/>
        <v>1285</v>
      </c>
      <c r="DQ83" s="38">
        <f t="shared" si="127"/>
        <v>1285</v>
      </c>
      <c r="DR83" s="38">
        <f t="shared" si="127"/>
        <v>1285</v>
      </c>
    </row>
    <row r="84" spans="1:189" s="91" customFormat="1">
      <c r="A84" s="106"/>
      <c r="B84" s="35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BX84" s="87"/>
      <c r="BY84" s="87"/>
      <c r="BZ84" s="87"/>
      <c r="CA84" s="87"/>
      <c r="CB84" s="87"/>
      <c r="CC84" s="87"/>
      <c r="CD84" s="87"/>
      <c r="CE84" s="87"/>
      <c r="CF84" s="87"/>
      <c r="CG84" s="87"/>
      <c r="CH84" s="87"/>
      <c r="CI84" s="87"/>
      <c r="CJ84" s="87"/>
      <c r="CK84" s="87"/>
      <c r="CL84" s="87"/>
      <c r="CM84" s="87"/>
      <c r="CN84" s="87"/>
      <c r="CO84" s="87"/>
      <c r="CP84" s="87"/>
      <c r="CQ84" s="87"/>
      <c r="CR84" s="87"/>
      <c r="CS84" s="87"/>
      <c r="CT84" s="88"/>
      <c r="CU84" s="88"/>
      <c r="CV84" s="89"/>
      <c r="CW84" s="89"/>
      <c r="CX84" s="88"/>
      <c r="CY84" s="88"/>
      <c r="CZ84" s="88"/>
      <c r="DA84" s="87"/>
      <c r="DB84" s="87"/>
      <c r="DC84" s="90">
        <v>6.35</v>
      </c>
      <c r="DD84" s="90">
        <v>6.16</v>
      </c>
      <c r="DE84" s="90">
        <v>4.95</v>
      </c>
      <c r="DF84" s="90">
        <v>4.5599999999999996</v>
      </c>
      <c r="DG84" s="90">
        <v>4.28</v>
      </c>
      <c r="DH84" s="90">
        <v>3.96</v>
      </c>
      <c r="DI84" s="90">
        <v>3.61</v>
      </c>
      <c r="DJ84" s="87"/>
      <c r="DK84" s="87"/>
      <c r="DL84" s="87"/>
      <c r="DM84" s="87"/>
    </row>
    <row r="85" spans="1:189" s="91" customFormat="1">
      <c r="A85" s="106"/>
      <c r="B85" s="101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88"/>
      <c r="CU85" s="88"/>
      <c r="CV85" s="92"/>
      <c r="CW85" s="92"/>
      <c r="CX85" s="89"/>
      <c r="CY85" s="92"/>
      <c r="CZ85" s="93"/>
      <c r="DA85" s="88"/>
      <c r="DB85" s="92"/>
      <c r="DC85" s="92"/>
      <c r="DD85" s="92"/>
      <c r="DE85" s="92"/>
      <c r="DF85" s="88"/>
      <c r="DG85" s="88"/>
      <c r="DH85" s="88"/>
      <c r="DI85" s="88"/>
      <c r="DJ85" s="88"/>
      <c r="DK85" s="88"/>
      <c r="DL85" s="88"/>
      <c r="DM85" s="88"/>
    </row>
    <row r="86" spans="1:189">
      <c r="B86" s="35" t="s">
        <v>557</v>
      </c>
      <c r="C86" s="52"/>
      <c r="D86" s="52"/>
      <c r="E86" s="52"/>
      <c r="F86" s="52"/>
      <c r="G86" s="52"/>
      <c r="H86" s="52"/>
      <c r="I86" s="52"/>
      <c r="J86" s="52"/>
      <c r="K86" s="52">
        <v>0.74994720168954598</v>
      </c>
      <c r="L86" s="52">
        <v>0.75811541929666371</v>
      </c>
      <c r="M86" s="52">
        <v>0.75494482615032277</v>
      </c>
      <c r="N86" s="52">
        <v>0.78892307692307695</v>
      </c>
      <c r="O86" s="52">
        <v>0.77177769018525821</v>
      </c>
      <c r="P86" s="52">
        <v>0.76342662632375191</v>
      </c>
      <c r="Q86" s="52">
        <v>0.75574548907882244</v>
      </c>
      <c r="R86" s="52">
        <f t="shared" ref="R86:AD86" si="128">R72/R70</f>
        <v>0.74167959993102262</v>
      </c>
      <c r="S86" s="52">
        <f t="shared" si="128"/>
        <v>0.75448371931046487</v>
      </c>
      <c r="T86" s="52">
        <f t="shared" si="128"/>
        <v>0.78588609401117049</v>
      </c>
      <c r="U86" s="52">
        <f t="shared" si="128"/>
        <v>0.78493694938676806</v>
      </c>
      <c r="V86" s="52">
        <f t="shared" si="128"/>
        <v>0.81335104616406506</v>
      </c>
      <c r="W86" s="52">
        <f t="shared" si="128"/>
        <v>0.77892596984584106</v>
      </c>
      <c r="X86" s="52">
        <f t="shared" si="128"/>
        <v>0.77061896469843283</v>
      </c>
      <c r="Y86" s="52">
        <f t="shared" si="128"/>
        <v>0.77692307692307694</v>
      </c>
      <c r="Z86" s="52">
        <f t="shared" si="128"/>
        <v>0.76253259924659522</v>
      </c>
      <c r="AA86" s="52">
        <f t="shared" si="128"/>
        <v>0.76603145795523286</v>
      </c>
      <c r="AB86" s="52">
        <f t="shared" si="128"/>
        <v>0.74792243767313016</v>
      </c>
      <c r="AC86" s="52">
        <f t="shared" si="128"/>
        <v>0.77828588287358014</v>
      </c>
      <c r="AD86" s="52">
        <f t="shared" si="128"/>
        <v>0.77117925099987883</v>
      </c>
      <c r="AE86" s="52">
        <f t="shared" ref="AE86:AN86" si="129">AE72/AE70</f>
        <v>0.7975206611570248</v>
      </c>
      <c r="AF86" s="52">
        <f t="shared" si="129"/>
        <v>0.79429954288787308</v>
      </c>
      <c r="AG86" s="52">
        <f t="shared" si="129"/>
        <v>0.77893868572999725</v>
      </c>
      <c r="AH86" s="52">
        <f t="shared" si="129"/>
        <v>0.7157181924729783</v>
      </c>
      <c r="AI86" s="52">
        <f t="shared" si="129"/>
        <v>0.79863623712774845</v>
      </c>
      <c r="AJ86" s="52">
        <f t="shared" si="129"/>
        <v>0.79289860942351831</v>
      </c>
      <c r="AK86" s="52">
        <f t="shared" si="129"/>
        <v>0.82508510081173081</v>
      </c>
      <c r="AL86" s="52">
        <f t="shared" si="129"/>
        <v>0.78789708902041311</v>
      </c>
      <c r="AM86" s="52">
        <f t="shared" si="129"/>
        <v>0.78006349206349201</v>
      </c>
      <c r="AN86" s="52">
        <f t="shared" si="129"/>
        <v>0.7950492414160234</v>
      </c>
      <c r="AO86" s="52">
        <f t="shared" ref="AO86:AX86" si="130">AO72/AO70</f>
        <v>0.7787269220170846</v>
      </c>
      <c r="AP86" s="52">
        <f t="shared" si="130"/>
        <v>0.776663280853225</v>
      </c>
      <c r="AQ86" s="52">
        <f t="shared" si="130"/>
        <v>0.81180371352785141</v>
      </c>
      <c r="AR86" s="52">
        <f t="shared" si="130"/>
        <v>0.83</v>
      </c>
      <c r="AS86" s="52">
        <f t="shared" si="130"/>
        <v>0.77393403057119869</v>
      </c>
      <c r="AT86" s="52">
        <f t="shared" si="130"/>
        <v>0.78290904439043107</v>
      </c>
      <c r="AU86" s="52">
        <f t="shared" si="130"/>
        <v>0.78101418653788113</v>
      </c>
      <c r="AV86" s="52" t="e">
        <f t="shared" si="130"/>
        <v>#DIV/0!</v>
      </c>
      <c r="AW86" s="52" t="e">
        <f t="shared" si="130"/>
        <v>#DIV/0!</v>
      </c>
      <c r="AX86" s="52" t="e">
        <f t="shared" si="130"/>
        <v>#DIV/0!</v>
      </c>
      <c r="AY86" s="52"/>
      <c r="AZ86" s="52"/>
      <c r="BA86" s="52"/>
      <c r="BB86" s="52"/>
      <c r="BC86" s="52"/>
      <c r="BD86" s="52">
        <f>BD72/BD70</f>
        <v>0.74954759319580166</v>
      </c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79"/>
      <c r="BX86" s="79"/>
      <c r="BY86" s="79"/>
      <c r="BZ86" s="79">
        <f t="shared" ref="BZ86:CA86" si="131">+BZ72/BZ70</f>
        <v>0.77951102444877751</v>
      </c>
      <c r="CA86" s="79">
        <f t="shared" si="131"/>
        <v>0.76282656594271325</v>
      </c>
      <c r="CB86" s="79">
        <f t="shared" ref="CB86" si="132">+CB72/CB70</f>
        <v>0.82661354581673308</v>
      </c>
      <c r="CC86" s="79">
        <f t="shared" ref="CC86:CE86" si="133">+CC72/CC70</f>
        <v>0.77667984189723316</v>
      </c>
      <c r="CD86" s="79">
        <f t="shared" ref="CD86" si="134">+CD72/CD70</f>
        <v>0.78299595141700407</v>
      </c>
      <c r="CE86" s="79">
        <f t="shared" si="133"/>
        <v>0.76215846994535519</v>
      </c>
      <c r="CF86" s="79">
        <f>+CF72/CF70</f>
        <v>0.72360097323600969</v>
      </c>
      <c r="CG86" s="79">
        <f t="shared" ref="CG86:CJ86" si="135">+CG72/CG70</f>
        <v>0.73606324751672414</v>
      </c>
      <c r="CH86" s="79">
        <f t="shared" si="135"/>
        <v>0.74398468070934975</v>
      </c>
      <c r="CI86" s="79">
        <f t="shared" si="135"/>
        <v>0.78972783143107994</v>
      </c>
      <c r="CJ86" s="79">
        <f t="shared" si="135"/>
        <v>0.81895831399127283</v>
      </c>
      <c r="CK86" s="79"/>
      <c r="CL86" s="79"/>
      <c r="CM86" s="79"/>
      <c r="CN86" s="79"/>
      <c r="CO86" s="79"/>
      <c r="CP86" s="79"/>
      <c r="CQ86" s="52"/>
      <c r="CR86" s="52"/>
      <c r="CS86" s="52"/>
      <c r="CV86" s="52">
        <v>0.76322351318372328</v>
      </c>
      <c r="CW86" s="52">
        <v>0.75763091570988517</v>
      </c>
      <c r="CX86" s="52">
        <v>0.77636976649513056</v>
      </c>
      <c r="CY86" s="52">
        <f>CY72/CY70</f>
        <v>0.77190284677864518</v>
      </c>
      <c r="CZ86" s="52">
        <v>0.78300000000000003</v>
      </c>
      <c r="DA86" s="52">
        <f>+CZ86+0.1%</f>
        <v>0.78400000000000003</v>
      </c>
      <c r="DB86" s="52">
        <f>DB72/DB70</f>
        <v>0.800950508030154</v>
      </c>
      <c r="DC86" s="52">
        <f>DC72/DC70</f>
        <v>0.78268562815387643</v>
      </c>
      <c r="DD86" s="52">
        <f>+DC86-0.5%</f>
        <v>0.77768562815387643</v>
      </c>
      <c r="DE86" s="52">
        <f t="shared" ref="DE86:DL86" si="136">+DD86-0.5%</f>
        <v>0.77268562815387642</v>
      </c>
      <c r="DF86" s="52">
        <f t="shared" si="136"/>
        <v>0.76768562815387642</v>
      </c>
      <c r="DG86" s="52">
        <f t="shared" si="136"/>
        <v>0.76268562815387642</v>
      </c>
      <c r="DH86" s="52">
        <f t="shared" si="136"/>
        <v>0.75768562815387641</v>
      </c>
      <c r="DI86" s="52">
        <f t="shared" si="136"/>
        <v>0.75268562815387641</v>
      </c>
      <c r="DJ86" s="52">
        <f t="shared" si="136"/>
        <v>0.7476856281538764</v>
      </c>
      <c r="DK86" s="52">
        <f t="shared" si="136"/>
        <v>0.7426856281538764</v>
      </c>
      <c r="DL86" s="52">
        <f t="shared" si="136"/>
        <v>0.73768562815387639</v>
      </c>
      <c r="DM86" s="52">
        <f t="shared" ref="DM86:DR86" si="137">+DL86-0.5%</f>
        <v>0.73268562815387639</v>
      </c>
      <c r="DN86" s="52">
        <f t="shared" si="137"/>
        <v>0.72768562815387638</v>
      </c>
      <c r="DO86" s="52">
        <f t="shared" si="137"/>
        <v>0.72268562815387638</v>
      </c>
      <c r="DP86" s="52">
        <f t="shared" si="137"/>
        <v>0.71768562815387638</v>
      </c>
      <c r="DQ86" s="52">
        <f t="shared" si="137"/>
        <v>0.71268562815387637</v>
      </c>
      <c r="DR86" s="52">
        <f t="shared" si="137"/>
        <v>0.70768562815387637</v>
      </c>
      <c r="DU86" s="49" t="s">
        <v>263</v>
      </c>
      <c r="DV86" s="36">
        <v>-0.05</v>
      </c>
    </row>
    <row r="87" spans="1:189">
      <c r="B87" s="35" t="s">
        <v>558</v>
      </c>
      <c r="C87" s="52"/>
      <c r="D87" s="52"/>
      <c r="E87" s="52"/>
      <c r="F87" s="52"/>
      <c r="G87" s="52"/>
      <c r="H87" s="52"/>
      <c r="I87" s="52"/>
      <c r="J87" s="52"/>
      <c r="K87" s="52">
        <v>0.1495248152059134</v>
      </c>
      <c r="L87" s="52">
        <v>0.15779981965734896</v>
      </c>
      <c r="M87" s="52">
        <v>0.15094732458879867</v>
      </c>
      <c r="N87" s="52">
        <v>0.18030769230769231</v>
      </c>
      <c r="O87" s="52">
        <v>0.16890027591643675</v>
      </c>
      <c r="P87" s="52">
        <v>0.16792738275340394</v>
      </c>
      <c r="Q87" s="52">
        <v>0.15631528964862298</v>
      </c>
      <c r="R87" s="52">
        <v>0.15502672874633558</v>
      </c>
      <c r="S87" s="52"/>
      <c r="T87" s="52"/>
      <c r="U87" s="52"/>
      <c r="V87" s="52"/>
      <c r="W87" s="52">
        <f t="shared" ref="W87:AD87" si="138">W73/W70</f>
        <v>0.14585803828561747</v>
      </c>
      <c r="X87" s="52">
        <f t="shared" si="138"/>
        <v>0.15117935728985277</v>
      </c>
      <c r="Y87" s="52">
        <f t="shared" si="138"/>
        <v>0.15416666666666667</v>
      </c>
      <c r="Z87" s="52">
        <f t="shared" si="138"/>
        <v>0.16285134743552593</v>
      </c>
      <c r="AA87" s="52">
        <f t="shared" si="138"/>
        <v>0.17695099818511797</v>
      </c>
      <c r="AB87" s="52">
        <f t="shared" si="138"/>
        <v>0.1785974631870535</v>
      </c>
      <c r="AC87" s="52">
        <f t="shared" si="138"/>
        <v>0.19693170084083197</v>
      </c>
      <c r="AD87" s="52">
        <f t="shared" si="138"/>
        <v>0.17355472063992244</v>
      </c>
      <c r="AE87" s="52">
        <f t="shared" ref="AE87:AM87" si="139">AE73/AE70</f>
        <v>0.15960743801652894</v>
      </c>
      <c r="AF87" s="52">
        <f t="shared" si="139"/>
        <v>0.174374831944071</v>
      </c>
      <c r="AG87" s="52">
        <f t="shared" si="139"/>
        <v>0.17748144074786912</v>
      </c>
      <c r="AH87" s="52">
        <f t="shared" si="139"/>
        <v>0.17645526761297045</v>
      </c>
      <c r="AI87" s="52">
        <f t="shared" si="139"/>
        <v>0.13637628722516004</v>
      </c>
      <c r="AJ87" s="52">
        <f t="shared" si="139"/>
        <v>0.14297286350749291</v>
      </c>
      <c r="AK87" s="52">
        <f t="shared" si="139"/>
        <v>0.13825608798114689</v>
      </c>
      <c r="AL87" s="52">
        <f t="shared" si="139"/>
        <v>0.15871482063051093</v>
      </c>
      <c r="AM87" s="52">
        <f t="shared" si="139"/>
        <v>0.12584126984126984</v>
      </c>
      <c r="AN87" s="52">
        <f t="shared" ref="AN87:AS87" si="140">AN73/AN70</f>
        <v>0.17567207878626565</v>
      </c>
      <c r="AO87" s="52">
        <f t="shared" si="140"/>
        <v>0.14838798567098374</v>
      </c>
      <c r="AP87" s="52">
        <f t="shared" si="140"/>
        <v>0.24504824784154394</v>
      </c>
      <c r="AQ87" s="52">
        <f t="shared" si="140"/>
        <v>0.15411140583554378</v>
      </c>
      <c r="AR87" s="52">
        <f t="shared" si="140"/>
        <v>0.16407423723835665</v>
      </c>
      <c r="AS87" s="52">
        <f t="shared" si="140"/>
        <v>0.17377312952534191</v>
      </c>
      <c r="AT87" s="52">
        <f>AT73/AT70</f>
        <v>0.23883842906485864</v>
      </c>
      <c r="AU87" s="52">
        <f>AU73/AU70</f>
        <v>0.2309085421068518</v>
      </c>
      <c r="AV87" s="52" t="e">
        <f>AV73/AV70</f>
        <v>#DIV/0!</v>
      </c>
      <c r="AW87" s="52" t="e">
        <f>AW73/AW70</f>
        <v>#DIV/0!</v>
      </c>
      <c r="AX87" s="52" t="e">
        <f>AX73/AX70</f>
        <v>#DIV/0!</v>
      </c>
      <c r="AY87" s="52"/>
      <c r="AZ87" s="52"/>
      <c r="BA87" s="52"/>
      <c r="BB87" s="52"/>
      <c r="BC87" s="52"/>
      <c r="BD87" s="52">
        <f>BD73/BD70</f>
        <v>0.24031849439015562</v>
      </c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79"/>
      <c r="BX87" s="79"/>
      <c r="BY87" s="79"/>
      <c r="BZ87" s="79">
        <f t="shared" ref="BZ87:CA87" si="141">+BZ73/BZ70</f>
        <v>0.31363431828408578</v>
      </c>
      <c r="CA87" s="79">
        <f t="shared" si="141"/>
        <v>0.2184450739691533</v>
      </c>
      <c r="CB87" s="79">
        <f t="shared" ref="CB87" si="142">+CB73/CB70</f>
        <v>0.22135458167330677</v>
      </c>
      <c r="CC87" s="79">
        <f t="shared" ref="CC87:CE87" si="143">+CC73/CC70</f>
        <v>0.22727272727272727</v>
      </c>
      <c r="CD87" s="79">
        <f t="shared" ref="CD87" si="144">+CD73/CD70</f>
        <v>0.23036437246963562</v>
      </c>
      <c r="CE87" s="79">
        <f t="shared" si="143"/>
        <v>0.22377049180327868</v>
      </c>
      <c r="CF87" s="79">
        <f>+CF73/CF70</f>
        <v>0.21909975669099757</v>
      </c>
      <c r="CG87" s="79">
        <f t="shared" ref="CG87:CJ87" si="145">+CG73/CG70</f>
        <v>0.21812284613825259</v>
      </c>
      <c r="CH87" s="79">
        <f t="shared" si="145"/>
        <v>0.19948380651069852</v>
      </c>
      <c r="CI87" s="79">
        <f t="shared" si="145"/>
        <v>0.19192273924495171</v>
      </c>
      <c r="CJ87" s="79">
        <f t="shared" si="145"/>
        <v>0.22569863522421316</v>
      </c>
      <c r="CK87" s="79"/>
      <c r="CL87" s="79"/>
      <c r="CM87" s="79"/>
      <c r="CN87" s="79"/>
      <c r="CO87" s="79"/>
      <c r="CP87" s="79"/>
      <c r="CQ87" s="52"/>
      <c r="CR87" s="52"/>
      <c r="CS87" s="52"/>
      <c r="CV87" s="52">
        <v>0.15979627566449148</v>
      </c>
      <c r="CW87" s="52">
        <v>0.16181275086343694</v>
      </c>
      <c r="CX87" s="52">
        <v>0.14108412229517436</v>
      </c>
      <c r="CY87" s="52">
        <f>CY73/CY70</f>
        <v>0.15385221985647821</v>
      </c>
      <c r="DB87" s="52"/>
      <c r="DC87" s="52">
        <f>DC73/DC70</f>
        <v>0.1742578150599646</v>
      </c>
      <c r="DD87" s="52">
        <f t="shared" ref="DD87:DM87" si="146">DD73/DD70</f>
        <v>0.18352913788466868</v>
      </c>
      <c r="DE87" s="52">
        <f t="shared" si="146"/>
        <v>0</v>
      </c>
      <c r="DF87" s="52">
        <f t="shared" si="146"/>
        <v>0</v>
      </c>
      <c r="DG87" s="52">
        <f t="shared" si="146"/>
        <v>0</v>
      </c>
      <c r="DH87" s="52">
        <f t="shared" si="146"/>
        <v>0</v>
      </c>
      <c r="DI87" s="52">
        <f t="shared" si="146"/>
        <v>0</v>
      </c>
      <c r="DJ87" s="52">
        <f t="shared" si="146"/>
        <v>0</v>
      </c>
      <c r="DK87" s="52">
        <f t="shared" si="146"/>
        <v>0</v>
      </c>
      <c r="DL87" s="52">
        <f t="shared" si="146"/>
        <v>0</v>
      </c>
      <c r="DM87" s="52">
        <f t="shared" si="146"/>
        <v>0</v>
      </c>
      <c r="DN87" s="52">
        <f>DN73/DN70</f>
        <v>0</v>
      </c>
      <c r="DO87" s="52">
        <f>DO73/DO70</f>
        <v>0</v>
      </c>
      <c r="DP87" s="52">
        <f>DP73/DP70</f>
        <v>0</v>
      </c>
      <c r="DQ87" s="52">
        <f>DQ73/DQ70</f>
        <v>0</v>
      </c>
      <c r="DR87" s="52">
        <f>DR73/DR70</f>
        <v>0</v>
      </c>
      <c r="DU87" s="45" t="s">
        <v>262</v>
      </c>
      <c r="DV87" s="37">
        <v>0.09</v>
      </c>
    </row>
    <row r="88" spans="1:189">
      <c r="B88" s="35" t="s">
        <v>559</v>
      </c>
      <c r="C88" s="52"/>
      <c r="D88" s="52"/>
      <c r="E88" s="52"/>
      <c r="F88" s="52"/>
      <c r="G88" s="52"/>
      <c r="H88" s="52"/>
      <c r="I88" s="52"/>
      <c r="J88" s="52"/>
      <c r="K88" s="52">
        <v>0.35417106652587116</v>
      </c>
      <c r="L88" s="52">
        <v>0.41050495942290349</v>
      </c>
      <c r="M88" s="52">
        <v>0.39516968561315846</v>
      </c>
      <c r="N88" s="52">
        <v>0.4428717948717949</v>
      </c>
      <c r="O88" s="52">
        <v>0.40303508080409933</v>
      </c>
      <c r="P88" s="52">
        <v>0.4171709531013616</v>
      </c>
      <c r="Q88" s="52">
        <v>0.38195631528964863</v>
      </c>
      <c r="R88" s="52">
        <v>0.3764442145197448</v>
      </c>
      <c r="S88" s="52"/>
      <c r="T88" s="52"/>
      <c r="U88" s="52"/>
      <c r="V88" s="52"/>
      <c r="W88" s="52">
        <f t="shared" ref="W88:AD88" si="147">W74/W70</f>
        <v>0.3582923936981196</v>
      </c>
      <c r="X88" s="52">
        <f t="shared" si="147"/>
        <v>0.36251385151179355</v>
      </c>
      <c r="Y88" s="52">
        <f t="shared" si="147"/>
        <v>0.34935897435897434</v>
      </c>
      <c r="Z88" s="52">
        <f t="shared" si="147"/>
        <v>0.36380759200231816</v>
      </c>
      <c r="AA88" s="52">
        <f t="shared" si="147"/>
        <v>0.3352994555353902</v>
      </c>
      <c r="AB88" s="52">
        <f t="shared" si="147"/>
        <v>0.37979297273655049</v>
      </c>
      <c r="AC88" s="52">
        <f t="shared" si="147"/>
        <v>0.36686826965629149</v>
      </c>
      <c r="AD88" s="52">
        <f t="shared" si="147"/>
        <v>0.37025815052720884</v>
      </c>
      <c r="AE88" s="52">
        <f t="shared" ref="AE88:AM88" si="148">AE74/AE70</f>
        <v>0.35343491735537191</v>
      </c>
      <c r="AF88" s="52">
        <f t="shared" si="148"/>
        <v>0.38101640225867167</v>
      </c>
      <c r="AG88" s="52">
        <f t="shared" si="148"/>
        <v>0.34176519109155895</v>
      </c>
      <c r="AH88" s="52">
        <f t="shared" si="148"/>
        <v>0.37192342752962626</v>
      </c>
      <c r="AI88" s="52">
        <f t="shared" si="148"/>
        <v>0.33064291678263291</v>
      </c>
      <c r="AJ88" s="52">
        <f t="shared" si="148"/>
        <v>0.38180099905494802</v>
      </c>
      <c r="AK88" s="52">
        <f t="shared" si="148"/>
        <v>0.34865147944488084</v>
      </c>
      <c r="AL88" s="52">
        <f t="shared" si="148"/>
        <v>0.41852880782703222</v>
      </c>
      <c r="AM88" s="52">
        <f t="shared" si="148"/>
        <v>0.31263492063492065</v>
      </c>
      <c r="AN88" s="52">
        <f t="shared" ref="AN88:AS88" si="149">AN74/AN70</f>
        <v>0.32605802501996273</v>
      </c>
      <c r="AO88" s="52">
        <f t="shared" si="149"/>
        <v>0.41485257646734636</v>
      </c>
      <c r="AP88" s="52">
        <f t="shared" si="149"/>
        <v>0.32021330624682581</v>
      </c>
      <c r="AQ88" s="52">
        <f t="shared" si="149"/>
        <v>0.33262599469496024</v>
      </c>
      <c r="AR88" s="52">
        <f t="shared" si="149"/>
        <v>0.35412924870378532</v>
      </c>
      <c r="AS88" s="52">
        <f t="shared" si="149"/>
        <v>0.35451863770447839</v>
      </c>
      <c r="AT88" s="52">
        <f>AT74/AT70</f>
        <v>0.40181655366508889</v>
      </c>
      <c r="AU88" s="52">
        <f>AU74/AU70</f>
        <v>0.37141563537579231</v>
      </c>
      <c r="AV88" s="52" t="e">
        <f>AV74/AV70</f>
        <v>#DIV/0!</v>
      </c>
      <c r="AW88" s="52" t="e">
        <f>AW74/AW70</f>
        <v>#DIV/0!</v>
      </c>
      <c r="AX88" s="52" t="e">
        <f>AX74/AX70</f>
        <v>#DIV/0!</v>
      </c>
      <c r="AY88" s="52"/>
      <c r="AZ88" s="52"/>
      <c r="BA88" s="52"/>
      <c r="BB88" s="52"/>
      <c r="BC88" s="52"/>
      <c r="BD88" s="52">
        <f>BD74/BD70</f>
        <v>0.55338400289540357</v>
      </c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79"/>
      <c r="BX88" s="79"/>
      <c r="BY88" s="79"/>
      <c r="BZ88" s="79">
        <f t="shared" ref="BZ88:CA88" si="150">+BZ74/BZ70</f>
        <v>0.45387730613469329</v>
      </c>
      <c r="CA88" s="79">
        <f t="shared" si="150"/>
        <v>0.42791942083726786</v>
      </c>
      <c r="CB88" s="79">
        <f t="shared" ref="CB88" si="151">+CB74/CB70</f>
        <v>0.41992031872509961</v>
      </c>
      <c r="CC88" s="79">
        <f t="shared" ref="CC88:CE88" si="152">+CC74/CC70</f>
        <v>0.41501976284584979</v>
      </c>
      <c r="CD88" s="79">
        <f t="shared" ref="CD88" si="153">+CD74/CD70</f>
        <v>0.38299595141700404</v>
      </c>
      <c r="CE88" s="79">
        <f t="shared" si="152"/>
        <v>0.32773224043715848</v>
      </c>
      <c r="CF88" s="79">
        <f>+CF74/CF70</f>
        <v>0.30060827250608274</v>
      </c>
      <c r="CG88" s="79">
        <f t="shared" ref="CG88:CJ88" si="154">+CG74/CG70</f>
        <v>0.29049260085140888</v>
      </c>
      <c r="CH88" s="79">
        <f t="shared" si="154"/>
        <v>0.28040962451086504</v>
      </c>
      <c r="CI88" s="79">
        <f t="shared" si="154"/>
        <v>0.25864793678665499</v>
      </c>
      <c r="CJ88" s="79">
        <f t="shared" si="154"/>
        <v>0.29124500974839845</v>
      </c>
      <c r="CK88" s="79"/>
      <c r="CL88" s="79"/>
      <c r="CM88" s="79"/>
      <c r="CN88" s="79"/>
      <c r="CO88" s="79"/>
      <c r="CP88" s="79"/>
      <c r="CQ88" s="52"/>
      <c r="CR88" s="52"/>
      <c r="CS88" s="52"/>
      <c r="CV88" s="52">
        <v>0.40081701947052895</v>
      </c>
      <c r="CW88" s="52">
        <v>0.3941472976757211</v>
      </c>
      <c r="CX88" s="52">
        <v>0.37185415601089761</v>
      </c>
      <c r="CY88" s="52">
        <f>CY74/CY70</f>
        <v>0.35864679441684411</v>
      </c>
      <c r="CZ88" s="52">
        <f>CZ74/CZ70</f>
        <v>0.32450143053936636</v>
      </c>
      <c r="DA88" s="52">
        <f>DA74/DA70</f>
        <v>0.31059883510745134</v>
      </c>
      <c r="DB88" s="52">
        <f>DB74/DB70</f>
        <v>0.3714192068174369</v>
      </c>
      <c r="DC88" s="52">
        <f>DC74/DC70</f>
        <v>0.34225702863883611</v>
      </c>
      <c r="DD88" s="52">
        <v>0.31</v>
      </c>
      <c r="DE88" s="52">
        <v>0.31</v>
      </c>
      <c r="DF88" s="52">
        <v>0.31</v>
      </c>
      <c r="DG88" s="52">
        <v>0.31</v>
      </c>
      <c r="DH88" s="52">
        <v>0.32</v>
      </c>
      <c r="DI88" s="52">
        <v>0.32</v>
      </c>
      <c r="DJ88" s="52">
        <v>0.33</v>
      </c>
      <c r="DK88" s="52">
        <v>0.34</v>
      </c>
      <c r="DL88" s="52">
        <v>0.35</v>
      </c>
      <c r="DM88" s="52">
        <v>0.36</v>
      </c>
      <c r="DN88" s="52">
        <v>0.36</v>
      </c>
      <c r="DO88" s="52">
        <v>0.36</v>
      </c>
      <c r="DP88" s="52">
        <v>0.36</v>
      </c>
      <c r="DQ88" s="52">
        <v>0.36</v>
      </c>
      <c r="DR88" s="52">
        <v>0.36</v>
      </c>
      <c r="DU88" s="43" t="s">
        <v>264</v>
      </c>
      <c r="DV88" s="38">
        <f>NPV($DV$87,DE81:GJ81)+Main!K5-Main!K6+DD81</f>
        <v>-1761.84479450043</v>
      </c>
    </row>
    <row r="89" spans="1:189">
      <c r="B89" s="35" t="s">
        <v>560</v>
      </c>
      <c r="C89" s="52"/>
      <c r="D89" s="52"/>
      <c r="E89" s="52"/>
      <c r="F89" s="52"/>
      <c r="G89" s="52"/>
      <c r="H89" s="52"/>
      <c r="I89" s="52"/>
      <c r="J89" s="52"/>
      <c r="K89" s="52">
        <v>0.25005279831045407</v>
      </c>
      <c r="L89" s="52">
        <v>0.19882777276825969</v>
      </c>
      <c r="M89" s="52">
        <v>0.22340204039142203</v>
      </c>
      <c r="N89" s="52">
        <v>0.17805128205128204</v>
      </c>
      <c r="O89" s="52">
        <v>0.20733149389042177</v>
      </c>
      <c r="P89" s="52">
        <v>0.1989409984871407</v>
      </c>
      <c r="Q89" s="52">
        <v>0.22260208926875594</v>
      </c>
      <c r="R89" s="52">
        <v>0.21917571995171581</v>
      </c>
      <c r="S89" s="52">
        <f t="shared" ref="S89:AD89" si="155">S76/S70</f>
        <v>0.2530036566254571</v>
      </c>
      <c r="T89" s="52">
        <f t="shared" si="155"/>
        <v>0.28019894818378244</v>
      </c>
      <c r="U89" s="52">
        <f t="shared" si="155"/>
        <v>0.29279668336500259</v>
      </c>
      <c r="V89" s="52">
        <f t="shared" si="155"/>
        <v>0.27167054134838925</v>
      </c>
      <c r="W89" s="52">
        <f t="shared" si="155"/>
        <v>0.28781975266813487</v>
      </c>
      <c r="X89" s="52">
        <f t="shared" si="155"/>
        <v>0.28858635428209595</v>
      </c>
      <c r="Y89" s="52">
        <f t="shared" si="155"/>
        <v>0.29326923076923078</v>
      </c>
      <c r="Z89" s="52">
        <f t="shared" si="155"/>
        <v>0.2536945812807882</v>
      </c>
      <c r="AA89" s="52">
        <f t="shared" si="155"/>
        <v>0.27465214761040535</v>
      </c>
      <c r="AB89" s="52">
        <f t="shared" si="155"/>
        <v>0.22729260825193176</v>
      </c>
      <c r="AC89" s="52">
        <f t="shared" si="155"/>
        <v>0.2435462457589615</v>
      </c>
      <c r="AD89" s="52">
        <f t="shared" si="155"/>
        <v>0.24360683553508666</v>
      </c>
      <c r="AE89" s="52">
        <f t="shared" ref="AE89:AM89" si="156">AE76/AE70</f>
        <v>0.30010330578512395</v>
      </c>
      <c r="AF89" s="52">
        <f t="shared" si="156"/>
        <v>0.26283947297660659</v>
      </c>
      <c r="AG89" s="52">
        <f t="shared" si="156"/>
        <v>0.27783887819631564</v>
      </c>
      <c r="AH89" s="52">
        <f t="shared" si="156"/>
        <v>0.17945044927724965</v>
      </c>
      <c r="AI89" s="52">
        <f t="shared" si="156"/>
        <v>0.36849429446145282</v>
      </c>
      <c r="AJ89" s="52">
        <f t="shared" si="156"/>
        <v>0.31051707843931414</v>
      </c>
      <c r="AK89" s="52">
        <f t="shared" si="156"/>
        <v>0.34590206860434669</v>
      </c>
      <c r="AL89" s="52">
        <f t="shared" si="156"/>
        <v>0.20038652011112454</v>
      </c>
      <c r="AM89" s="52">
        <f t="shared" si="156"/>
        <v>0.37358730158730158</v>
      </c>
      <c r="AN89" s="52">
        <f t="shared" ref="AN89:AS89" si="157">AN76/AN70</f>
        <v>0.31541123236624968</v>
      </c>
      <c r="AO89" s="52">
        <f t="shared" si="157"/>
        <v>0.24331771837971894</v>
      </c>
      <c r="AP89" s="52">
        <f t="shared" si="157"/>
        <v>0.22308278313864907</v>
      </c>
      <c r="AQ89" s="52">
        <f t="shared" si="157"/>
        <v>0.3513262599469496</v>
      </c>
      <c r="AR89" s="52">
        <f t="shared" si="157"/>
        <v>0.33975408632394632</v>
      </c>
      <c r="AS89" s="52">
        <f t="shared" si="157"/>
        <v>0.2456422633413784</v>
      </c>
      <c r="AT89" s="52">
        <f>AT76/AT70</f>
        <v>0.16988614558014584</v>
      </c>
      <c r="AU89" s="52">
        <f>AU76/AU70</f>
        <v>0.21687292484153337</v>
      </c>
      <c r="AV89" s="52" t="e">
        <f>AV76/AV70</f>
        <v>#DIV/0!</v>
      </c>
      <c r="AW89" s="52" t="e">
        <f>AW76/AW70</f>
        <v>#DIV/0!</v>
      </c>
      <c r="AX89" s="52" t="e">
        <f>AX76/AX70</f>
        <v>#DIV/0!</v>
      </c>
      <c r="AY89" s="52"/>
      <c r="AZ89" s="52"/>
      <c r="BA89" s="52"/>
      <c r="BB89" s="52"/>
      <c r="BC89" s="52"/>
      <c r="BD89" s="52">
        <f>BD76/BD70</f>
        <v>3.2754252623959465E-2</v>
      </c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79"/>
      <c r="BX89" s="79"/>
      <c r="BY89" s="79"/>
      <c r="BZ89" s="79">
        <f t="shared" ref="BZ89:CA89" si="158">+BZ76/BZ70</f>
        <v>8.6995650217489132E-2</v>
      </c>
      <c r="CA89" s="79">
        <f t="shared" si="158"/>
        <v>0.19200503619767076</v>
      </c>
      <c r="CB89" s="79">
        <f t="shared" ref="CB89" si="159">+CB76/CB70</f>
        <v>0.20462151394422312</v>
      </c>
      <c r="CC89" s="79">
        <f t="shared" ref="CC89:CE89" si="160">+CC76/CC70</f>
        <v>0.17801763453937366</v>
      </c>
      <c r="CD89" s="79">
        <f t="shared" ref="CD89" si="161">+CD76/CD70</f>
        <v>0.25627530364372469</v>
      </c>
      <c r="CE89" s="79">
        <f t="shared" si="160"/>
        <v>0.37185792349726776</v>
      </c>
      <c r="CF89" s="79">
        <f>+CF76/CF70</f>
        <v>0.21958637469586376</v>
      </c>
      <c r="CG89" s="79">
        <f t="shared" ref="CG89:CJ89" si="162">+CG76/CG70</f>
        <v>0.23119805392256235</v>
      </c>
      <c r="CH89" s="79">
        <f t="shared" si="162"/>
        <v>0.26409124968778619</v>
      </c>
      <c r="CI89" s="79">
        <f t="shared" si="162"/>
        <v>0.34776119402985073</v>
      </c>
      <c r="CJ89" s="79">
        <f t="shared" si="162"/>
        <v>0.31241296072788044</v>
      </c>
      <c r="CK89" s="79"/>
      <c r="CL89" s="79"/>
      <c r="CM89" s="79"/>
      <c r="CN89" s="79"/>
      <c r="CO89" s="79"/>
      <c r="CP89" s="79"/>
      <c r="CQ89" s="52"/>
      <c r="CR89" s="52"/>
      <c r="CS89" s="52"/>
      <c r="CV89" s="52">
        <v>0.21258422197464055</v>
      </c>
      <c r="CW89" s="52">
        <v>0.21221879958928405</v>
      </c>
      <c r="CX89" s="52">
        <v>0.27148985918727364</v>
      </c>
      <c r="CY89" s="52">
        <f>CY76/CY70</f>
        <v>0.28006466367005756</v>
      </c>
      <c r="DB89" s="52"/>
      <c r="DC89" s="52">
        <f>DC76/DC70</f>
        <v>0.28950127793433383</v>
      </c>
      <c r="DD89" s="52">
        <f t="shared" ref="DD89:DM89" si="163">DD76/DD70</f>
        <v>0.27478171170773419</v>
      </c>
      <c r="DE89" s="52">
        <f t="shared" si="163"/>
        <v>0.46268562815387637</v>
      </c>
      <c r="DF89" s="52">
        <f t="shared" si="163"/>
        <v>0.45768562815387648</v>
      </c>
      <c r="DG89" s="52">
        <f t="shared" si="163"/>
        <v>0.45268562815387642</v>
      </c>
      <c r="DH89" s="52">
        <f t="shared" si="163"/>
        <v>0.4376856281538764</v>
      </c>
      <c r="DI89" s="52">
        <f t="shared" si="163"/>
        <v>0.43268562815387646</v>
      </c>
      <c r="DJ89" s="52">
        <f t="shared" si="163"/>
        <v>0.41768562815387639</v>
      </c>
      <c r="DK89" s="52">
        <f t="shared" si="163"/>
        <v>0.40268562815387632</v>
      </c>
      <c r="DL89" s="52">
        <f t="shared" si="163"/>
        <v>0.38768562815387647</v>
      </c>
      <c r="DM89" s="52">
        <f t="shared" si="163"/>
        <v>0.3726856281538764</v>
      </c>
      <c r="DN89" s="52">
        <f>DN76/DN70</f>
        <v>0.36768562815387634</v>
      </c>
      <c r="DO89" s="52">
        <f>DO76/DO70</f>
        <v>0.36268562815387634</v>
      </c>
      <c r="DP89" s="52">
        <f>DP76/DP70</f>
        <v>0.35768562815387639</v>
      </c>
      <c r="DQ89" s="52">
        <f>DQ76/DQ70</f>
        <v>0.35268562815387638</v>
      </c>
      <c r="DR89" s="52">
        <f>DR76/DR70</f>
        <v>0.34768562815387644</v>
      </c>
      <c r="DU89" s="43" t="s">
        <v>360</v>
      </c>
      <c r="DV89" s="54">
        <f>DV88/Main!K3</f>
        <v>-1.1293876887823269</v>
      </c>
    </row>
    <row r="90" spans="1:189">
      <c r="B90" s="106" t="s">
        <v>17</v>
      </c>
      <c r="C90" s="52"/>
      <c r="D90" s="52"/>
      <c r="E90" s="52"/>
      <c r="F90" s="52"/>
      <c r="G90" s="52"/>
      <c r="H90" s="52"/>
      <c r="I90" s="52"/>
      <c r="J90" s="52"/>
      <c r="K90" s="52">
        <v>0.20669456066945607</v>
      </c>
      <c r="L90" s="52">
        <v>0.27680525164113784</v>
      </c>
      <c r="M90" s="52">
        <v>0.28876508820798513</v>
      </c>
      <c r="N90" s="52">
        <v>0.24800910125142206</v>
      </c>
      <c r="O90" s="52">
        <v>0.2634011090573013</v>
      </c>
      <c r="P90" s="52">
        <v>0.22136669874879691</v>
      </c>
      <c r="Q90" s="52">
        <v>0.28776371308016879</v>
      </c>
      <c r="R90" s="52">
        <v>0.27748294162244125</v>
      </c>
      <c r="S90" s="52"/>
      <c r="T90" s="52"/>
      <c r="U90" s="52"/>
      <c r="V90" s="52"/>
      <c r="W90" s="52">
        <f t="shared" ref="W90:AD90" si="164">W79/W78</f>
        <v>0.35087719298245612</v>
      </c>
      <c r="X90" s="52">
        <f t="shared" si="164"/>
        <v>0.31930562861651762</v>
      </c>
      <c r="Y90" s="52">
        <f t="shared" si="164"/>
        <v>0.31135531135531136</v>
      </c>
      <c r="Z90" s="52">
        <f t="shared" si="164"/>
        <v>0.35548352242031334</v>
      </c>
      <c r="AA90" s="52">
        <f t="shared" si="164"/>
        <v>0.36748562467328805</v>
      </c>
      <c r="AB90" s="52">
        <f t="shared" si="164"/>
        <v>0.35129993658845909</v>
      </c>
      <c r="AC90" s="52">
        <f t="shared" si="164"/>
        <v>0.35398813447593935</v>
      </c>
      <c r="AD90" s="52">
        <f t="shared" si="164"/>
        <v>0.29301355578727839</v>
      </c>
      <c r="AE90" s="52">
        <f t="shared" ref="AE90:AM90" si="165">AE79/AE78</f>
        <v>0.28868778280542984</v>
      </c>
      <c r="AF90" s="52">
        <f t="shared" si="165"/>
        <v>0.36967632027257241</v>
      </c>
      <c r="AG90" s="52">
        <f t="shared" si="165"/>
        <v>0.3630278063851699</v>
      </c>
      <c r="AH90" s="52">
        <f t="shared" si="165"/>
        <v>0.42780337941628266</v>
      </c>
      <c r="AI90" s="52">
        <f t="shared" si="165"/>
        <v>0.34525723472668812</v>
      </c>
      <c r="AJ90" s="52">
        <f t="shared" si="165"/>
        <v>0.43315508021390375</v>
      </c>
      <c r="AK90" s="52">
        <f t="shared" si="165"/>
        <v>0.36882591093117406</v>
      </c>
      <c r="AL90" s="52">
        <f t="shared" si="165"/>
        <v>0.40186915887850466</v>
      </c>
      <c r="AM90" s="52">
        <f t="shared" si="165"/>
        <v>0.26259758694109298</v>
      </c>
      <c r="AN90" s="52">
        <f t="shared" ref="AN90:AS90" si="166">AN79/AN78</f>
        <v>0.35552596537949399</v>
      </c>
      <c r="AO90" s="52">
        <f t="shared" si="166"/>
        <v>0.43510506798516685</v>
      </c>
      <c r="AP90" s="52">
        <f t="shared" si="166"/>
        <v>0.39963167587476978</v>
      </c>
      <c r="AQ90" s="52">
        <f t="shared" si="166"/>
        <v>0.1470820189274448</v>
      </c>
      <c r="AR90" s="52">
        <f t="shared" si="166"/>
        <v>0.2</v>
      </c>
      <c r="AS90" s="52">
        <f t="shared" si="166"/>
        <v>0.39332949971247844</v>
      </c>
      <c r="AT90" s="52">
        <f>AT79/AT78</f>
        <v>0.46084089035449299</v>
      </c>
      <c r="AU90" s="52">
        <f>AU79/AU78</f>
        <v>0.30902255639097742</v>
      </c>
      <c r="AV90" s="52">
        <f>AV79/AV78</f>
        <v>0.2</v>
      </c>
      <c r="AW90" s="52">
        <f>AW79/AW78</f>
        <v>0.2</v>
      </c>
      <c r="AX90" s="52">
        <f>AX79/AX78</f>
        <v>0.2</v>
      </c>
      <c r="AY90" s="52"/>
      <c r="AZ90" s="52"/>
      <c r="BA90" s="52"/>
      <c r="BB90" s="52"/>
      <c r="BC90" s="52"/>
      <c r="BD90" s="52">
        <f>BD79/BD78</f>
        <v>-1.1129032258064515</v>
      </c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79"/>
      <c r="BX90" s="79"/>
      <c r="BY90" s="79"/>
      <c r="BZ90" s="79">
        <f t="shared" ref="BZ90:CA90" si="167">+BZ79/BZ78</f>
        <v>-0.15226337448559671</v>
      </c>
      <c r="CA90" s="79">
        <f t="shared" si="167"/>
        <v>0.19786096256684493</v>
      </c>
      <c r="CB90" s="79">
        <f t="shared" ref="CB90" si="168">+CB79/CB78</f>
        <v>0.21019771071800208</v>
      </c>
      <c r="CC90" s="79">
        <f t="shared" ref="CC90:CE90" si="169">+CC79/CC78</f>
        <v>0.23681125439624853</v>
      </c>
      <c r="CD90" s="79">
        <f t="shared" ref="CD90" si="170">+CD79/CD78</f>
        <v>0.1759478672985782</v>
      </c>
      <c r="CE90" s="79">
        <f t="shared" si="169"/>
        <v>7.5069142631371003E-2</v>
      </c>
      <c r="CF90" s="79">
        <f>+CF79/CF78</f>
        <v>0.23651721897335931</v>
      </c>
      <c r="CG90" s="79">
        <f t="shared" ref="CG90:CJ90" si="171">+CG79/CG78</f>
        <v>0.21557177615571776</v>
      </c>
      <c r="CH90" s="79">
        <f t="shared" si="171"/>
        <v>0.16110210696920582</v>
      </c>
      <c r="CI90" s="79">
        <f t="shared" si="171"/>
        <v>0.20814235643030465</v>
      </c>
      <c r="CJ90" s="79">
        <f t="shared" si="171"/>
        <v>0.15303849825007954</v>
      </c>
      <c r="CK90" s="79"/>
      <c r="CL90" s="79"/>
      <c r="CM90" s="79"/>
      <c r="CN90" s="79"/>
      <c r="CO90" s="79"/>
      <c r="CP90" s="79"/>
      <c r="CQ90" s="52"/>
      <c r="CR90" s="52"/>
      <c r="CS90" s="52"/>
      <c r="CV90" s="52">
        <v>0.25313653136531367</v>
      </c>
      <c r="CW90" s="52">
        <v>0.26421621621621622</v>
      </c>
      <c r="CX90" s="52">
        <v>0.29142450035621881</v>
      </c>
      <c r="CY90" s="52">
        <f>CY79/CY78</f>
        <v>0.33378196500672946</v>
      </c>
      <c r="DB90" s="52"/>
      <c r="DC90" s="52">
        <f>DC79/DC78</f>
        <v>0.34816061553257993</v>
      </c>
      <c r="DD90" s="52">
        <f t="shared" ref="DD90:DM90" si="172">DD79/DD78</f>
        <v>0.26662217648687481</v>
      </c>
      <c r="DE90" s="52">
        <f t="shared" si="172"/>
        <v>0.25</v>
      </c>
      <c r="DF90" s="52">
        <f t="shared" si="172"/>
        <v>0.25</v>
      </c>
      <c r="DG90" s="52">
        <f t="shared" si="172"/>
        <v>0.25</v>
      </c>
      <c r="DH90" s="52">
        <f t="shared" si="172"/>
        <v>0.25</v>
      </c>
      <c r="DI90" s="52">
        <f t="shared" si="172"/>
        <v>0.25</v>
      </c>
      <c r="DJ90" s="52">
        <f t="shared" si="172"/>
        <v>0.25</v>
      </c>
      <c r="DK90" s="52">
        <f t="shared" si="172"/>
        <v>0.25</v>
      </c>
      <c r="DL90" s="52">
        <f t="shared" si="172"/>
        <v>0.25</v>
      </c>
      <c r="DM90" s="52">
        <f t="shared" si="172"/>
        <v>0.25</v>
      </c>
      <c r="DN90" s="52">
        <f>DN79/DN78</f>
        <v>0.25</v>
      </c>
      <c r="DO90" s="52">
        <f>DO79/DO78</f>
        <v>0.25</v>
      </c>
      <c r="DP90" s="52">
        <f>DP79/DP78</f>
        <v>0.25</v>
      </c>
      <c r="DQ90" s="52">
        <f>DQ79/DQ78</f>
        <v>0.25</v>
      </c>
      <c r="DR90" s="52">
        <f>DR79/DR78</f>
        <v>0.25</v>
      </c>
      <c r="DU90" s="43" t="s">
        <v>359</v>
      </c>
      <c r="DV90" s="60">
        <v>0.05</v>
      </c>
    </row>
    <row r="91" spans="1:189">
      <c r="DN91" s="45"/>
      <c r="DO91" s="45"/>
      <c r="DP91" s="45"/>
      <c r="DQ91" s="45"/>
      <c r="DR91" s="45"/>
    </row>
    <row r="92" spans="1:189">
      <c r="B92" s="106" t="s">
        <v>191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>
        <v>4951</v>
      </c>
      <c r="AC92" s="38">
        <v>3428</v>
      </c>
      <c r="AD92" s="38">
        <f>AE92+2640</f>
        <v>5890</v>
      </c>
      <c r="AE92" s="38">
        <f>+AE93-11752</f>
        <v>3250</v>
      </c>
      <c r="AF92" s="38"/>
      <c r="AG92" s="38">
        <v>1726</v>
      </c>
      <c r="AH92" s="38"/>
      <c r="AI92" s="38"/>
      <c r="AJ92" s="38"/>
      <c r="AK92" s="38"/>
      <c r="AL92" s="38">
        <v>11402</v>
      </c>
      <c r="AM92" s="38">
        <v>9573</v>
      </c>
      <c r="AN92" s="38">
        <f>+AN104+AN109</f>
        <v>9651</v>
      </c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38"/>
      <c r="CR92" s="38"/>
      <c r="CS92" s="38"/>
      <c r="CZ92" s="38"/>
      <c r="DA92" s="38"/>
      <c r="DB92" s="38"/>
      <c r="DC92" s="38"/>
      <c r="DD92" s="38"/>
      <c r="DE92" s="38">
        <v>-1000</v>
      </c>
      <c r="DF92" s="38">
        <f t="shared" ref="DF92:DM92" si="173">DE92+DF81</f>
        <v>1113.0160188659156</v>
      </c>
      <c r="DG92" s="38">
        <f t="shared" si="173"/>
        <v>3232.9694891657923</v>
      </c>
      <c r="DH92" s="38">
        <f t="shared" si="173"/>
        <v>5161.7759799882479</v>
      </c>
      <c r="DI92" s="38">
        <f t="shared" si="173"/>
        <v>7002.13384928906</v>
      </c>
      <c r="DJ92" s="38">
        <f t="shared" si="173"/>
        <v>8632.2689847443326</v>
      </c>
      <c r="DK92" s="38">
        <f t="shared" si="173"/>
        <v>10131.554072051324</v>
      </c>
      <c r="DL92" s="38">
        <f t="shared" si="173"/>
        <v>11598.044781991519</v>
      </c>
      <c r="DM92" s="38">
        <f t="shared" si="173"/>
        <v>13123.239327029598</v>
      </c>
      <c r="DN92" s="38">
        <f>DM92+DN81</f>
        <v>14682.545867545683</v>
      </c>
      <c r="DO92" s="38">
        <f>DN92+DO81</f>
        <v>16208.001769846658</v>
      </c>
      <c r="DP92" s="38">
        <f>DO92+DP81</f>
        <v>17721.874707742561</v>
      </c>
      <c r="DQ92" s="38">
        <f>DP92+DQ81</f>
        <v>19208.435685708198</v>
      </c>
      <c r="DR92" s="38">
        <f>DQ92+DR81</f>
        <v>20711.867752946258</v>
      </c>
    </row>
    <row r="93" spans="1:189">
      <c r="B93" s="106" t="s">
        <v>192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>
        <f>14342+1057</f>
        <v>15399</v>
      </c>
      <c r="AC93" s="38">
        <v>14397</v>
      </c>
      <c r="AD93" s="38">
        <v>15156</v>
      </c>
      <c r="AE93" s="38">
        <v>15002</v>
      </c>
      <c r="AF93" s="38"/>
      <c r="AG93" s="38">
        <v>11475</v>
      </c>
      <c r="AH93" s="38"/>
      <c r="AI93" s="38"/>
      <c r="AJ93" s="38"/>
      <c r="AK93" s="38"/>
      <c r="AL93" s="38">
        <v>11063</v>
      </c>
      <c r="AM93" s="38">
        <v>10332</v>
      </c>
      <c r="AN93" s="38">
        <f>+AN114</f>
        <v>10318</v>
      </c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38"/>
      <c r="CR93" s="38"/>
      <c r="CS93" s="38"/>
    </row>
    <row r="94" spans="1:189">
      <c r="CU94" s="52"/>
      <c r="DA94" s="53"/>
      <c r="DB94" s="53"/>
      <c r="DC94" s="53"/>
      <c r="DD94" s="53"/>
      <c r="DE94" s="53"/>
      <c r="DF94" s="38"/>
      <c r="DG94" s="38"/>
      <c r="DH94" s="38"/>
      <c r="DI94" s="38"/>
      <c r="DJ94" s="38"/>
      <c r="DK94" s="38"/>
      <c r="DL94" s="38"/>
      <c r="DM94" s="38"/>
    </row>
    <row r="95" spans="1:189" s="10" customFormat="1">
      <c r="A95" s="101"/>
      <c r="B95" s="101" t="s">
        <v>564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36">
        <f t="shared" ref="Y95:AL95" si="174">Y70/U70-1</f>
        <v>7.7906374157885594E-2</v>
      </c>
      <c r="Z95" s="36">
        <f t="shared" si="174"/>
        <v>0.14613085353703092</v>
      </c>
      <c r="AA95" s="36">
        <f t="shared" si="174"/>
        <v>0.12010841944773842</v>
      </c>
      <c r="AB95" s="36">
        <f t="shared" si="174"/>
        <v>8.5800221624188655E-2</v>
      </c>
      <c r="AC95" s="36">
        <f t="shared" si="174"/>
        <v>8.6378205128205154E-2</v>
      </c>
      <c r="AD95" s="36">
        <f t="shared" si="174"/>
        <v>0.19545059403071563</v>
      </c>
      <c r="AE95" s="36">
        <f t="shared" si="174"/>
        <v>0.1712038717483364</v>
      </c>
      <c r="AF95" s="36">
        <f t="shared" si="174"/>
        <v>8.4414637702288964E-2</v>
      </c>
      <c r="AG95" s="36">
        <f t="shared" si="174"/>
        <v>7.30196194128927E-2</v>
      </c>
      <c r="AH95" s="36">
        <f t="shared" si="174"/>
        <v>-6.9324930311477351E-2</v>
      </c>
      <c r="AI95" s="36">
        <f t="shared" si="174"/>
        <v>-7.2055785123966931E-2</v>
      </c>
      <c r="AJ95" s="36">
        <f t="shared" si="174"/>
        <v>-4.1677870395268046E-3</v>
      </c>
      <c r="AK95" s="36">
        <f t="shared" si="174"/>
        <v>5.0041242782512985E-2</v>
      </c>
      <c r="AL95" s="36">
        <f t="shared" si="174"/>
        <v>7.8135173850761852E-2</v>
      </c>
      <c r="AM95" s="36">
        <f>AM70/AI70-1</f>
        <v>9.5880879487893145E-2</v>
      </c>
      <c r="AN95" s="36">
        <f>AN70/AJ70-1</f>
        <v>1.4445794518698429E-2</v>
      </c>
      <c r="AO95" s="36">
        <f>AO70/AK70-1</f>
        <v>-4.9751243781094523E-2</v>
      </c>
      <c r="AP95" s="36">
        <f>AP70/AL70-1</f>
        <v>-4.8677376494745794E-2</v>
      </c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86"/>
      <c r="BX95" s="86"/>
      <c r="BY95" s="86"/>
      <c r="BZ95" s="86"/>
      <c r="CA95" s="86">
        <f>+CA70/BW70-1</f>
        <v>0.16267154620311075</v>
      </c>
      <c r="CB95" s="86">
        <f t="shared" ref="CB95" si="175">+CB70/BX70-1</f>
        <v>9.7411682406435718E-2</v>
      </c>
      <c r="CC95" s="86">
        <f t="shared" ref="CC95:CI95" si="176">+CC70/BY70-1</f>
        <v>7.3433420365535351E-2</v>
      </c>
      <c r="CD95" s="86">
        <f t="shared" si="176"/>
        <v>0.11144442777861108</v>
      </c>
      <c r="CE95" s="86">
        <f t="shared" si="176"/>
        <v>0.15203021718602461</v>
      </c>
      <c r="CF95" s="86">
        <f t="shared" si="176"/>
        <v>0.30996015936254984</v>
      </c>
      <c r="CG95" s="86">
        <f t="shared" si="176"/>
        <v>0.49984797810884762</v>
      </c>
      <c r="CH95" s="86">
        <f t="shared" si="176"/>
        <v>0.62091767881241555</v>
      </c>
      <c r="CI95" s="86">
        <f t="shared" si="176"/>
        <v>0.55601092896174853</v>
      </c>
      <c r="CJ95" s="86">
        <f>+CJ70/CF70-1</f>
        <v>0.31034063260340639</v>
      </c>
      <c r="CK95" s="86">
        <f t="shared" ref="CK95:CP95" si="177">+CK70/CG70-1</f>
        <v>-0.12831948104601665</v>
      </c>
      <c r="CL95" s="86">
        <f t="shared" si="177"/>
        <v>-0.26260927483140462</v>
      </c>
      <c r="CM95" s="86">
        <f t="shared" si="177"/>
        <v>-0.22830114135206303</v>
      </c>
      <c r="CN95" s="86">
        <f t="shared" si="177"/>
        <v>-0.16024510259028857</v>
      </c>
      <c r="CO95" s="86">
        <f t="shared" si="177"/>
        <v>-3.255872093023271E-2</v>
      </c>
      <c r="CP95" s="86">
        <f t="shared" si="177"/>
        <v>-1.2051192304218139E-2</v>
      </c>
      <c r="CQ95" s="36"/>
      <c r="CR95" s="36"/>
      <c r="CS95" s="36"/>
      <c r="CT95" s="51"/>
      <c r="CU95" s="59"/>
      <c r="CV95" s="51"/>
      <c r="CW95" s="51"/>
      <c r="CX95" s="51"/>
      <c r="CY95" s="51"/>
      <c r="CZ95" s="51"/>
      <c r="DA95" s="53"/>
      <c r="DB95" s="53"/>
      <c r="DC95" s="36">
        <f>DC70/DB70-1</f>
        <v>2.622091117665537E-4</v>
      </c>
      <c r="DD95" s="36">
        <f>+DD70/DC70-1</f>
        <v>-2.0343403892784662E-2</v>
      </c>
      <c r="DE95" s="36">
        <f t="shared" ref="DE95:DM95" si="178">+DE70/DD70-1</f>
        <v>-0.76499440080596282</v>
      </c>
      <c r="DF95" s="36">
        <f t="shared" si="178"/>
        <v>-0.10832621690862521</v>
      </c>
      <c r="DG95" s="36">
        <f t="shared" si="178"/>
        <v>-2.2946288049290331E-2</v>
      </c>
      <c r="DH95" s="36">
        <f t="shared" si="178"/>
        <v>-0.10042158689361302</v>
      </c>
      <c r="DI95" s="36">
        <f t="shared" si="178"/>
        <v>-7.8419631088023301E-2</v>
      </c>
      <c r="DJ95" s="36">
        <f t="shared" si="178"/>
        <v>-0.13974100872742135</v>
      </c>
      <c r="DK95" s="36">
        <f t="shared" si="178"/>
        <v>-0.10836130914679132</v>
      </c>
      <c r="DL95" s="36">
        <f t="shared" si="178"/>
        <v>-3.9961226936328975E-2</v>
      </c>
      <c r="DM95" s="36">
        <f t="shared" si="178"/>
        <v>4.3800694319961808E-2</v>
      </c>
      <c r="DN95" s="36">
        <f>+DN70/DM70-1</f>
        <v>-7.8610090143023115E-3</v>
      </c>
      <c r="DO95" s="36">
        <f>+DO70/DN70-1</f>
        <v>-7.3918917419181551E-2</v>
      </c>
      <c r="DP95" s="36">
        <f>+DP70/DO70-1</f>
        <v>-5.7569050502106367E-2</v>
      </c>
      <c r="DQ95" s="36">
        <f>+DQ70/DP70-1</f>
        <v>-7.9937157202267017E-2</v>
      </c>
      <c r="DR95" s="36">
        <f>+DR70/DQ70-1</f>
        <v>-3.3592973551127336E-2</v>
      </c>
    </row>
    <row r="96" spans="1:189" s="71" customFormat="1">
      <c r="A96" s="107"/>
      <c r="B96" s="107" t="s">
        <v>565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>
        <v>7.0000000000000007E-2</v>
      </c>
      <c r="AN96" s="36"/>
      <c r="AO96" s="36">
        <v>-0.02</v>
      </c>
      <c r="AP96" s="36">
        <v>0</v>
      </c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36"/>
      <c r="CR96" s="36"/>
      <c r="CS96" s="36"/>
      <c r="CT96" s="36"/>
      <c r="CU96" s="72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</row>
    <row r="97" spans="1:117" s="121" customFormat="1">
      <c r="A97" s="117"/>
      <c r="B97" s="117" t="s">
        <v>566</v>
      </c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9"/>
      <c r="BX97" s="119"/>
      <c r="BY97" s="119"/>
      <c r="BZ97" s="119"/>
      <c r="CA97" s="119"/>
      <c r="CB97" s="119"/>
      <c r="CC97" s="119">
        <f t="shared" ref="CC97:CP97" si="179">+CC3/BY3-1</f>
        <v>0.29629629629629628</v>
      </c>
      <c r="CD97" s="119">
        <f t="shared" si="179"/>
        <v>0.30882352941176472</v>
      </c>
      <c r="CE97" s="119">
        <f t="shared" si="179"/>
        <v>0.1700610997963341</v>
      </c>
      <c r="CF97" s="119">
        <f t="shared" si="179"/>
        <v>0.26305609284332698</v>
      </c>
      <c r="CG97" s="119">
        <f t="shared" si="179"/>
        <v>7.9653679653679754E-2</v>
      </c>
      <c r="CH97" s="119">
        <f t="shared" si="179"/>
        <v>0.13569576490924806</v>
      </c>
      <c r="CI97" s="119">
        <f t="shared" si="179"/>
        <v>0.13489991296779813</v>
      </c>
      <c r="CJ97" s="119">
        <f t="shared" si="179"/>
        <v>7.1975497702909674E-2</v>
      </c>
      <c r="CK97" s="119">
        <f t="shared" si="179"/>
        <v>5.0000000000000044E-2</v>
      </c>
      <c r="CL97" s="119">
        <f t="shared" si="179"/>
        <v>5.0000000000000044E-2</v>
      </c>
      <c r="CM97" s="119">
        <f t="shared" si="179"/>
        <v>5.0000000000000044E-2</v>
      </c>
      <c r="CN97" s="119">
        <f t="shared" si="179"/>
        <v>5.0000000000000044E-2</v>
      </c>
      <c r="CO97" s="119">
        <f t="shared" si="179"/>
        <v>5.0000000000000044E-2</v>
      </c>
      <c r="CP97" s="119">
        <f t="shared" si="179"/>
        <v>5.0000000000000044E-2</v>
      </c>
      <c r="CQ97" s="118"/>
      <c r="CR97" s="118"/>
      <c r="CS97" s="118"/>
      <c r="CT97" s="118"/>
      <c r="CU97" s="120"/>
      <c r="CV97" s="118"/>
      <c r="CW97" s="118"/>
      <c r="CX97" s="118"/>
      <c r="CY97" s="118"/>
      <c r="CZ97" s="118"/>
      <c r="DA97" s="118"/>
      <c r="DB97" s="118"/>
      <c r="DC97" s="118"/>
      <c r="DD97" s="118"/>
      <c r="DE97" s="118"/>
      <c r="DF97" s="118"/>
      <c r="DG97" s="118"/>
      <c r="DH97" s="118"/>
      <c r="DI97" s="118"/>
      <c r="DJ97" s="118"/>
      <c r="DK97" s="118"/>
      <c r="DL97" s="118"/>
      <c r="DM97" s="118"/>
    </row>
    <row r="98" spans="1:117" s="121" customFormat="1">
      <c r="A98" s="117"/>
      <c r="B98" s="117" t="s">
        <v>567</v>
      </c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9"/>
      <c r="BX98" s="119"/>
      <c r="BY98" s="119"/>
      <c r="BZ98" s="119"/>
      <c r="CA98" s="119"/>
      <c r="CB98" s="119"/>
      <c r="CC98" s="119">
        <f t="shared" ref="CC98:CP98" si="180">+CC4/BY4-1</f>
        <v>0.31909547738693478</v>
      </c>
      <c r="CD98" s="119">
        <f t="shared" si="180"/>
        <v>0.39856801909307871</v>
      </c>
      <c r="CE98" s="119">
        <f t="shared" si="180"/>
        <v>0.54074074074074074</v>
      </c>
      <c r="CF98" s="119">
        <f t="shared" si="180"/>
        <v>0.65237020316027095</v>
      </c>
      <c r="CG98" s="119">
        <f t="shared" si="180"/>
        <v>0.51619047619047609</v>
      </c>
      <c r="CH98" s="119">
        <f t="shared" si="180"/>
        <v>0.44709897610921501</v>
      </c>
      <c r="CI98" s="119">
        <f t="shared" si="180"/>
        <v>0.60256410256410264</v>
      </c>
      <c r="CJ98" s="119">
        <f>+CJ4/CF4-1</f>
        <v>0.50683060109289624</v>
      </c>
      <c r="CK98" s="119">
        <f t="shared" si="180"/>
        <v>0.30000000000000004</v>
      </c>
      <c r="CL98" s="119">
        <f t="shared" si="180"/>
        <v>0.30000000000000004</v>
      </c>
      <c r="CM98" s="119">
        <f t="shared" si="180"/>
        <v>0.30000000000000004</v>
      </c>
      <c r="CN98" s="119">
        <f t="shared" si="180"/>
        <v>0.30000000000000004</v>
      </c>
      <c r="CO98" s="119">
        <f t="shared" si="180"/>
        <v>0.30000000000000004</v>
      </c>
      <c r="CP98" s="119">
        <f t="shared" si="180"/>
        <v>0.30000000000000004</v>
      </c>
      <c r="CQ98" s="118"/>
      <c r="CR98" s="118"/>
      <c r="CS98" s="118"/>
      <c r="CT98" s="118"/>
      <c r="CU98" s="120"/>
      <c r="CV98" s="118"/>
      <c r="CW98" s="118"/>
      <c r="CX98" s="118"/>
      <c r="CY98" s="118"/>
      <c r="CZ98" s="118"/>
      <c r="DA98" s="118"/>
      <c r="DB98" s="118"/>
      <c r="DC98" s="118"/>
      <c r="DD98" s="118"/>
      <c r="DE98" s="118"/>
      <c r="DF98" s="118"/>
      <c r="DG98" s="118"/>
      <c r="DH98" s="118"/>
      <c r="DI98" s="118"/>
      <c r="DJ98" s="118"/>
      <c r="DK98" s="118"/>
      <c r="DL98" s="118"/>
      <c r="DM98" s="118"/>
    </row>
    <row r="99" spans="1:117" s="110" customFormat="1">
      <c r="B99" s="110" t="s">
        <v>244</v>
      </c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2"/>
      <c r="N99" s="112"/>
      <c r="O99" s="112"/>
      <c r="P99" s="112"/>
      <c r="Q99" s="112">
        <f t="shared" ref="Q99:AT99" si="181">Q13/M13-1</f>
        <v>-4.9000000000000044E-2</v>
      </c>
      <c r="R99" s="112">
        <f t="shared" si="181"/>
        <v>0.32296650717703357</v>
      </c>
      <c r="S99" s="112">
        <f t="shared" si="181"/>
        <v>0.12834224598930488</v>
      </c>
      <c r="T99" s="112">
        <f t="shared" si="181"/>
        <v>0.35129068462401802</v>
      </c>
      <c r="U99" s="112">
        <f t="shared" si="181"/>
        <v>0.18506834910620396</v>
      </c>
      <c r="V99" s="112">
        <f t="shared" si="181"/>
        <v>0.12748643761301981</v>
      </c>
      <c r="W99" s="112">
        <f t="shared" si="181"/>
        <v>0.12701421800947865</v>
      </c>
      <c r="X99" s="112">
        <f t="shared" si="181"/>
        <v>6.5614617940199293E-2</v>
      </c>
      <c r="Y99" s="112">
        <f t="shared" si="181"/>
        <v>0.13575865128660158</v>
      </c>
      <c r="Z99" s="112">
        <f t="shared" si="181"/>
        <v>0.14675220529270239</v>
      </c>
      <c r="AA99" s="112">
        <f t="shared" si="181"/>
        <v>0.1000841042893188</v>
      </c>
      <c r="AB99" s="112">
        <f t="shared" si="181"/>
        <v>2.2603273577552541E-2</v>
      </c>
      <c r="AC99" s="112">
        <f t="shared" si="181"/>
        <v>1.0156250000000089E-2</v>
      </c>
      <c r="AD99" s="112">
        <f t="shared" si="181"/>
        <v>-8.8811188811188768E-2</v>
      </c>
      <c r="AE99" s="112">
        <f t="shared" si="181"/>
        <v>-5.3516819571865493E-2</v>
      </c>
      <c r="AF99" s="112">
        <f t="shared" si="181"/>
        <v>8.3841463414633388E-3</v>
      </c>
      <c r="AG99" s="112">
        <f t="shared" si="181"/>
        <v>1.7014694508894035E-2</v>
      </c>
      <c r="AH99" s="112">
        <f t="shared" si="181"/>
        <v>1.6116653875671627E-2</v>
      </c>
      <c r="AI99" s="112">
        <f t="shared" si="181"/>
        <v>-3.7156704361874016E-2</v>
      </c>
      <c r="AJ99" s="112">
        <f t="shared" si="181"/>
        <v>-5.8201058201058253E-2</v>
      </c>
      <c r="AK99" s="112">
        <f t="shared" si="181"/>
        <v>-5.4752851711026618E-2</v>
      </c>
      <c r="AL99" s="112">
        <f t="shared" si="181"/>
        <v>-3.4743202416918417E-2</v>
      </c>
      <c r="AM99" s="112">
        <f t="shared" si="181"/>
        <v>3.9429530201342322E-2</v>
      </c>
      <c r="AN99" s="112">
        <f t="shared" si="181"/>
        <v>8.82825040128421E-3</v>
      </c>
      <c r="AO99" s="112">
        <f t="shared" si="181"/>
        <v>-8.045052292839916E-4</v>
      </c>
      <c r="AP99" s="112">
        <f t="shared" si="181"/>
        <v>-3.6776212832550836E-2</v>
      </c>
      <c r="AQ99" s="112">
        <f t="shared" si="181"/>
        <v>-6.2953995157384979E-2</v>
      </c>
      <c r="AR99" s="112">
        <f t="shared" si="181"/>
        <v>-3.9777247414478967E-2</v>
      </c>
      <c r="AS99" s="112">
        <f t="shared" si="181"/>
        <v>-0.12318840579710144</v>
      </c>
      <c r="AT99" s="112">
        <f t="shared" si="181"/>
        <v>-0.1332250203086921</v>
      </c>
      <c r="AU99" s="112"/>
      <c r="AV99" s="112"/>
      <c r="AW99" s="112"/>
      <c r="AX99" s="112"/>
      <c r="AY99" s="112"/>
      <c r="AZ99" s="112"/>
      <c r="BA99" s="112"/>
      <c r="BB99" s="112"/>
      <c r="BC99" s="112"/>
      <c r="BD99" s="112"/>
      <c r="BE99" s="112"/>
      <c r="BF99" s="112"/>
      <c r="BG99" s="112"/>
      <c r="BH99" s="112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  <c r="CE99" s="112"/>
      <c r="CF99" s="112"/>
      <c r="CG99" s="112"/>
      <c r="CH99" s="112"/>
      <c r="CI99" s="112"/>
      <c r="CJ99" s="112"/>
      <c r="CK99" s="112"/>
      <c r="CL99" s="112"/>
      <c r="CM99" s="112"/>
      <c r="CN99" s="112"/>
      <c r="CO99" s="112"/>
      <c r="CP99" s="112"/>
      <c r="CQ99" s="112"/>
      <c r="CR99" s="112"/>
      <c r="CS99" s="112"/>
      <c r="CT99" s="111"/>
      <c r="CU99" s="113"/>
      <c r="CV99" s="111"/>
      <c r="CW99" s="111"/>
      <c r="CX99" s="111"/>
      <c r="CY99" s="111"/>
      <c r="CZ99" s="111"/>
      <c r="DA99" s="114"/>
      <c r="DB99" s="114"/>
      <c r="DC99" s="114"/>
      <c r="DD99" s="114"/>
      <c r="DE99" s="114"/>
      <c r="DF99" s="115"/>
      <c r="DG99" s="115"/>
      <c r="DH99" s="115"/>
      <c r="DI99" s="115"/>
      <c r="DJ99" s="115"/>
      <c r="DK99" s="115"/>
      <c r="DL99" s="115"/>
      <c r="DM99" s="115"/>
    </row>
    <row r="100" spans="1:117" s="110" customFormat="1">
      <c r="B100" s="110" t="s">
        <v>243</v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2"/>
      <c r="N100" s="112"/>
      <c r="O100" s="112"/>
      <c r="P100" s="112"/>
      <c r="Q100" s="112">
        <f t="shared" ref="Q100:AT100" si="182">Q48/M48-1</f>
        <v>0.53333333333333344</v>
      </c>
      <c r="R100" s="112">
        <f t="shared" si="182"/>
        <v>0.31308411214953269</v>
      </c>
      <c r="S100" s="112">
        <f t="shared" si="182"/>
        <v>0.4129464285714286</v>
      </c>
      <c r="T100" s="112">
        <f t="shared" si="182"/>
        <v>0.36680327868852469</v>
      </c>
      <c r="U100" s="112">
        <f t="shared" si="182"/>
        <v>0.33459357277882806</v>
      </c>
      <c r="V100" s="112">
        <f t="shared" si="182"/>
        <v>0.34341637010676163</v>
      </c>
      <c r="W100" s="112">
        <f t="shared" si="182"/>
        <v>0.27488151658767768</v>
      </c>
      <c r="X100" s="112">
        <f t="shared" si="182"/>
        <v>0.27286356821589197</v>
      </c>
      <c r="Y100" s="112">
        <f t="shared" si="182"/>
        <v>0.20113314447592079</v>
      </c>
      <c r="Z100" s="112">
        <f t="shared" si="182"/>
        <v>0.20794701986754971</v>
      </c>
      <c r="AA100" s="112">
        <f t="shared" si="182"/>
        <v>0.14374225526641893</v>
      </c>
      <c r="AB100" s="112">
        <f t="shared" si="182"/>
        <v>0.13427561837455837</v>
      </c>
      <c r="AC100" s="112">
        <f t="shared" si="182"/>
        <v>0.24410377358490565</v>
      </c>
      <c r="AD100" s="112">
        <f t="shared" si="182"/>
        <v>0.19078947368421062</v>
      </c>
      <c r="AE100" s="112">
        <f t="shared" si="182"/>
        <v>0.13759479956663045</v>
      </c>
      <c r="AF100" s="112">
        <f t="shared" si="182"/>
        <v>0.1547248182762202</v>
      </c>
      <c r="AG100" s="112">
        <f t="shared" si="182"/>
        <v>7.1090047393364886E-2</v>
      </c>
      <c r="AH100" s="112">
        <f t="shared" si="182"/>
        <v>6.8139963167587414E-2</v>
      </c>
      <c r="AI100" s="112">
        <f t="shared" si="182"/>
        <v>7.1428571428571397E-2</v>
      </c>
      <c r="AJ100" s="112">
        <f t="shared" si="182"/>
        <v>0.12320143884892087</v>
      </c>
      <c r="AK100" s="112">
        <f t="shared" si="182"/>
        <v>8.9380530973451222E-2</v>
      </c>
      <c r="AL100" s="112">
        <f t="shared" si="182"/>
        <v>8.7068965517241415E-2</v>
      </c>
      <c r="AM100" s="112">
        <f t="shared" si="182"/>
        <v>0.1617777777777778</v>
      </c>
      <c r="AN100" s="112">
        <f t="shared" si="182"/>
        <v>8.2465972778222651E-2</v>
      </c>
      <c r="AO100" s="112">
        <f t="shared" si="182"/>
        <v>5.84890333062551E-2</v>
      </c>
      <c r="AP100" s="112">
        <f t="shared" si="182"/>
        <v>6.2648691514670896E-2</v>
      </c>
      <c r="AQ100" s="112">
        <f t="shared" si="182"/>
        <v>2.9074215761285327E-2</v>
      </c>
      <c r="AR100" s="112">
        <f t="shared" si="182"/>
        <v>3.0000000000000027E-2</v>
      </c>
      <c r="AS100" s="112">
        <f t="shared" si="182"/>
        <v>7.444359171143522E-2</v>
      </c>
      <c r="AT100" s="112">
        <f t="shared" si="182"/>
        <v>0.15373134328358207</v>
      </c>
      <c r="AU100" s="112"/>
      <c r="AV100" s="112"/>
      <c r="AW100" s="112"/>
      <c r="AX100" s="112"/>
      <c r="AY100" s="112"/>
      <c r="AZ100" s="112"/>
      <c r="BA100" s="112"/>
      <c r="BB100" s="112"/>
      <c r="BC100" s="112"/>
      <c r="BD100" s="112"/>
      <c r="BE100" s="112"/>
      <c r="BF100" s="112"/>
      <c r="BG100" s="112"/>
      <c r="BH100" s="112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  <c r="CE100" s="112"/>
      <c r="CF100" s="112"/>
      <c r="CG100" s="112"/>
      <c r="CH100" s="112"/>
      <c r="CI100" s="112"/>
      <c r="CJ100" s="112"/>
      <c r="CK100" s="112"/>
      <c r="CL100" s="112"/>
      <c r="CM100" s="112"/>
      <c r="CN100" s="112"/>
      <c r="CO100" s="112"/>
      <c r="CP100" s="112"/>
      <c r="CQ100" s="112"/>
      <c r="CR100" s="112"/>
      <c r="CS100" s="112"/>
      <c r="CT100" s="111"/>
      <c r="CU100" s="113"/>
      <c r="CV100" s="111"/>
      <c r="CW100" s="111"/>
      <c r="CX100" s="111"/>
      <c r="CY100" s="111"/>
      <c r="CZ100" s="111"/>
      <c r="DA100" s="114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</row>
    <row r="101" spans="1:117" s="110" customFormat="1">
      <c r="B101" s="110" t="s">
        <v>242</v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2"/>
      <c r="N101" s="112"/>
      <c r="O101" s="112"/>
      <c r="P101" s="112"/>
      <c r="Q101" s="112">
        <f t="shared" ref="Q101:AP101" si="183">Q16/M16-1</f>
        <v>2.4210526315789473</v>
      </c>
      <c r="R101" s="112">
        <f t="shared" si="183"/>
        <v>6.6097560975609753</v>
      </c>
      <c r="S101" s="112">
        <f t="shared" si="183"/>
        <v>1.1162790697674421</v>
      </c>
      <c r="T101" s="112">
        <f t="shared" si="183"/>
        <v>0.5314009661835748</v>
      </c>
      <c r="U101" s="112">
        <f t="shared" si="183"/>
        <v>0.25</v>
      </c>
      <c r="V101" s="112">
        <f t="shared" si="183"/>
        <v>0.13141025641025639</v>
      </c>
      <c r="W101" s="112">
        <f t="shared" si="183"/>
        <v>0.41758241758241765</v>
      </c>
      <c r="X101" s="112">
        <f t="shared" si="183"/>
        <v>0.51419558359621442</v>
      </c>
      <c r="Y101" s="112">
        <f t="shared" si="183"/>
        <v>0.64923076923076928</v>
      </c>
      <c r="Z101" s="112">
        <f t="shared" si="183"/>
        <v>0.77053824362606238</v>
      </c>
      <c r="AA101" s="112">
        <f t="shared" si="183"/>
        <v>0.62273901808785537</v>
      </c>
      <c r="AB101" s="112">
        <f t="shared" si="183"/>
        <v>0.41250000000000009</v>
      </c>
      <c r="AC101" s="112">
        <f t="shared" si="183"/>
        <v>0.28917910447761197</v>
      </c>
      <c r="AD101" s="112">
        <f t="shared" si="183"/>
        <v>0.27839999999999998</v>
      </c>
      <c r="AE101" s="112">
        <f t="shared" si="183"/>
        <v>0.22929936305732479</v>
      </c>
      <c r="AF101" s="112">
        <f t="shared" si="183"/>
        <v>0.35103244837758107</v>
      </c>
      <c r="AG101" s="112">
        <f t="shared" si="183"/>
        <v>0.33429811866859627</v>
      </c>
      <c r="AH101" s="112">
        <f t="shared" si="183"/>
        <v>0.23529411764705888</v>
      </c>
      <c r="AI101" s="112">
        <f t="shared" si="183"/>
        <v>0.25518134715025909</v>
      </c>
      <c r="AJ101" s="112">
        <f t="shared" si="183"/>
        <v>0.23253275109170302</v>
      </c>
      <c r="AK101" s="112">
        <f t="shared" si="183"/>
        <v>0.24403470715835152</v>
      </c>
      <c r="AL101" s="112">
        <f t="shared" si="183"/>
        <v>0.2735562310030395</v>
      </c>
      <c r="AM101" s="112">
        <f t="shared" si="183"/>
        <v>0.34158926728586181</v>
      </c>
      <c r="AN101" s="112">
        <f t="shared" si="183"/>
        <v>0.2666076173604961</v>
      </c>
      <c r="AO101" s="112">
        <f t="shared" si="183"/>
        <v>0.19790758500435923</v>
      </c>
      <c r="AP101" s="112">
        <f t="shared" si="183"/>
        <v>0.26252983293556076</v>
      </c>
      <c r="AQ101" s="112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2"/>
      <c r="BB101" s="112"/>
      <c r="BC101" s="112"/>
      <c r="BD101" s="112"/>
      <c r="BE101" s="112"/>
      <c r="BF101" s="112"/>
      <c r="BG101" s="112"/>
      <c r="BH101" s="112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  <c r="CE101" s="112"/>
      <c r="CF101" s="112"/>
      <c r="CG101" s="112"/>
      <c r="CH101" s="112"/>
      <c r="CI101" s="112"/>
      <c r="CJ101" s="112"/>
      <c r="CK101" s="112"/>
      <c r="CL101" s="112"/>
      <c r="CM101" s="112"/>
      <c r="CN101" s="112"/>
      <c r="CO101" s="112"/>
      <c r="CP101" s="112"/>
      <c r="CQ101" s="112"/>
      <c r="CR101" s="112"/>
      <c r="CS101" s="112"/>
      <c r="CT101" s="111"/>
      <c r="CU101" s="113"/>
      <c r="CV101" s="111"/>
      <c r="CW101" s="111"/>
      <c r="CX101" s="111"/>
      <c r="CY101" s="111"/>
      <c r="CZ101" s="111"/>
      <c r="DA101" s="116"/>
      <c r="DB101" s="111"/>
      <c r="DC101" s="111"/>
      <c r="DD101" s="111"/>
      <c r="DE101" s="111"/>
      <c r="DF101" s="111"/>
      <c r="DG101" s="111"/>
      <c r="DH101" s="111"/>
      <c r="DI101" s="111"/>
      <c r="DJ101" s="111"/>
      <c r="DK101" s="111"/>
      <c r="DL101" s="111"/>
      <c r="DM101" s="111"/>
    </row>
    <row r="102" spans="1:117" s="110" customFormat="1">
      <c r="B102" s="110" t="s">
        <v>245</v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2"/>
      <c r="N102" s="112"/>
      <c r="O102" s="112"/>
      <c r="P102" s="112"/>
      <c r="Q102" s="112">
        <f t="shared" ref="Q102:AP102" si="184">Q7/M7-1</f>
        <v>0.4453125</v>
      </c>
      <c r="R102" s="112">
        <f t="shared" si="184"/>
        <v>0.27325581395348841</v>
      </c>
      <c r="S102" s="112">
        <f t="shared" si="184"/>
        <v>0.31382978723404253</v>
      </c>
      <c r="T102" s="112">
        <f t="shared" si="184"/>
        <v>0.24390243902439024</v>
      </c>
      <c r="U102" s="112">
        <f t="shared" si="184"/>
        <v>0.29729729729729737</v>
      </c>
      <c r="V102" s="112">
        <f t="shared" si="184"/>
        <v>0.20547945205479445</v>
      </c>
      <c r="W102" s="112">
        <f t="shared" si="184"/>
        <v>0.12145748987854255</v>
      </c>
      <c r="X102" s="112">
        <f t="shared" si="184"/>
        <v>0.20784313725490189</v>
      </c>
      <c r="Y102" s="112">
        <f t="shared" si="184"/>
        <v>0.14999999999999991</v>
      </c>
      <c r="Z102" s="112">
        <f t="shared" si="184"/>
        <v>0.2234848484848484</v>
      </c>
      <c r="AA102" s="112">
        <f t="shared" si="184"/>
        <v>0.27797833935018046</v>
      </c>
      <c r="AB102" s="112">
        <f t="shared" si="184"/>
        <v>0.3441558441558441</v>
      </c>
      <c r="AC102" s="112">
        <f t="shared" si="184"/>
        <v>0.34420289855072461</v>
      </c>
      <c r="AD102" s="112">
        <f t="shared" si="184"/>
        <v>0.34984520123839014</v>
      </c>
      <c r="AE102" s="112">
        <f t="shared" si="184"/>
        <v>0.33050847457627119</v>
      </c>
      <c r="AF102" s="112">
        <f t="shared" si="184"/>
        <v>0.25120772946859904</v>
      </c>
      <c r="AG102" s="112">
        <f t="shared" si="184"/>
        <v>0.3504043126684635</v>
      </c>
      <c r="AH102" s="112">
        <f t="shared" si="184"/>
        <v>0.17889908256880727</v>
      </c>
      <c r="AI102" s="112">
        <f t="shared" si="184"/>
        <v>9.3418259023354544E-2</v>
      </c>
      <c r="AJ102" s="112">
        <f t="shared" si="184"/>
        <v>6.370656370656369E-2</v>
      </c>
      <c r="AK102" s="112">
        <f t="shared" si="184"/>
        <v>0.12175648702594821</v>
      </c>
      <c r="AL102" s="112">
        <f t="shared" si="184"/>
        <v>0.29571984435797671</v>
      </c>
      <c r="AM102" s="112">
        <f t="shared" si="184"/>
        <v>0.36116504854368925</v>
      </c>
      <c r="AN102" s="112">
        <f t="shared" si="184"/>
        <v>0.20508166969147013</v>
      </c>
      <c r="AO102" s="112">
        <f t="shared" si="184"/>
        <v>0.13879003558718872</v>
      </c>
      <c r="AP102" s="112">
        <f t="shared" si="184"/>
        <v>0.11261261261261257</v>
      </c>
      <c r="AQ102" s="112"/>
      <c r="AR102" s="112"/>
      <c r="AS102" s="112"/>
      <c r="AT102" s="112"/>
      <c r="AU102" s="112"/>
      <c r="AV102" s="112"/>
      <c r="AW102" s="112"/>
      <c r="AX102" s="112"/>
      <c r="AY102" s="112"/>
      <c r="AZ102" s="112"/>
      <c r="BA102" s="112"/>
      <c r="BB102" s="112"/>
      <c r="BC102" s="112"/>
      <c r="BD102" s="112"/>
      <c r="BE102" s="112"/>
      <c r="BF102" s="112"/>
      <c r="BG102" s="112"/>
      <c r="BH102" s="112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  <c r="CE102" s="112"/>
      <c r="CF102" s="112"/>
      <c r="CG102" s="112"/>
      <c r="CH102" s="112"/>
      <c r="CI102" s="112"/>
      <c r="CJ102" s="112"/>
      <c r="CK102" s="112"/>
      <c r="CL102" s="112"/>
      <c r="CM102" s="112"/>
      <c r="CN102" s="112"/>
      <c r="CO102" s="112"/>
      <c r="CP102" s="112"/>
      <c r="CQ102" s="112"/>
      <c r="CR102" s="112"/>
      <c r="CS102" s="112"/>
      <c r="CT102" s="111"/>
      <c r="CU102" s="113"/>
      <c r="CV102" s="111"/>
      <c r="CW102" s="111"/>
      <c r="CX102" s="111"/>
      <c r="CY102" s="111"/>
      <c r="CZ102" s="111"/>
      <c r="DA102" s="111"/>
      <c r="DB102" s="111"/>
      <c r="DC102" s="111"/>
      <c r="DD102" s="111"/>
      <c r="DE102" s="111"/>
      <c r="DF102" s="111"/>
      <c r="DG102" s="111"/>
      <c r="DH102" s="111"/>
      <c r="DI102" s="111"/>
      <c r="DJ102" s="111"/>
      <c r="DK102" s="111"/>
      <c r="DL102" s="111"/>
      <c r="DM102" s="111"/>
    </row>
    <row r="103" spans="1:117">
      <c r="CU103" s="52"/>
    </row>
    <row r="104" spans="1:117" s="70" customFormat="1">
      <c r="A104" s="108"/>
      <c r="B104" s="109" t="s">
        <v>191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>
        <v>7366</v>
      </c>
      <c r="AN104" s="38">
        <f>9088+193</f>
        <v>9281</v>
      </c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</row>
    <row r="105" spans="1:117" s="70" customFormat="1">
      <c r="A105" s="108"/>
      <c r="B105" s="109" t="s">
        <v>426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>
        <f>3045+1276</f>
        <v>4321</v>
      </c>
      <c r="AN105" s="38">
        <f>3328+1206</f>
        <v>4534</v>
      </c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</row>
    <row r="106" spans="1:117" s="70" customFormat="1">
      <c r="A106" s="108"/>
      <c r="B106" s="109" t="s">
        <v>427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>
        <f>2030+192</f>
        <v>2222</v>
      </c>
      <c r="AN106" s="38">
        <v>1964</v>
      </c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</row>
    <row r="107" spans="1:117" s="70" customFormat="1">
      <c r="A107" s="108"/>
      <c r="B107" s="109" t="s">
        <v>428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>
        <v>8126</v>
      </c>
      <c r="AN107" s="38">
        <v>7307</v>
      </c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</row>
    <row r="108" spans="1:117" s="70" customFormat="1">
      <c r="A108" s="108"/>
      <c r="B108" s="109" t="s">
        <v>429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>
        <v>1780</v>
      </c>
      <c r="AN108" s="38">
        <v>1689</v>
      </c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</row>
    <row r="109" spans="1:117" s="70" customFormat="1">
      <c r="A109" s="108"/>
      <c r="B109" s="109" t="s">
        <v>430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>
        <v>287</v>
      </c>
      <c r="AN109" s="38">
        <v>370</v>
      </c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</row>
    <row r="110" spans="1:117" s="70" customFormat="1">
      <c r="A110" s="108"/>
      <c r="B110" s="109" t="s">
        <v>431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>
        <f>13040+9866</f>
        <v>22906</v>
      </c>
      <c r="AN110" s="38">
        <f>9846+12832</f>
        <v>22678</v>
      </c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</row>
    <row r="111" spans="1:117" s="70" customFormat="1">
      <c r="A111" s="108"/>
      <c r="B111" s="109" t="s">
        <v>432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>
        <v>7067</v>
      </c>
      <c r="AN111" s="38">
        <v>6824</v>
      </c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</row>
    <row r="112" spans="1:117" s="70" customFormat="1">
      <c r="A112" s="108"/>
      <c r="B112" s="109" t="s">
        <v>433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>
        <f>SUM(AM104:AM111)</f>
        <v>54075</v>
      </c>
      <c r="AN112" s="38">
        <f>SUM(AN104:AN111)</f>
        <v>54647</v>
      </c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</row>
    <row r="114" spans="1:117" s="70" customFormat="1">
      <c r="A114" s="108"/>
      <c r="B114" s="109" t="s">
        <v>192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>
        <f>1277+9055</f>
        <v>10332</v>
      </c>
      <c r="AN114" s="38">
        <f>1275+9043</f>
        <v>10318</v>
      </c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</row>
    <row r="115" spans="1:117" s="70" customFormat="1">
      <c r="A115" s="108"/>
      <c r="B115" s="109" t="s">
        <v>434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>
        <v>8507</v>
      </c>
      <c r="AN115" s="38">
        <v>7362</v>
      </c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</row>
    <row r="116" spans="1:117" s="70" customFormat="1">
      <c r="A116" s="108"/>
      <c r="B116" s="109" t="s">
        <v>430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>
        <v>110</v>
      </c>
      <c r="AN116" s="38">
        <v>201</v>
      </c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</row>
    <row r="117" spans="1:117" s="70" customFormat="1">
      <c r="A117" s="108"/>
      <c r="B117" s="109" t="s">
        <v>435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>
        <f>1066+443</f>
        <v>1509</v>
      </c>
      <c r="AN117" s="38">
        <f>947+491</f>
        <v>1438</v>
      </c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</row>
    <row r="118" spans="1:117" s="70" customFormat="1">
      <c r="A118" s="108"/>
      <c r="B118" s="109" t="s">
        <v>426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>
        <f>6034+3169</f>
        <v>9203</v>
      </c>
      <c r="AN118" s="38">
        <f>6519+2851</f>
        <v>9370</v>
      </c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</row>
    <row r="119" spans="1:117" s="70" customFormat="1">
      <c r="A119" s="108"/>
      <c r="B119" s="109" t="s">
        <v>436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>
        <v>3293</v>
      </c>
      <c r="AN119" s="38">
        <v>3478</v>
      </c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</row>
    <row r="120" spans="1:117" s="70" customFormat="1">
      <c r="A120" s="108"/>
      <c r="B120" s="109" t="s">
        <v>437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>
        <v>233</v>
      </c>
      <c r="AN120" s="38">
        <v>215</v>
      </c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</row>
    <row r="121" spans="1:117" s="70" customFormat="1">
      <c r="A121" s="108"/>
      <c r="B121" s="109" t="s">
        <v>438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>
        <f>SUM(AM114:AM120)</f>
        <v>33187</v>
      </c>
      <c r="AN121" s="38">
        <f>SUM(AN114:AN120)</f>
        <v>32382</v>
      </c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</row>
    <row r="122" spans="1:117" s="70" customFormat="1">
      <c r="A122" s="108"/>
      <c r="B122" s="109" t="s">
        <v>439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>
        <v>20888</v>
      </c>
      <c r="AN122" s="38">
        <v>22265</v>
      </c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</row>
    <row r="123" spans="1:117" s="70" customFormat="1">
      <c r="A123" s="108"/>
      <c r="B123" s="109" t="s">
        <v>440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>
        <f>AM122+AM121</f>
        <v>54075</v>
      </c>
      <c r="AN123" s="38">
        <f>AN122+AN121</f>
        <v>54647</v>
      </c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</row>
    <row r="125" spans="1:117" s="70" customFormat="1">
      <c r="A125" s="108"/>
      <c r="B125" s="109" t="s">
        <v>441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>
        <v>1739</v>
      </c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</row>
    <row r="126" spans="1:117" s="70" customFormat="1">
      <c r="A126" s="108"/>
      <c r="B126" s="109" t="s">
        <v>432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>
        <v>145</v>
      </c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</row>
    <row r="127" spans="1:117" s="70" customFormat="1">
      <c r="A127" s="108"/>
      <c r="B127" s="109" t="s">
        <v>444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>
        <v>346</v>
      </c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</row>
    <row r="128" spans="1:117" s="70" customFormat="1">
      <c r="A128" s="108"/>
      <c r="B128" s="109" t="s">
        <v>445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>
        <v>2367</v>
      </c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C5"/>
  <sheetViews>
    <sheetView zoomScale="160" zoomScaleNormal="160" workbookViewId="0"/>
  </sheetViews>
  <sheetFormatPr defaultRowHeight="12.75"/>
  <cols>
    <col min="1" max="1" width="5" bestFit="1" customWidth="1"/>
  </cols>
  <sheetData>
    <row r="1" spans="1:3">
      <c r="A1" s="17" t="s">
        <v>66</v>
      </c>
    </row>
    <row r="2" spans="1:3">
      <c r="B2" s="130" t="s">
        <v>585</v>
      </c>
      <c r="C2" s="130" t="s">
        <v>529</v>
      </c>
    </row>
    <row r="3" spans="1:3">
      <c r="B3" s="130" t="s">
        <v>586</v>
      </c>
      <c r="C3" s="130" t="s">
        <v>591</v>
      </c>
    </row>
    <row r="4" spans="1:3">
      <c r="B4" s="130" t="s">
        <v>1</v>
      </c>
      <c r="C4" s="130" t="s">
        <v>592</v>
      </c>
    </row>
    <row r="5" spans="1:3">
      <c r="B5" s="130" t="s">
        <v>590</v>
      </c>
      <c r="C5" s="130" t="s">
        <v>593</v>
      </c>
    </row>
  </sheetData>
  <hyperlinks>
    <hyperlink ref="A1" location="Main!A1" display="Main" xr:uid="{63226446-B06C-4D78-9987-812E8AF633E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6"/>
  <sheetViews>
    <sheetView zoomScale="175" zoomScaleNormal="17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7" t="s">
        <v>66</v>
      </c>
    </row>
    <row r="2" spans="1:3">
      <c r="B2" s="130" t="s">
        <v>585</v>
      </c>
      <c r="C2" s="130" t="s">
        <v>546</v>
      </c>
    </row>
    <row r="3" spans="1:3">
      <c r="B3" s="130" t="s">
        <v>586</v>
      </c>
      <c r="C3" s="130" t="s">
        <v>587</v>
      </c>
    </row>
    <row r="4" spans="1:3">
      <c r="B4" s="130" t="s">
        <v>1</v>
      </c>
      <c r="C4" s="130" t="s">
        <v>588</v>
      </c>
    </row>
    <row r="5" spans="1:3">
      <c r="B5" s="130" t="s">
        <v>93</v>
      </c>
      <c r="C5" s="130" t="s">
        <v>589</v>
      </c>
    </row>
    <row r="6" spans="1:3">
      <c r="B6" s="130" t="s">
        <v>590</v>
      </c>
      <c r="C6" s="130" t="s">
        <v>583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zoomScale="125" workbookViewId="0">
      <selection activeCell="C7" sqref="C7"/>
    </sheetView>
  </sheetViews>
  <sheetFormatPr defaultRowHeight="12.75"/>
  <cols>
    <col min="1" max="1" width="5" style="127" bestFit="1" customWidth="1"/>
    <col min="2" max="2" width="12.85546875" style="127" bestFit="1" customWidth="1"/>
    <col min="3" max="16384" width="9.140625" style="127"/>
  </cols>
  <sheetData>
    <row r="1" spans="1:3">
      <c r="A1" s="100" t="s">
        <v>66</v>
      </c>
    </row>
    <row r="2" spans="1:3">
      <c r="B2" s="127" t="s">
        <v>79</v>
      </c>
      <c r="C2" s="128" t="s">
        <v>535</v>
      </c>
    </row>
    <row r="3" spans="1:3">
      <c r="B3" s="127" t="s">
        <v>83</v>
      </c>
    </row>
    <row r="4" spans="1:3">
      <c r="B4" s="127" t="s">
        <v>93</v>
      </c>
      <c r="C4" s="127" t="s">
        <v>246</v>
      </c>
    </row>
    <row r="5" spans="1:3">
      <c r="B5" s="127" t="s">
        <v>61</v>
      </c>
    </row>
    <row r="6" spans="1:3">
      <c r="C6" s="129" t="s">
        <v>247</v>
      </c>
    </row>
    <row r="7" spans="1:3">
      <c r="C7" s="127" t="s">
        <v>248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C3"/>
  <sheetViews>
    <sheetView workbookViewId="0">
      <selection activeCell="B4" sqref="B4"/>
    </sheetView>
  </sheetViews>
  <sheetFormatPr defaultRowHeight="12.75"/>
  <sheetData>
    <row r="1" spans="1:3">
      <c r="A1" s="130" t="s">
        <v>66</v>
      </c>
    </row>
    <row r="2" spans="1:3">
      <c r="B2" s="130" t="s">
        <v>585</v>
      </c>
      <c r="C2" s="130" t="s">
        <v>602</v>
      </c>
    </row>
    <row r="3" spans="1:3">
      <c r="B3" s="130" t="s">
        <v>586</v>
      </c>
      <c r="C3" s="130" t="s">
        <v>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4" t="s">
        <v>66</v>
      </c>
    </row>
    <row r="2" spans="1:3">
      <c r="B2" s="1" t="s">
        <v>79</v>
      </c>
      <c r="C2" s="1" t="s">
        <v>34</v>
      </c>
    </row>
    <row r="3" spans="1:3">
      <c r="B3" s="1" t="s">
        <v>80</v>
      </c>
      <c r="C3" s="1" t="s">
        <v>134</v>
      </c>
    </row>
    <row r="4" spans="1:3">
      <c r="B4" s="1" t="s">
        <v>84</v>
      </c>
      <c r="C4" s="1" t="s">
        <v>133</v>
      </c>
    </row>
    <row r="5" spans="1:3">
      <c r="C5" s="1" t="s">
        <v>168</v>
      </c>
    </row>
    <row r="6" spans="1:3">
      <c r="B6" s="1" t="s">
        <v>1</v>
      </c>
      <c r="C6" s="1" t="s">
        <v>109</v>
      </c>
    </row>
    <row r="7" spans="1:3">
      <c r="B7" s="11" t="s">
        <v>93</v>
      </c>
      <c r="C7" s="11" t="s">
        <v>337</v>
      </c>
    </row>
    <row r="8" spans="1:3">
      <c r="B8" s="1" t="s">
        <v>3</v>
      </c>
      <c r="C8" s="1" t="s">
        <v>131</v>
      </c>
    </row>
    <row r="9" spans="1:3">
      <c r="C9" s="1" t="s">
        <v>169</v>
      </c>
    </row>
    <row r="10" spans="1:3">
      <c r="B10" s="1" t="s">
        <v>118</v>
      </c>
      <c r="C10" s="1" t="s">
        <v>187</v>
      </c>
    </row>
    <row r="11" spans="1:3">
      <c r="B11" s="1" t="s">
        <v>61</v>
      </c>
      <c r="C11" s="1" t="s">
        <v>135</v>
      </c>
    </row>
    <row r="12" spans="1:3">
      <c r="C12" s="1" t="s">
        <v>110</v>
      </c>
    </row>
    <row r="13" spans="1:3">
      <c r="C13" s="1" t="s">
        <v>111</v>
      </c>
    </row>
    <row r="14" spans="1:3">
      <c r="C14" s="1" t="s">
        <v>130</v>
      </c>
    </row>
    <row r="15" spans="1:3">
      <c r="C15" s="1" t="s">
        <v>132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RowHeight="12.75"/>
  <cols>
    <col min="1" max="1" width="5" bestFit="1" customWidth="1"/>
    <col min="2" max="2" width="14" bestFit="1" customWidth="1"/>
  </cols>
  <sheetData>
    <row r="1" spans="1:3">
      <c r="A1" s="17" t="s">
        <v>66</v>
      </c>
    </row>
    <row r="2" spans="1:3">
      <c r="B2" s="130" t="s">
        <v>585</v>
      </c>
      <c r="C2" s="130" t="s">
        <v>604</v>
      </c>
    </row>
    <row r="3" spans="1:3">
      <c r="B3" s="130" t="s">
        <v>586</v>
      </c>
      <c r="C3" s="130"/>
    </row>
    <row r="4" spans="1:3">
      <c r="B4" t="s">
        <v>80</v>
      </c>
      <c r="C4" t="s">
        <v>126</v>
      </c>
    </row>
    <row r="5" spans="1:3">
      <c r="B5" s="130" t="s">
        <v>1</v>
      </c>
      <c r="C5" s="130" t="s">
        <v>607</v>
      </c>
    </row>
    <row r="6" spans="1:3">
      <c r="B6" t="s">
        <v>93</v>
      </c>
      <c r="C6" s="130" t="s">
        <v>606</v>
      </c>
    </row>
    <row r="7" spans="1:3">
      <c r="B7" t="s">
        <v>81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Main</vt:lpstr>
      <vt:lpstr>Model</vt:lpstr>
      <vt:lpstr>Tagrisso</vt:lpstr>
      <vt:lpstr>Soliris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2171</vt:lpstr>
      <vt:lpstr>Iressa</vt:lpstr>
      <vt:lpstr>Zactima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2022-10-15T05:50:54Z</dcterms:modified>
</cp:coreProperties>
</file>