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DA8725-3CD4-4474-AACE-6FAE07A84940}" xr6:coauthVersionLast="47" xr6:coauthVersionMax="47" xr10:uidLastSave="{00000000-0000-0000-0000-000000000000}"/>
  <bookViews>
    <workbookView xWindow="51585" yWindow="0" windowWidth="25395" windowHeight="20880" activeTab="1" xr2:uid="{7CBEE6B4-8223-452C-B8C6-1EC2B28F2C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4" i="2" l="1"/>
  <c r="AD34" i="2"/>
  <c r="AE26" i="2"/>
  <c r="AF26" i="2" s="1"/>
  <c r="AD26" i="2"/>
  <c r="AE27" i="2"/>
  <c r="AD27" i="2"/>
  <c r="AG24" i="2"/>
  <c r="AG23" i="2" s="1"/>
  <c r="AE24" i="2"/>
  <c r="AE23" i="2" s="1"/>
  <c r="AG22" i="2"/>
  <c r="AE22" i="2"/>
  <c r="AD22" i="2"/>
  <c r="AC22" i="2"/>
  <c r="AD21" i="2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D19" i="2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D18" i="2"/>
  <c r="AC18" i="2"/>
  <c r="AH15" i="2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G7" i="2"/>
  <c r="AH7" i="2" s="1"/>
  <c r="AF7" i="2"/>
  <c r="AE7" i="2"/>
  <c r="AD7" i="2"/>
  <c r="AD17" i="2"/>
  <c r="AG17" i="2"/>
  <c r="AF17" i="2"/>
  <c r="AF22" i="2" s="1"/>
  <c r="AF24" i="2" s="1"/>
  <c r="AF23" i="2" s="1"/>
  <c r="AE17" i="2"/>
  <c r="AC17" i="2"/>
  <c r="AB17" i="2"/>
  <c r="AF13" i="2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B34" i="2"/>
  <c r="AC29" i="2"/>
  <c r="AB26" i="2"/>
  <c r="AC25" i="2"/>
  <c r="AB25" i="2"/>
  <c r="AB27" i="2" s="1"/>
  <c r="AB23" i="2"/>
  <c r="AB21" i="2"/>
  <c r="AB20" i="2"/>
  <c r="AB19" i="2"/>
  <c r="AB18" i="2"/>
  <c r="AB16" i="2"/>
  <c r="AB14" i="2"/>
  <c r="AB13" i="2"/>
  <c r="AB12" i="2"/>
  <c r="AB11" i="2"/>
  <c r="AB10" i="2"/>
  <c r="AB9" i="2"/>
  <c r="AB8" i="2"/>
  <c r="AB7" i="2"/>
  <c r="AB6" i="2"/>
  <c r="AB5" i="2"/>
  <c r="AB4" i="2"/>
  <c r="AB3" i="2"/>
  <c r="AC19" i="2"/>
  <c r="AC12" i="2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C11" i="2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M34" i="2"/>
  <c r="M26" i="2"/>
  <c r="N26" i="2" s="1"/>
  <c r="M27" i="2"/>
  <c r="M21" i="2"/>
  <c r="N21" i="2" s="1"/>
  <c r="AC21" i="2" s="1"/>
  <c r="M20" i="2"/>
  <c r="N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N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M16" i="2"/>
  <c r="M14" i="2"/>
  <c r="M13" i="2"/>
  <c r="N13" i="2" s="1"/>
  <c r="AC13" i="2" s="1"/>
  <c r="M12" i="2"/>
  <c r="N12" i="2" s="1"/>
  <c r="M11" i="2"/>
  <c r="N11" i="2" s="1"/>
  <c r="N10" i="2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M10" i="2"/>
  <c r="M9" i="2"/>
  <c r="N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M8" i="2"/>
  <c r="N8" i="2" s="1"/>
  <c r="N7" i="2"/>
  <c r="M7" i="2"/>
  <c r="AC7" i="2" s="1"/>
  <c r="M6" i="2"/>
  <c r="N5" i="2"/>
  <c r="M5" i="2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M4" i="2"/>
  <c r="M3" i="2"/>
  <c r="N3" i="2" s="1"/>
  <c r="E31" i="2"/>
  <c r="E29" i="2"/>
  <c r="E27" i="2"/>
  <c r="I31" i="2"/>
  <c r="I29" i="2"/>
  <c r="I27" i="2"/>
  <c r="I22" i="2"/>
  <c r="E17" i="2"/>
  <c r="E22" i="2" s="1"/>
  <c r="E24" i="2" s="1"/>
  <c r="E38" i="2" s="1"/>
  <c r="F31" i="2"/>
  <c r="F29" i="2"/>
  <c r="F27" i="2"/>
  <c r="J31" i="2"/>
  <c r="J29" i="2"/>
  <c r="AB29" i="2" s="1"/>
  <c r="J27" i="2"/>
  <c r="F22" i="2"/>
  <c r="F24" i="2" s="1"/>
  <c r="F17" i="2"/>
  <c r="G31" i="2"/>
  <c r="G29" i="2"/>
  <c r="G27" i="2"/>
  <c r="K31" i="2"/>
  <c r="K29" i="2"/>
  <c r="K27" i="2"/>
  <c r="G17" i="2"/>
  <c r="H31" i="2"/>
  <c r="AB31" i="2" s="1"/>
  <c r="L31" i="2"/>
  <c r="H27" i="2"/>
  <c r="L27" i="2"/>
  <c r="L17" i="2"/>
  <c r="L22" i="2" s="1"/>
  <c r="L24" i="2" s="1"/>
  <c r="L28" i="2" s="1"/>
  <c r="L30" i="2" s="1"/>
  <c r="M30" i="2" s="1"/>
  <c r="K17" i="2"/>
  <c r="J17" i="2"/>
  <c r="J22" i="2" s="1"/>
  <c r="I17" i="2"/>
  <c r="H17" i="2"/>
  <c r="H22" i="2" s="1"/>
  <c r="H24" i="2" s="1"/>
  <c r="H38" i="2" s="1"/>
  <c r="J4" i="1"/>
  <c r="J7" i="1" s="1"/>
  <c r="J6" i="1"/>
  <c r="J5" i="1"/>
  <c r="AE28" i="2" l="1"/>
  <c r="AE30" i="2" s="1"/>
  <c r="AD24" i="2"/>
  <c r="AD23" i="2" s="1"/>
  <c r="AF34" i="2"/>
  <c r="AG26" i="2"/>
  <c r="AF27" i="2"/>
  <c r="AF28" i="2" s="1"/>
  <c r="AF30" i="2" s="1"/>
  <c r="AI7" i="2"/>
  <c r="AH17" i="2"/>
  <c r="AH22" i="2" s="1"/>
  <c r="AH24" i="2" s="1"/>
  <c r="AH23" i="2" s="1"/>
  <c r="AB22" i="2"/>
  <c r="AB24" i="2" s="1"/>
  <c r="AB28" i="2" s="1"/>
  <c r="AB30" i="2" s="1"/>
  <c r="AB32" i="2" s="1"/>
  <c r="AB33" i="2" s="1"/>
  <c r="F28" i="2"/>
  <c r="F38" i="2"/>
  <c r="I37" i="2"/>
  <c r="J37" i="2"/>
  <c r="J24" i="2"/>
  <c r="AC20" i="2"/>
  <c r="M31" i="2"/>
  <c r="N30" i="2"/>
  <c r="N27" i="2"/>
  <c r="AC26" i="2"/>
  <c r="AC34" i="2"/>
  <c r="AC27" i="2"/>
  <c r="M17" i="2"/>
  <c r="M22" i="2" s="1"/>
  <c r="N4" i="2"/>
  <c r="N17" i="2" s="1"/>
  <c r="N22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G22" i="2"/>
  <c r="G24" i="2" s="1"/>
  <c r="AC8" i="2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K22" i="2"/>
  <c r="N6" i="2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N34" i="2"/>
  <c r="I24" i="2"/>
  <c r="I38" i="2" s="1"/>
  <c r="N20" i="2"/>
  <c r="E28" i="2"/>
  <c r="E30" i="2" s="1"/>
  <c r="E32" i="2" s="1"/>
  <c r="E33" i="2" s="1"/>
  <c r="I28" i="2"/>
  <c r="I30" i="2" s="1"/>
  <c r="I32" i="2" s="1"/>
  <c r="I33" i="2" s="1"/>
  <c r="L37" i="2"/>
  <c r="L38" i="2"/>
  <c r="F30" i="2"/>
  <c r="F32" i="2" s="1"/>
  <c r="F33" i="2" s="1"/>
  <c r="L32" i="2"/>
  <c r="L33" i="2" s="1"/>
  <c r="H28" i="2"/>
  <c r="H30" i="2" s="1"/>
  <c r="H32" i="2" s="1"/>
  <c r="H33" i="2" s="1"/>
  <c r="AF31" i="2" l="1"/>
  <c r="AF32" i="2" s="1"/>
  <c r="AF33" i="2" s="1"/>
  <c r="AE31" i="2"/>
  <c r="AE32" i="2" s="1"/>
  <c r="AE33" i="2" s="1"/>
  <c r="AD28" i="2"/>
  <c r="AD30" i="2" s="1"/>
  <c r="AG34" i="2"/>
  <c r="AH26" i="2"/>
  <c r="AG27" i="2"/>
  <c r="AG28" i="2" s="1"/>
  <c r="AG30" i="2" s="1"/>
  <c r="AI17" i="2"/>
  <c r="AI22" i="2" s="1"/>
  <c r="AI24" i="2" s="1"/>
  <c r="AI23" i="2" s="1"/>
  <c r="AJ7" i="2"/>
  <c r="N24" i="2"/>
  <c r="N38" i="2" s="1"/>
  <c r="G28" i="2"/>
  <c r="G30" i="2" s="1"/>
  <c r="G32" i="2" s="1"/>
  <c r="G33" i="2" s="1"/>
  <c r="G38" i="2"/>
  <c r="M24" i="2"/>
  <c r="AC4" i="2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N28" i="2"/>
  <c r="N31" i="2"/>
  <c r="AC31" i="2" s="1"/>
  <c r="N32" i="2"/>
  <c r="N33" i="2" s="1"/>
  <c r="M32" i="2"/>
  <c r="M33" i="2" s="1"/>
  <c r="J28" i="2"/>
  <c r="J30" i="2" s="1"/>
  <c r="J32" i="2" s="1"/>
  <c r="J33" i="2" s="1"/>
  <c r="J38" i="2"/>
  <c r="K37" i="2"/>
  <c r="K24" i="2"/>
  <c r="AG31" i="2" l="1"/>
  <c r="AG32" i="2"/>
  <c r="AD31" i="2"/>
  <c r="AD32" i="2"/>
  <c r="AG33" i="2"/>
  <c r="AH34" i="2"/>
  <c r="AI26" i="2"/>
  <c r="AH27" i="2"/>
  <c r="AH28" i="2" s="1"/>
  <c r="AH30" i="2" s="1"/>
  <c r="AK7" i="2"/>
  <c r="AJ17" i="2"/>
  <c r="AJ22" i="2" s="1"/>
  <c r="AJ24" i="2" s="1"/>
  <c r="AJ23" i="2" s="1"/>
  <c r="M38" i="2"/>
  <c r="M28" i="2"/>
  <c r="K28" i="2"/>
  <c r="K30" i="2" s="1"/>
  <c r="K32" i="2" s="1"/>
  <c r="K33" i="2" s="1"/>
  <c r="K38" i="2"/>
  <c r="M23" i="2"/>
  <c r="N23" i="2"/>
  <c r="AH31" i="2" l="1"/>
  <c r="AH32" i="2"/>
  <c r="AD33" i="2"/>
  <c r="AI34" i="2"/>
  <c r="AH33" i="2"/>
  <c r="AJ26" i="2"/>
  <c r="AI27" i="2"/>
  <c r="AI28" i="2" s="1"/>
  <c r="AI30" i="2" s="1"/>
  <c r="AL7" i="2"/>
  <c r="AK17" i="2"/>
  <c r="AK22" i="2" s="1"/>
  <c r="AK24" i="2" s="1"/>
  <c r="AK23" i="2" s="1"/>
  <c r="AC23" i="2"/>
  <c r="AC24" i="2" s="1"/>
  <c r="AC28" i="2" s="1"/>
  <c r="AC30" i="2" s="1"/>
  <c r="AC32" i="2" s="1"/>
  <c r="AC33" i="2" s="1"/>
  <c r="AI31" i="2" l="1"/>
  <c r="AI32" i="2" s="1"/>
  <c r="AJ34" i="2"/>
  <c r="AK26" i="2"/>
  <c r="AJ27" i="2"/>
  <c r="AJ28" i="2" s="1"/>
  <c r="AJ30" i="2" s="1"/>
  <c r="AM7" i="2"/>
  <c r="AL17" i="2"/>
  <c r="AL22" i="2" s="1"/>
  <c r="AL24" i="2" s="1"/>
  <c r="AL23" i="2" s="1"/>
  <c r="AI33" i="2" l="1"/>
  <c r="AJ31" i="2"/>
  <c r="AJ32" i="2" s="1"/>
  <c r="AK34" i="2"/>
  <c r="AL26" i="2"/>
  <c r="AK27" i="2"/>
  <c r="AK28" i="2" s="1"/>
  <c r="AK30" i="2" s="1"/>
  <c r="AN7" i="2"/>
  <c r="AM17" i="2"/>
  <c r="AM22" i="2" s="1"/>
  <c r="AM24" i="2" s="1"/>
  <c r="AM23" i="2" s="1"/>
  <c r="AJ33" i="2" l="1"/>
  <c r="AK32" i="2"/>
  <c r="AK31" i="2"/>
  <c r="AL34" i="2"/>
  <c r="AM26" i="2"/>
  <c r="AL27" i="2"/>
  <c r="AL28" i="2" s="1"/>
  <c r="AL30" i="2" s="1"/>
  <c r="AN17" i="2"/>
  <c r="AN22" i="2" s="1"/>
  <c r="AN24" i="2" s="1"/>
  <c r="AN23" i="2" s="1"/>
  <c r="AO7" i="2"/>
  <c r="AK33" i="2" l="1"/>
  <c r="AL31" i="2"/>
  <c r="AL32" i="2" s="1"/>
  <c r="AM34" i="2"/>
  <c r="AN26" i="2"/>
  <c r="AM27" i="2"/>
  <c r="AM28" i="2" s="1"/>
  <c r="AM30" i="2" s="1"/>
  <c r="AO17" i="2"/>
  <c r="AO22" i="2" s="1"/>
  <c r="AP7" i="2"/>
  <c r="AL33" i="2" l="1"/>
  <c r="AM31" i="2"/>
  <c r="AM32" i="2"/>
  <c r="AO24" i="2"/>
  <c r="AO23" i="2" s="1"/>
  <c r="AN34" i="2"/>
  <c r="AM33" i="2"/>
  <c r="AO26" i="2"/>
  <c r="AN27" i="2"/>
  <c r="AN28" i="2" s="1"/>
  <c r="AN30" i="2" s="1"/>
  <c r="AP17" i="2"/>
  <c r="AP22" i="2" s="1"/>
  <c r="AQ7" i="2"/>
  <c r="AP24" i="2" l="1"/>
  <c r="AP23" i="2" s="1"/>
  <c r="AN31" i="2"/>
  <c r="AN32" i="2"/>
  <c r="AN33" i="2" s="1"/>
  <c r="AO34" i="2"/>
  <c r="AP26" i="2"/>
  <c r="AO27" i="2"/>
  <c r="AO28" i="2" s="1"/>
  <c r="AO30" i="2" s="1"/>
  <c r="AR7" i="2"/>
  <c r="AQ17" i="2"/>
  <c r="AQ22" i="2" s="1"/>
  <c r="AO31" i="2" l="1"/>
  <c r="AO32" i="2" s="1"/>
  <c r="AO33" i="2" s="1"/>
  <c r="AQ24" i="2"/>
  <c r="AQ23" i="2" s="1"/>
  <c r="AP34" i="2"/>
  <c r="AQ26" i="2"/>
  <c r="AP27" i="2"/>
  <c r="AP28" i="2" s="1"/>
  <c r="AP30" i="2" s="1"/>
  <c r="AS7" i="2"/>
  <c r="AR17" i="2"/>
  <c r="AR22" i="2" s="1"/>
  <c r="AR24" i="2" l="1"/>
  <c r="AR23" i="2"/>
  <c r="AP31" i="2"/>
  <c r="AP32" i="2" s="1"/>
  <c r="AP33" i="2" s="1"/>
  <c r="AQ34" i="2"/>
  <c r="AR26" i="2"/>
  <c r="AQ27" i="2"/>
  <c r="AQ28" i="2" s="1"/>
  <c r="AQ30" i="2" s="1"/>
  <c r="AT7" i="2"/>
  <c r="AS17" i="2"/>
  <c r="AS22" i="2" s="1"/>
  <c r="AS24" i="2" l="1"/>
  <c r="AS23" i="2" s="1"/>
  <c r="AQ31" i="2"/>
  <c r="AQ32" i="2" s="1"/>
  <c r="AQ33" i="2" s="1"/>
  <c r="AR34" i="2"/>
  <c r="AS26" i="2"/>
  <c r="AR27" i="2"/>
  <c r="AR28" i="2" s="1"/>
  <c r="AR30" i="2" s="1"/>
  <c r="AU7" i="2"/>
  <c r="AU17" i="2" s="1"/>
  <c r="AU22" i="2" s="1"/>
  <c r="AT17" i="2"/>
  <c r="AT22" i="2" s="1"/>
  <c r="AT24" i="2" l="1"/>
  <c r="AT23" i="2"/>
  <c r="AR31" i="2"/>
  <c r="AR32" i="2" s="1"/>
  <c r="AR33" i="2" s="1"/>
  <c r="AU24" i="2"/>
  <c r="AU23" i="2" s="1"/>
  <c r="AS34" i="2"/>
  <c r="AT26" i="2"/>
  <c r="AS27" i="2"/>
  <c r="AS28" i="2" s="1"/>
  <c r="AS30" i="2" s="1"/>
  <c r="AS31" i="2" l="1"/>
  <c r="AS32" i="2"/>
  <c r="AT34" i="2"/>
  <c r="AS33" i="2"/>
  <c r="AU26" i="2"/>
  <c r="AU27" i="2" s="1"/>
  <c r="AU28" i="2" s="1"/>
  <c r="AU30" i="2" s="1"/>
  <c r="AT27" i="2"/>
  <c r="AT28" i="2" s="1"/>
  <c r="AT30" i="2" s="1"/>
  <c r="AT31" i="2" l="1"/>
  <c r="AT32" i="2"/>
  <c r="AU31" i="2"/>
  <c r="AU32" i="2" s="1"/>
  <c r="AX37" i="2" s="1"/>
  <c r="AX38" i="2" s="1"/>
  <c r="AU34" i="2"/>
  <c r="AT33" i="2"/>
  <c r="AU33" i="2" l="1"/>
</calcChain>
</file>

<file path=xl/sharedStrings.xml><?xml version="1.0" encoding="utf-8"?>
<sst xmlns="http://schemas.openxmlformats.org/spreadsheetml/2006/main" count="99" uniqueCount="87">
  <si>
    <t>Price</t>
  </si>
  <si>
    <t>Shares</t>
  </si>
  <si>
    <t>MC</t>
  </si>
  <si>
    <t>Cash</t>
  </si>
  <si>
    <t>Debt</t>
  </si>
  <si>
    <t>EV</t>
  </si>
  <si>
    <t>Brand</t>
  </si>
  <si>
    <t>Q222</t>
  </si>
  <si>
    <t>Avonex</t>
  </si>
  <si>
    <t>Tecfidera</t>
  </si>
  <si>
    <t>Indication</t>
  </si>
  <si>
    <t>MOA</t>
  </si>
  <si>
    <t>Approval</t>
  </si>
  <si>
    <t>Economics</t>
  </si>
  <si>
    <t>IP</t>
  </si>
  <si>
    <t>lecanemab</t>
  </si>
  <si>
    <t>Alzheimer's</t>
  </si>
  <si>
    <t>Multiple Sclerosis</t>
  </si>
  <si>
    <t>litifilimab</t>
  </si>
  <si>
    <t>CLE</t>
  </si>
  <si>
    <t>BIIB122</t>
  </si>
  <si>
    <t>:RRK2</t>
  </si>
  <si>
    <t>Parkinson's</t>
  </si>
  <si>
    <t>DNLI</t>
  </si>
  <si>
    <t>BIIB800 (tocilizumab)</t>
  </si>
  <si>
    <t>zuranolone</t>
  </si>
  <si>
    <t>SAGE</t>
  </si>
  <si>
    <t>tofersen</t>
  </si>
  <si>
    <t>ALS</t>
  </si>
  <si>
    <t>Spinraza (nusinersen)</t>
  </si>
  <si>
    <t>SMA</t>
  </si>
  <si>
    <t>IONS</t>
  </si>
  <si>
    <t>AL01811</t>
  </si>
  <si>
    <t>GBA2 inhibitor</t>
  </si>
  <si>
    <t>Aduhelm (aducanumab)</t>
  </si>
  <si>
    <t>Vumerity (diroximel fumarate)</t>
  </si>
  <si>
    <t>Tysabri (natalizumab)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</si>
  <si>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</si>
  <si>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</si>
  <si>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</si>
  <si>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</si>
  <si>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</si>
  <si>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</si>
  <si>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</si>
  <si>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</si>
  <si>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</si>
  <si>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</si>
  <si>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</si>
  <si>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</si>
  <si>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</si>
  <si>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Vumerity</t>
  </si>
  <si>
    <t>Plegridy</t>
  </si>
  <si>
    <t>Tysabri</t>
  </si>
  <si>
    <t>Fampyra</t>
  </si>
  <si>
    <t>Spinraza</t>
  </si>
  <si>
    <t>Benepali</t>
  </si>
  <si>
    <t>Imraldi</t>
  </si>
  <si>
    <t>Flixabi</t>
  </si>
  <si>
    <t>Byooviz</t>
  </si>
  <si>
    <t>Fumaderm</t>
  </si>
  <si>
    <t>Aduhelm</t>
  </si>
  <si>
    <t>Product</t>
  </si>
  <si>
    <t>CD20</t>
  </si>
  <si>
    <t>Other</t>
  </si>
  <si>
    <t>COGS</t>
  </si>
  <si>
    <t>Gross Profit</t>
  </si>
  <si>
    <t>R&amp;D</t>
  </si>
  <si>
    <t>SG&amp;A</t>
  </si>
  <si>
    <t>OpEx</t>
  </si>
  <si>
    <t>OpInc</t>
  </si>
  <si>
    <t>Interest Income</t>
  </si>
  <si>
    <t>Pretax Income</t>
  </si>
  <si>
    <t>Taxes</t>
  </si>
  <si>
    <t>Net Income</t>
  </si>
  <si>
    <t>EPS</t>
  </si>
  <si>
    <t>Lunsumio (mosunetuzumab)</t>
  </si>
  <si>
    <t>FL</t>
  </si>
  <si>
    <t>CD20xCD3</t>
  </si>
  <si>
    <t>Ocrevus</t>
  </si>
  <si>
    <t>Rituxan/Gazyva</t>
  </si>
  <si>
    <t>Revenue y/y</t>
  </si>
  <si>
    <t>Gross Margin</t>
  </si>
  <si>
    <t>Lecanemab</t>
  </si>
  <si>
    <t>Terminal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</si>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</sst>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38966</xdr:colOff>
      <xdr:row>0</xdr:row>
      <xdr:rowOff>0</xdr:rowOff>
    </xdr:from>
    <xdr:to>
      <xdr:col>28</xdr:col>
      <xdr:colOff>38966</xdr:colOff>
      <xdr:row>39</xdr:row>
      <xdr:rowOff>43295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7A0164-871D-34D0-FCC8-B9AAC596230D}"/>
            </a:ext>
          </a:extLst>
        </xdr:cNvPr>
        <xdr:cNvCxnSpPr/>
      </xdr:nvCxnSpPr>
      <xdr:spPr>
        <a:xfrm>
          <a:off x="17160734" y="0"/>
          <a:ext cx="0" cy="6222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607509</xdr:colOff>
      <xdr:row>0</xdr:row>
      <xdr:rowOff>30307</xdr:rowOff>
    </xdr:from>
    <xdr:to>
      <xdr:col>11</xdr:col>
      <xdr:colOff>607509</xdr:colOff>
      <xdr:row>39</xdr:row>
      <xdr:rowOff>73602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5D9F34-9F98-4633-80FD-32FC96B7901E}"/>
            </a:ext>
          </a:extLst>
        </xdr:cNvPr>
        <xdr:cNvCxnSpPr/>
      </xdr:nvCxnSpPr>
      <xdr:spPr>
        <a:xfrm>
          <a:off x="7381875" y="30307"/>
          <a:ext cx="0" cy="6222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6BA9-19F6-4D66-A355-F53C1BBA84BC}">
  <dimension ref="B2:K21"/>
  <sheetViews>
    <sheetView zoomScale="175" zoomScaleNormal="175" workbookViewId="0"/>
  </sheetViews>
  <sheetFormatPr defaultRowHeight="12.75" x14ac:dyDescent="0.2"/>
  <cols>
    <col min="1" max="1" width="4.28515625" customWidth="1"/>
    <col min="2" max="2" width="26.42578125" customWidth="1"/>
    <col min="3" max="3" width="17.5703125" customWidth="1"/>
    <col min="6" max="6" width="11.42578125" customWidth="1"/>
  </cols>
  <sheetData>
    <row r="2" spans="2:11" x14ac:dyDescent="0.2">
      <c r="B2" s="8" t="s">
        <v>6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I2" t="s">
        <v>0</v>
      </c>
      <c r="J2">
        <v>254.07</v>
      </c>
    </row>
    <row r="3" spans="2:11" x14ac:dyDescent="0.2">
      <c r="B3" s="3" t="s">
        <v>36</v>
      </c>
      <c r="C3" t="s">
        <v>17</v>
      </c>
      <c r="G3" s="4"/>
      <c r="I3" t="s">
        <v>1</v>
      </c>
      <c r="J3" s="1">
        <v>145.11304699999999</v>
      </c>
      <c r="K3" s="2" t="s">
        <v>7</v>
      </c>
    </row>
    <row r="4" spans="2:11" x14ac:dyDescent="0.2">
      <c r="B4" s="3" t="s">
        <v>8</v>
      </c>
      <c r="C4" t="s">
        <v>17</v>
      </c>
      <c r="G4" s="4"/>
      <c r="I4" t="s">
        <v>2</v>
      </c>
      <c r="J4" s="1">
        <f>+J2*J3</f>
        <v>36868.871851289994</v>
      </c>
    </row>
    <row r="5" spans="2:11" x14ac:dyDescent="0.2">
      <c r="B5" s="3" t="s">
        <v>34</v>
      </c>
      <c r="C5" t="s">
        <v>16</v>
      </c>
      <c r="G5" s="4"/>
      <c r="I5" t="s">
        <v>3</v>
      </c>
      <c r="J5" s="1">
        <f>2646.6+2151.3+1102.9+1500.8</f>
        <v>7401.5999999999995</v>
      </c>
      <c r="K5" s="2" t="s">
        <v>7</v>
      </c>
    </row>
    <row r="6" spans="2:11" x14ac:dyDescent="0.2">
      <c r="B6" s="3" t="s">
        <v>9</v>
      </c>
      <c r="C6" t="s">
        <v>17</v>
      </c>
      <c r="G6" s="4"/>
      <c r="I6" t="s">
        <v>4</v>
      </c>
      <c r="J6" s="1">
        <f>6277.4+999.8</f>
        <v>7277.2</v>
      </c>
      <c r="K6" s="2" t="s">
        <v>7</v>
      </c>
    </row>
    <row r="7" spans="2:11" x14ac:dyDescent="0.2">
      <c r="B7" s="3" t="s">
        <v>29</v>
      </c>
      <c r="C7" t="s">
        <v>30</v>
      </c>
      <c r="F7" t="s">
        <v>31</v>
      </c>
      <c r="G7" s="4"/>
      <c r="I7" t="s">
        <v>5</v>
      </c>
      <c r="J7" s="1">
        <f>+J4-J5+J6</f>
        <v>36744.471851289993</v>
      </c>
    </row>
    <row r="8" spans="2:11" x14ac:dyDescent="0.2">
      <c r="B8" s="3" t="s">
        <v>35</v>
      </c>
      <c r="C8" t="s">
        <v>17</v>
      </c>
      <c r="G8" s="4"/>
    </row>
    <row r="9" spans="2:11" x14ac:dyDescent="0.2">
      <c r="B9" s="8"/>
      <c r="C9" s="9"/>
      <c r="D9" s="9"/>
      <c r="E9" s="9"/>
      <c r="F9" s="9"/>
      <c r="G9" s="10"/>
    </row>
    <row r="10" spans="2:11" x14ac:dyDescent="0.2">
      <c r="B10" s="3" t="s">
        <v>15</v>
      </c>
      <c r="C10" t="s">
        <v>16</v>
      </c>
      <c r="G10" s="4"/>
    </row>
    <row r="11" spans="2:11" x14ac:dyDescent="0.2">
      <c r="B11" s="3" t="s">
        <v>18</v>
      </c>
      <c r="C11" t="s">
        <v>19</v>
      </c>
      <c r="G11" s="4"/>
    </row>
    <row r="12" spans="2:11" x14ac:dyDescent="0.2">
      <c r="B12" s="3" t="s">
        <v>20</v>
      </c>
      <c r="C12" t="s">
        <v>22</v>
      </c>
      <c r="D12" t="s">
        <v>21</v>
      </c>
      <c r="F12" t="s">
        <v>23</v>
      </c>
      <c r="G12" s="4"/>
    </row>
    <row r="13" spans="2:11" x14ac:dyDescent="0.2">
      <c r="B13" s="3" t="s">
        <v>24</v>
      </c>
      <c r="G13" s="4"/>
    </row>
    <row r="14" spans="2:11" x14ac:dyDescent="0.2">
      <c r="B14" s="3" t="s">
        <v>25</v>
      </c>
      <c r="F14" t="s">
        <v>26</v>
      </c>
      <c r="G14" s="4"/>
    </row>
    <row r="15" spans="2:11" x14ac:dyDescent="0.2">
      <c r="B15" s="3" t="s">
        <v>27</v>
      </c>
      <c r="C15" t="s">
        <v>28</v>
      </c>
      <c r="F15" t="s">
        <v>31</v>
      </c>
      <c r="G15" s="4"/>
    </row>
    <row r="16" spans="2:11" x14ac:dyDescent="0.2">
      <c r="B16" s="3" t="s">
        <v>32</v>
      </c>
      <c r="C16" t="s">
        <v>22</v>
      </c>
      <c r="D16" t="s">
        <v>33</v>
      </c>
      <c r="G16" s="4"/>
    </row>
    <row r="17" spans="2:7" x14ac:dyDescent="0.2">
      <c r="B17" s="3" t="s">
        <v>75</v>
      </c>
      <c r="C17" t="s">
        <v>76</v>
      </c>
      <c r="D17" t="s">
        <v>77</v>
      </c>
      <c r="G17" s="4"/>
    </row>
    <row r="18" spans="2:7" x14ac:dyDescent="0.2">
      <c r="B18" s="3"/>
      <c r="G18" s="4"/>
    </row>
    <row r="19" spans="2:7" x14ac:dyDescent="0.2">
      <c r="B19" s="3"/>
      <c r="G19" s="4"/>
    </row>
    <row r="20" spans="2:7" x14ac:dyDescent="0.2">
      <c r="B20" s="3"/>
      <c r="G20" s="4"/>
    </row>
    <row r="21" spans="2:7" x14ac:dyDescent="0.2">
      <c r="B21" s="5"/>
      <c r="C21" s="6"/>
      <c r="D21" s="6"/>
      <c r="E21" s="6"/>
      <c r="F21" s="6"/>
      <c r="G21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B2B-BE50-4D86-B93D-DDDB8C03F4F9}">
  <dimension ref="A1:BV38"/>
  <sheetViews>
    <sheetView tabSelected="1" zoomScale="205" zoomScaleNormal="205" workbookViewId="0">
      <pane xSplit="2" ySplit="2" topLeftCell="AQ11" activePane="bottomRight" state="frozen"/>
      <selection pane="topRight" activeCell="C1" sqref="C1"/>
      <selection pane="bottomLeft" activeCell="A3" sqref="A3"/>
      <selection pane="bottomRight" activeCell="AX35" sqref="AX35"/>
    </sheetView>
  </sheetViews>
  <sheetFormatPr defaultRowHeight="12.75" x14ac:dyDescent="0.2"/>
  <cols>
    <col min="1" max="1" width="5" bestFit="1" customWidth="1"/>
    <col min="2" max="2" width="14.42578125" customWidth="1"/>
    <col min="3" max="14" width="9.140625" style="2"/>
    <col min="50" max="50" width="9" customWidth="1"/>
  </cols>
  <sheetData>
    <row r="1" spans="1:74" x14ac:dyDescent="0.2">
      <c r="A1" s="11" t="s">
        <v>37</v>
      </c>
    </row>
    <row r="2" spans="1:74" x14ac:dyDescent="0.2"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7</v>
      </c>
      <c r="M2" s="2" t="s">
        <v>48</v>
      </c>
      <c r="N2" s="2" t="s">
        <v>49</v>
      </c>
      <c r="Q2">
        <v>2010</v>
      </c>
      <c r="R2">
        <f>+Q2+1</f>
        <v>2011</v>
      </c>
      <c r="S2">
        <f t="shared" ref="S2:BV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  <c r="AV2">
        <f t="shared" si="0"/>
        <v>2041</v>
      </c>
      <c r="AW2">
        <f t="shared" si="0"/>
        <v>2042</v>
      </c>
      <c r="AX2">
        <f t="shared" si="0"/>
        <v>2043</v>
      </c>
      <c r="AY2">
        <f t="shared" si="0"/>
        <v>2044</v>
      </c>
      <c r="AZ2">
        <f t="shared" si="0"/>
        <v>2045</v>
      </c>
      <c r="BA2">
        <f t="shared" si="0"/>
        <v>2046</v>
      </c>
      <c r="BB2">
        <f t="shared" si="0"/>
        <v>2047</v>
      </c>
      <c r="BC2">
        <f t="shared" si="0"/>
        <v>2048</v>
      </c>
      <c r="BD2">
        <f t="shared" si="0"/>
        <v>2049</v>
      </c>
      <c r="BE2">
        <f t="shared" si="0"/>
        <v>2050</v>
      </c>
      <c r="BF2">
        <f t="shared" si="0"/>
        <v>2051</v>
      </c>
      <c r="BG2">
        <f t="shared" si="0"/>
        <v>2052</v>
      </c>
      <c r="BH2">
        <f t="shared" si="0"/>
        <v>2053</v>
      </c>
      <c r="BI2">
        <f t="shared" si="0"/>
        <v>2054</v>
      </c>
      <c r="BJ2">
        <f t="shared" si="0"/>
        <v>2055</v>
      </c>
      <c r="BK2">
        <f t="shared" si="0"/>
        <v>2056</v>
      </c>
      <c r="BL2">
        <f t="shared" si="0"/>
        <v>2057</v>
      </c>
      <c r="BM2">
        <f t="shared" si="0"/>
        <v>2058</v>
      </c>
      <c r="BN2">
        <f t="shared" si="0"/>
        <v>2059</v>
      </c>
      <c r="BO2">
        <f t="shared" si="0"/>
        <v>2060</v>
      </c>
      <c r="BP2">
        <f t="shared" si="0"/>
        <v>2061</v>
      </c>
      <c r="BQ2">
        <f t="shared" si="0"/>
        <v>2062</v>
      </c>
      <c r="BR2">
        <f t="shared" si="0"/>
        <v>2063</v>
      </c>
      <c r="BS2">
        <f t="shared" si="0"/>
        <v>2064</v>
      </c>
      <c r="BT2">
        <f t="shared" si="0"/>
        <v>2065</v>
      </c>
      <c r="BU2">
        <f t="shared" si="0"/>
        <v>2066</v>
      </c>
      <c r="BV2">
        <f t="shared" si="0"/>
        <v>2067</v>
      </c>
    </row>
    <row r="3" spans="1:74" s="1" customFormat="1" x14ac:dyDescent="0.2">
      <c r="B3" s="1" t="s">
        <v>9</v>
      </c>
      <c r="C3" s="12"/>
      <c r="D3" s="12"/>
      <c r="E3" s="12">
        <v>953.1</v>
      </c>
      <c r="F3" s="12">
        <v>607.9</v>
      </c>
      <c r="G3" s="12">
        <v>479.3</v>
      </c>
      <c r="H3" s="12">
        <v>487.6</v>
      </c>
      <c r="I3" s="12">
        <v>498.6</v>
      </c>
      <c r="J3" s="12">
        <v>486.5</v>
      </c>
      <c r="K3" s="12">
        <v>409.9</v>
      </c>
      <c r="L3" s="12">
        <v>397.9</v>
      </c>
      <c r="M3" s="12">
        <f>+L3-15</f>
        <v>382.9</v>
      </c>
      <c r="N3" s="12">
        <f>+M3-15</f>
        <v>367.9</v>
      </c>
      <c r="AB3" s="1">
        <f>SUM(G3:J3)</f>
        <v>1952</v>
      </c>
      <c r="AC3" s="1">
        <f>SUM(K3:N3)</f>
        <v>1558.6</v>
      </c>
      <c r="AD3" s="1">
        <f>+AC3*0.8</f>
        <v>1246.8800000000001</v>
      </c>
      <c r="AE3" s="1">
        <f t="shared" ref="AE3:AL3" si="1">+AD3*0.8</f>
        <v>997.50400000000013</v>
      </c>
      <c r="AF3" s="1">
        <f t="shared" si="1"/>
        <v>798.00320000000011</v>
      </c>
      <c r="AG3" s="1">
        <f t="shared" si="1"/>
        <v>638.40256000000011</v>
      </c>
      <c r="AH3" s="1">
        <f t="shared" si="1"/>
        <v>510.72204800000009</v>
      </c>
      <c r="AI3" s="1">
        <f t="shared" si="1"/>
        <v>408.57763840000007</v>
      </c>
      <c r="AJ3" s="1">
        <f t="shared" si="1"/>
        <v>326.86211072000009</v>
      </c>
      <c r="AK3" s="1">
        <f t="shared" si="1"/>
        <v>261.48968857600011</v>
      </c>
      <c r="AL3" s="1">
        <f t="shared" si="1"/>
        <v>209.19175086080008</v>
      </c>
      <c r="AM3" s="1">
        <f t="shared" ref="AM3" si="2">+AL3*0.8</f>
        <v>167.35340068864008</v>
      </c>
      <c r="AN3" s="1">
        <f t="shared" ref="AN3:AU3" si="3">+AM3*0.8</f>
        <v>133.88272055091207</v>
      </c>
      <c r="AO3" s="1">
        <f t="shared" si="3"/>
        <v>107.10617644072966</v>
      </c>
      <c r="AP3" s="1">
        <f t="shared" si="3"/>
        <v>85.684941152583733</v>
      </c>
      <c r="AQ3" s="1">
        <f t="shared" si="3"/>
        <v>68.547952922066983</v>
      </c>
      <c r="AR3" s="1">
        <f t="shared" si="3"/>
        <v>54.838362337653592</v>
      </c>
      <c r="AS3" s="1">
        <f t="shared" si="3"/>
        <v>43.870689870122874</v>
      </c>
      <c r="AT3" s="1">
        <f t="shared" si="3"/>
        <v>35.096551896098298</v>
      </c>
      <c r="AU3" s="1">
        <f t="shared" si="3"/>
        <v>28.07724151687864</v>
      </c>
    </row>
    <row r="4" spans="1:74" s="1" customFormat="1" x14ac:dyDescent="0.2">
      <c r="B4" s="1" t="s">
        <v>50</v>
      </c>
      <c r="C4" s="12"/>
      <c r="D4" s="12"/>
      <c r="E4" s="12">
        <v>14.4</v>
      </c>
      <c r="F4" s="12">
        <v>38.9</v>
      </c>
      <c r="G4" s="12">
        <v>73.599999999999994</v>
      </c>
      <c r="H4" s="12">
        <v>90.9</v>
      </c>
      <c r="I4" s="12">
        <v>120.9</v>
      </c>
      <c r="J4" s="12">
        <v>124.9</v>
      </c>
      <c r="K4" s="12">
        <v>128</v>
      </c>
      <c r="L4" s="12">
        <v>136.80000000000001</v>
      </c>
      <c r="M4" s="12">
        <f>+L4+5</f>
        <v>141.80000000000001</v>
      </c>
      <c r="N4" s="12">
        <f>+M4+5</f>
        <v>146.80000000000001</v>
      </c>
      <c r="AB4" s="1">
        <f t="shared" ref="AB4:AB21" si="4">SUM(G4:J4)</f>
        <v>410.29999999999995</v>
      </c>
      <c r="AC4" s="1">
        <f t="shared" ref="AC4:AC21" si="5">SUM(K4:N4)</f>
        <v>553.40000000000009</v>
      </c>
      <c r="AD4" s="1">
        <f>+AC4*1.1</f>
        <v>608.74000000000012</v>
      </c>
      <c r="AE4" s="1">
        <f t="shared" ref="AE4:AF4" si="6">+AD4*1.1</f>
        <v>669.61400000000015</v>
      </c>
      <c r="AF4" s="1">
        <f t="shared" si="6"/>
        <v>736.57540000000017</v>
      </c>
      <c r="AG4" s="1">
        <f>+AF4*1.03</f>
        <v>758.67266200000017</v>
      </c>
      <c r="AH4" s="1">
        <f t="shared" ref="AH4:AK4" si="7">+AG4*1.03</f>
        <v>781.43284186000017</v>
      </c>
      <c r="AI4" s="1">
        <f t="shared" si="7"/>
        <v>804.87582711580023</v>
      </c>
      <c r="AJ4" s="1">
        <f t="shared" si="7"/>
        <v>829.0221019292743</v>
      </c>
      <c r="AK4" s="1">
        <f t="shared" si="7"/>
        <v>853.89276498715253</v>
      </c>
      <c r="AL4" s="1">
        <f>+AK4*0.5</f>
        <v>426.94638249357627</v>
      </c>
      <c r="AM4" s="1">
        <f>+AL4*0.8</f>
        <v>341.55710599486105</v>
      </c>
      <c r="AN4" s="1">
        <f t="shared" ref="AN4:AU4" si="8">+AM4*0.8</f>
        <v>273.24568479588885</v>
      </c>
      <c r="AO4" s="1">
        <f t="shared" si="8"/>
        <v>218.5965478367111</v>
      </c>
      <c r="AP4" s="1">
        <f t="shared" si="8"/>
        <v>174.87723826936889</v>
      </c>
      <c r="AQ4" s="1">
        <f t="shared" si="8"/>
        <v>139.90179061549512</v>
      </c>
      <c r="AR4" s="1">
        <f t="shared" si="8"/>
        <v>111.92143249239609</v>
      </c>
      <c r="AS4" s="1">
        <f t="shared" si="8"/>
        <v>89.53714599391688</v>
      </c>
      <c r="AT4" s="1">
        <f t="shared" si="8"/>
        <v>71.629716795133504</v>
      </c>
      <c r="AU4" s="1">
        <f t="shared" si="8"/>
        <v>57.303773436106809</v>
      </c>
    </row>
    <row r="5" spans="1:74" s="1" customFormat="1" x14ac:dyDescent="0.2">
      <c r="B5" s="1" t="s">
        <v>8</v>
      </c>
      <c r="C5" s="12"/>
      <c r="D5" s="12"/>
      <c r="E5" s="12">
        <v>380.5</v>
      </c>
      <c r="F5" s="12">
        <v>356.4</v>
      </c>
      <c r="G5" s="12">
        <v>311.10000000000002</v>
      </c>
      <c r="H5" s="12">
        <v>310.89999999999998</v>
      </c>
      <c r="I5" s="12">
        <v>301.3</v>
      </c>
      <c r="J5" s="12">
        <v>285.39999999999998</v>
      </c>
      <c r="K5" s="12">
        <v>229.6</v>
      </c>
      <c r="L5" s="12">
        <v>258.7</v>
      </c>
      <c r="M5" s="12">
        <f>+I5*0.9</f>
        <v>271.17</v>
      </c>
      <c r="N5" s="12">
        <f>+J5*0.9</f>
        <v>256.86</v>
      </c>
      <c r="AB5" s="1">
        <f t="shared" si="4"/>
        <v>1208.6999999999998</v>
      </c>
      <c r="AC5" s="1">
        <f t="shared" si="5"/>
        <v>1016.33</v>
      </c>
      <c r="AD5" s="1">
        <f>+AC5*0.9</f>
        <v>914.697</v>
      </c>
      <c r="AE5" s="1">
        <f t="shared" ref="AE5:AU5" si="9">+AD5*0.9</f>
        <v>823.22730000000001</v>
      </c>
      <c r="AF5" s="1">
        <f t="shared" si="9"/>
        <v>740.90457000000004</v>
      </c>
      <c r="AG5" s="1">
        <f t="shared" si="9"/>
        <v>666.81411300000002</v>
      </c>
      <c r="AH5" s="1">
        <f t="shared" si="9"/>
        <v>600.13270169999998</v>
      </c>
      <c r="AI5" s="1">
        <f t="shared" si="9"/>
        <v>540.11943153000004</v>
      </c>
      <c r="AJ5" s="1">
        <f t="shared" si="9"/>
        <v>486.10748837700004</v>
      </c>
      <c r="AK5" s="1">
        <f t="shared" si="9"/>
        <v>437.49673953930005</v>
      </c>
      <c r="AL5" s="1">
        <f t="shared" si="9"/>
        <v>393.74706558537008</v>
      </c>
      <c r="AM5" s="1">
        <f t="shared" si="9"/>
        <v>354.37235902683307</v>
      </c>
      <c r="AN5" s="1">
        <f t="shared" si="9"/>
        <v>318.93512312414975</v>
      </c>
      <c r="AO5" s="1">
        <f t="shared" si="9"/>
        <v>287.04161081173481</v>
      </c>
      <c r="AP5" s="1">
        <f t="shared" si="9"/>
        <v>258.33744973056133</v>
      </c>
      <c r="AQ5" s="1">
        <f t="shared" si="9"/>
        <v>232.5037047575052</v>
      </c>
      <c r="AR5" s="1">
        <f t="shared" si="9"/>
        <v>209.25333428175469</v>
      </c>
      <c r="AS5" s="1">
        <f t="shared" si="9"/>
        <v>188.32800085357923</v>
      </c>
      <c r="AT5" s="1">
        <f t="shared" si="9"/>
        <v>169.49520076822131</v>
      </c>
      <c r="AU5" s="1">
        <f t="shared" si="9"/>
        <v>152.54568069139918</v>
      </c>
    </row>
    <row r="6" spans="1:74" s="1" customFormat="1" x14ac:dyDescent="0.2">
      <c r="B6" s="1" t="s">
        <v>51</v>
      </c>
      <c r="C6" s="12"/>
      <c r="D6" s="12"/>
      <c r="E6" s="12">
        <v>93.6</v>
      </c>
      <c r="F6" s="12">
        <v>99.6</v>
      </c>
      <c r="G6" s="12">
        <v>89.4</v>
      </c>
      <c r="H6" s="12">
        <v>89.5</v>
      </c>
      <c r="I6" s="12">
        <v>86.2</v>
      </c>
      <c r="J6" s="12">
        <v>92.3</v>
      </c>
      <c r="K6" s="12">
        <v>80</v>
      </c>
      <c r="L6" s="12">
        <v>91.5</v>
      </c>
      <c r="M6" s="12">
        <f>+L6+1</f>
        <v>92.5</v>
      </c>
      <c r="N6" s="12">
        <f>+M6+1</f>
        <v>93.5</v>
      </c>
      <c r="AB6" s="1">
        <f t="shared" si="4"/>
        <v>357.40000000000003</v>
      </c>
      <c r="AC6" s="1">
        <f t="shared" si="5"/>
        <v>357.5</v>
      </c>
      <c r="AD6" s="1">
        <f>+AC6*0.95</f>
        <v>339.625</v>
      </c>
      <c r="AE6" s="1">
        <f t="shared" ref="AE6:AU6" si="10">+AD6*0.95</f>
        <v>322.64375000000001</v>
      </c>
      <c r="AF6" s="1">
        <f t="shared" si="10"/>
        <v>306.51156249999997</v>
      </c>
      <c r="AG6" s="1">
        <f t="shared" si="10"/>
        <v>291.18598437499998</v>
      </c>
      <c r="AH6" s="1">
        <f t="shared" si="10"/>
        <v>276.62668515624995</v>
      </c>
      <c r="AI6" s="1">
        <f t="shared" si="10"/>
        <v>262.79535089843745</v>
      </c>
      <c r="AJ6" s="1">
        <f t="shared" si="10"/>
        <v>249.65558335351557</v>
      </c>
      <c r="AK6" s="1">
        <f t="shared" si="10"/>
        <v>237.17280418583977</v>
      </c>
      <c r="AL6" s="1">
        <f t="shared" si="10"/>
        <v>225.31416397654777</v>
      </c>
      <c r="AM6" s="1">
        <f t="shared" si="10"/>
        <v>214.04845577772036</v>
      </c>
      <c r="AN6" s="1">
        <f t="shared" si="10"/>
        <v>203.34603298883434</v>
      </c>
      <c r="AO6" s="1">
        <f t="shared" si="10"/>
        <v>193.17873133939261</v>
      </c>
      <c r="AP6" s="1">
        <f t="shared" si="10"/>
        <v>183.51979477242298</v>
      </c>
      <c r="AQ6" s="1">
        <f t="shared" si="10"/>
        <v>174.34380503380183</v>
      </c>
      <c r="AR6" s="1">
        <f t="shared" si="10"/>
        <v>165.62661478211172</v>
      </c>
      <c r="AS6" s="1">
        <f t="shared" si="10"/>
        <v>157.34528404300613</v>
      </c>
      <c r="AT6" s="1">
        <f t="shared" si="10"/>
        <v>149.47801984085581</v>
      </c>
      <c r="AU6" s="1">
        <f t="shared" si="10"/>
        <v>142.00411884881302</v>
      </c>
    </row>
    <row r="7" spans="1:74" s="1" customFormat="1" x14ac:dyDescent="0.2">
      <c r="B7" s="1" t="s">
        <v>52</v>
      </c>
      <c r="C7" s="12"/>
      <c r="D7" s="12"/>
      <c r="E7" s="12">
        <v>516.5</v>
      </c>
      <c r="F7" s="12">
        <v>475.2</v>
      </c>
      <c r="G7" s="12">
        <v>503.3</v>
      </c>
      <c r="H7" s="12">
        <v>524.20000000000005</v>
      </c>
      <c r="I7" s="12">
        <v>522.79999999999995</v>
      </c>
      <c r="J7" s="12">
        <v>512.70000000000005</v>
      </c>
      <c r="K7" s="12">
        <v>520.79999999999995</v>
      </c>
      <c r="L7" s="12">
        <v>516.20000000000005</v>
      </c>
      <c r="M7" s="12">
        <f>+I7*1.03</f>
        <v>538.48399999999992</v>
      </c>
      <c r="N7" s="12">
        <f>+J7*1.03</f>
        <v>528.08100000000002</v>
      </c>
      <c r="AB7" s="1">
        <f t="shared" si="4"/>
        <v>2063</v>
      </c>
      <c r="AC7" s="1">
        <f t="shared" si="5"/>
        <v>2103.5650000000001</v>
      </c>
      <c r="AD7" s="1">
        <f>+AC7*1.01</f>
        <v>2124.6006499999999</v>
      </c>
      <c r="AE7" s="1">
        <f t="shared" ref="AE7" si="11">+AD7*1.01</f>
        <v>2145.8466564999999</v>
      </c>
      <c r="AF7" s="1">
        <f>+AE7*0.85</f>
        <v>1823.9696580249999</v>
      </c>
      <c r="AG7" s="1">
        <f t="shared" ref="AG7:AU7" si="12">+AF7*0.85</f>
        <v>1550.37420932125</v>
      </c>
      <c r="AH7" s="1">
        <f t="shared" si="12"/>
        <v>1317.8180779230624</v>
      </c>
      <c r="AI7" s="1">
        <f t="shared" si="12"/>
        <v>1120.145366234603</v>
      </c>
      <c r="AJ7" s="1">
        <f t="shared" si="12"/>
        <v>952.12356129941247</v>
      </c>
      <c r="AK7" s="1">
        <f t="shared" si="12"/>
        <v>809.3050271045006</v>
      </c>
      <c r="AL7" s="1">
        <f t="shared" si="12"/>
        <v>687.90927303882552</v>
      </c>
      <c r="AM7" s="1">
        <f t="shared" si="12"/>
        <v>584.72288208300165</v>
      </c>
      <c r="AN7" s="1">
        <f t="shared" si="12"/>
        <v>497.01444977055138</v>
      </c>
      <c r="AO7" s="1">
        <f t="shared" si="12"/>
        <v>422.46228230496865</v>
      </c>
      <c r="AP7" s="1">
        <f t="shared" si="12"/>
        <v>359.09293995922337</v>
      </c>
      <c r="AQ7" s="1">
        <f t="shared" si="12"/>
        <v>305.22899896533988</v>
      </c>
      <c r="AR7" s="1">
        <f t="shared" si="12"/>
        <v>259.44464912053888</v>
      </c>
      <c r="AS7" s="1">
        <f t="shared" si="12"/>
        <v>220.52795175245805</v>
      </c>
      <c r="AT7" s="1">
        <f t="shared" si="12"/>
        <v>187.44875898958935</v>
      </c>
      <c r="AU7" s="1">
        <f t="shared" si="12"/>
        <v>159.33144514115094</v>
      </c>
    </row>
    <row r="8" spans="1:74" s="1" customFormat="1" x14ac:dyDescent="0.2">
      <c r="B8" s="1" t="s">
        <v>53</v>
      </c>
      <c r="C8" s="12"/>
      <c r="D8" s="12"/>
      <c r="E8" s="12">
        <v>26.8</v>
      </c>
      <c r="F8" s="12">
        <v>25.1</v>
      </c>
      <c r="G8" s="12">
        <v>26.6</v>
      </c>
      <c r="H8" s="12">
        <v>26.1</v>
      </c>
      <c r="I8" s="12">
        <v>26.2</v>
      </c>
      <c r="J8" s="12">
        <v>26.7</v>
      </c>
      <c r="K8" s="12">
        <v>26.2</v>
      </c>
      <c r="L8" s="12">
        <v>25.5</v>
      </c>
      <c r="M8" s="12">
        <f>+L8</f>
        <v>25.5</v>
      </c>
      <c r="N8" s="12">
        <f>+M8</f>
        <v>25.5</v>
      </c>
      <c r="AB8" s="1">
        <f t="shared" si="4"/>
        <v>105.60000000000001</v>
      </c>
      <c r="AC8" s="1">
        <f t="shared" si="5"/>
        <v>102.7</v>
      </c>
      <c r="AD8" s="1">
        <f>+AC8*0.9</f>
        <v>92.43</v>
      </c>
      <c r="AE8" s="1">
        <f t="shared" ref="AE8:AU8" si="13">+AD8*0.9</f>
        <v>83.187000000000012</v>
      </c>
      <c r="AF8" s="1">
        <f t="shared" si="13"/>
        <v>74.868300000000019</v>
      </c>
      <c r="AG8" s="1">
        <f t="shared" si="13"/>
        <v>67.381470000000022</v>
      </c>
      <c r="AH8" s="1">
        <f t="shared" si="13"/>
        <v>60.643323000000024</v>
      </c>
      <c r="AI8" s="1">
        <f t="shared" si="13"/>
        <v>54.57899070000002</v>
      </c>
      <c r="AJ8" s="1">
        <f t="shared" si="13"/>
        <v>49.121091630000016</v>
      </c>
      <c r="AK8" s="1">
        <f t="shared" si="13"/>
        <v>44.208982467000013</v>
      </c>
      <c r="AL8" s="1">
        <f t="shared" si="13"/>
        <v>39.788084220300014</v>
      </c>
      <c r="AM8" s="1">
        <f t="shared" si="13"/>
        <v>35.809275798270015</v>
      </c>
      <c r="AN8" s="1">
        <f t="shared" si="13"/>
        <v>32.228348218443017</v>
      </c>
      <c r="AO8" s="1">
        <f t="shared" si="13"/>
        <v>29.005513396598715</v>
      </c>
      <c r="AP8" s="1">
        <f t="shared" si="13"/>
        <v>26.104962056938845</v>
      </c>
      <c r="AQ8" s="1">
        <f t="shared" si="13"/>
        <v>23.494465851244961</v>
      </c>
      <c r="AR8" s="1">
        <f t="shared" si="13"/>
        <v>21.145019266120464</v>
      </c>
      <c r="AS8" s="1">
        <f t="shared" si="13"/>
        <v>19.030517339508418</v>
      </c>
      <c r="AT8" s="1">
        <f t="shared" si="13"/>
        <v>17.127465605557575</v>
      </c>
      <c r="AU8" s="1">
        <f t="shared" si="13"/>
        <v>15.414719045001817</v>
      </c>
    </row>
    <row r="9" spans="1:74" s="1" customFormat="1" x14ac:dyDescent="0.2">
      <c r="B9" s="1" t="s">
        <v>54</v>
      </c>
      <c r="C9" s="12"/>
      <c r="D9" s="12"/>
      <c r="E9" s="12">
        <v>494.4</v>
      </c>
      <c r="F9" s="12">
        <v>498</v>
      </c>
      <c r="G9" s="12">
        <v>520.5</v>
      </c>
      <c r="H9" s="12">
        <v>499.7</v>
      </c>
      <c r="I9" s="12">
        <v>444.1</v>
      </c>
      <c r="J9" s="12">
        <v>440.7</v>
      </c>
      <c r="K9" s="12">
        <v>472.5</v>
      </c>
      <c r="L9" s="12">
        <v>431</v>
      </c>
      <c r="M9" s="12">
        <f>+L9+5</f>
        <v>436</v>
      </c>
      <c r="N9" s="12">
        <f>+M9+5</f>
        <v>441</v>
      </c>
      <c r="AB9" s="1">
        <f t="shared" si="4"/>
        <v>1905.0000000000002</v>
      </c>
      <c r="AC9" s="1">
        <f t="shared" si="5"/>
        <v>1780.5</v>
      </c>
      <c r="AD9" s="1">
        <f t="shared" ref="AD9:AU9" si="14">+AC9*0.9</f>
        <v>1602.45</v>
      </c>
      <c r="AE9" s="1">
        <f t="shared" si="14"/>
        <v>1442.2050000000002</v>
      </c>
      <c r="AF9" s="1">
        <f t="shared" si="14"/>
        <v>1297.9845000000003</v>
      </c>
      <c r="AG9" s="1">
        <f t="shared" si="14"/>
        <v>1168.1860500000003</v>
      </c>
      <c r="AH9" s="1">
        <f t="shared" si="14"/>
        <v>1051.3674450000003</v>
      </c>
      <c r="AI9" s="1">
        <f t="shared" si="14"/>
        <v>946.23070050000035</v>
      </c>
      <c r="AJ9" s="1">
        <f t="shared" si="14"/>
        <v>851.60763045000033</v>
      </c>
      <c r="AK9" s="1">
        <f t="shared" si="14"/>
        <v>766.44686740500026</v>
      </c>
      <c r="AL9" s="1">
        <f t="shared" si="14"/>
        <v>689.80218066450027</v>
      </c>
      <c r="AM9" s="1">
        <f t="shared" si="14"/>
        <v>620.82196259805028</v>
      </c>
      <c r="AN9" s="1">
        <f t="shared" si="14"/>
        <v>558.73976633824532</v>
      </c>
      <c r="AO9" s="1">
        <f t="shared" si="14"/>
        <v>502.86578970442082</v>
      </c>
      <c r="AP9" s="1">
        <f t="shared" si="14"/>
        <v>452.57921073397875</v>
      </c>
      <c r="AQ9" s="1">
        <f t="shared" si="14"/>
        <v>407.32128966058087</v>
      </c>
      <c r="AR9" s="1">
        <f t="shared" si="14"/>
        <v>366.58916069452277</v>
      </c>
      <c r="AS9" s="1">
        <f t="shared" si="14"/>
        <v>329.93024462507049</v>
      </c>
      <c r="AT9" s="1">
        <f t="shared" si="14"/>
        <v>296.93722016256345</v>
      </c>
      <c r="AU9" s="1">
        <f t="shared" si="14"/>
        <v>267.2434981463071</v>
      </c>
    </row>
    <row r="10" spans="1:74" s="1" customFormat="1" x14ac:dyDescent="0.2">
      <c r="B10" s="1" t="s">
        <v>55</v>
      </c>
      <c r="C10" s="12"/>
      <c r="D10" s="12"/>
      <c r="E10" s="12">
        <v>124.2</v>
      </c>
      <c r="F10" s="12">
        <v>117.6</v>
      </c>
      <c r="G10" s="12">
        <v>121.7</v>
      </c>
      <c r="H10" s="12">
        <v>121.5</v>
      </c>
      <c r="I10" s="12">
        <v>120.8</v>
      </c>
      <c r="J10" s="12">
        <v>134.4</v>
      </c>
      <c r="K10" s="12">
        <v>114.7</v>
      </c>
      <c r="L10" s="12">
        <v>115.8</v>
      </c>
      <c r="M10" s="12">
        <f>AVERAGE(I10:L10)</f>
        <v>121.425</v>
      </c>
      <c r="N10" s="12">
        <f t="shared" ref="N10:N12" si="15">AVERAGE(J10:M10)</f>
        <v>121.58125000000001</v>
      </c>
      <c r="AB10" s="1">
        <f t="shared" si="4"/>
        <v>498.4</v>
      </c>
      <c r="AC10" s="1">
        <f t="shared" si="5"/>
        <v>473.50625000000002</v>
      </c>
      <c r="AD10" s="1">
        <f t="shared" ref="AD10:AU10" si="16">+AC10*0.9</f>
        <v>426.15562500000004</v>
      </c>
      <c r="AE10" s="1">
        <f t="shared" si="16"/>
        <v>383.54006250000003</v>
      </c>
      <c r="AF10" s="1">
        <f t="shared" si="16"/>
        <v>345.18605625000004</v>
      </c>
      <c r="AG10" s="1">
        <f t="shared" si="16"/>
        <v>310.66745062500001</v>
      </c>
      <c r="AH10" s="1">
        <f t="shared" si="16"/>
        <v>279.60070556250002</v>
      </c>
      <c r="AI10" s="1">
        <f t="shared" si="16"/>
        <v>251.64063500625002</v>
      </c>
      <c r="AJ10" s="1">
        <f t="shared" si="16"/>
        <v>226.47657150562503</v>
      </c>
      <c r="AK10" s="1">
        <f t="shared" si="16"/>
        <v>203.82891435506252</v>
      </c>
      <c r="AL10" s="1">
        <f t="shared" si="16"/>
        <v>183.44602291955627</v>
      </c>
      <c r="AM10" s="1">
        <f t="shared" si="16"/>
        <v>165.10142062760065</v>
      </c>
      <c r="AN10" s="1">
        <f t="shared" si="16"/>
        <v>148.59127856484059</v>
      </c>
      <c r="AO10" s="1">
        <f t="shared" si="16"/>
        <v>133.73215070835653</v>
      </c>
      <c r="AP10" s="1">
        <f t="shared" si="16"/>
        <v>120.35893563752087</v>
      </c>
      <c r="AQ10" s="1">
        <f t="shared" si="16"/>
        <v>108.32304207376879</v>
      </c>
      <c r="AR10" s="1">
        <f t="shared" si="16"/>
        <v>97.49073786639191</v>
      </c>
      <c r="AS10" s="1">
        <f t="shared" si="16"/>
        <v>87.741664079752724</v>
      </c>
      <c r="AT10" s="1">
        <f t="shared" si="16"/>
        <v>78.967497671777451</v>
      </c>
      <c r="AU10" s="1">
        <f t="shared" si="16"/>
        <v>71.070747904599713</v>
      </c>
    </row>
    <row r="11" spans="1:74" s="1" customFormat="1" x14ac:dyDescent="0.2">
      <c r="B11" s="1" t="s">
        <v>56</v>
      </c>
      <c r="C11" s="12"/>
      <c r="D11" s="12"/>
      <c r="E11" s="12">
        <v>56.2</v>
      </c>
      <c r="F11" s="12">
        <v>53.7</v>
      </c>
      <c r="G11" s="12">
        <v>57.9</v>
      </c>
      <c r="H11" s="12">
        <v>55.6</v>
      </c>
      <c r="I11" s="12">
        <v>57.4</v>
      </c>
      <c r="J11" s="12">
        <v>62.5</v>
      </c>
      <c r="K11" s="12">
        <v>57.1</v>
      </c>
      <c r="L11" s="12">
        <v>57.6</v>
      </c>
      <c r="M11" s="12">
        <f t="shared" ref="M11:M12" si="17">AVERAGE(I11:L11)</f>
        <v>58.65</v>
      </c>
      <c r="N11" s="12">
        <f t="shared" si="15"/>
        <v>58.962499999999999</v>
      </c>
      <c r="AB11" s="1">
        <f t="shared" si="4"/>
        <v>233.4</v>
      </c>
      <c r="AC11" s="1">
        <f t="shared" si="5"/>
        <v>232.3125</v>
      </c>
      <c r="AD11" s="1">
        <f t="shared" ref="AD11:AU11" si="18">+AC11*0.9</f>
        <v>209.08125000000001</v>
      </c>
      <c r="AE11" s="1">
        <f t="shared" si="18"/>
        <v>188.17312500000003</v>
      </c>
      <c r="AF11" s="1">
        <f t="shared" si="18"/>
        <v>169.35581250000004</v>
      </c>
      <c r="AG11" s="1">
        <f t="shared" si="18"/>
        <v>152.42023125000003</v>
      </c>
      <c r="AH11" s="1">
        <f t="shared" si="18"/>
        <v>137.17820812500003</v>
      </c>
      <c r="AI11" s="1">
        <f t="shared" si="18"/>
        <v>123.46038731250003</v>
      </c>
      <c r="AJ11" s="1">
        <f t="shared" si="18"/>
        <v>111.11434858125003</v>
      </c>
      <c r="AK11" s="1">
        <f t="shared" si="18"/>
        <v>100.00291372312503</v>
      </c>
      <c r="AL11" s="1">
        <f t="shared" si="18"/>
        <v>90.00262235081253</v>
      </c>
      <c r="AM11" s="1">
        <f t="shared" si="18"/>
        <v>81.002360115731278</v>
      </c>
      <c r="AN11" s="1">
        <f t="shared" si="18"/>
        <v>72.902124104158148</v>
      </c>
      <c r="AO11" s="1">
        <f t="shared" si="18"/>
        <v>65.611911693742329</v>
      </c>
      <c r="AP11" s="1">
        <f t="shared" si="18"/>
        <v>59.050720524368096</v>
      </c>
      <c r="AQ11" s="1">
        <f t="shared" si="18"/>
        <v>53.145648471931288</v>
      </c>
      <c r="AR11" s="1">
        <f t="shared" si="18"/>
        <v>47.831083624738163</v>
      </c>
      <c r="AS11" s="1">
        <f t="shared" si="18"/>
        <v>43.047975262264345</v>
      </c>
      <c r="AT11" s="1">
        <f t="shared" si="18"/>
        <v>38.743177736037914</v>
      </c>
      <c r="AU11" s="1">
        <f t="shared" si="18"/>
        <v>34.868859962434122</v>
      </c>
    </row>
    <row r="12" spans="1:74" s="1" customFormat="1" x14ac:dyDescent="0.2">
      <c r="B12" s="1" t="s">
        <v>57</v>
      </c>
      <c r="C12" s="12"/>
      <c r="D12" s="12"/>
      <c r="E12" s="12">
        <v>27.5</v>
      </c>
      <c r="F12" s="12">
        <v>26.1</v>
      </c>
      <c r="G12" s="12">
        <v>25.5</v>
      </c>
      <c r="H12" s="12">
        <v>25.3</v>
      </c>
      <c r="I12" s="12">
        <v>24.6</v>
      </c>
      <c r="J12" s="12">
        <v>24</v>
      </c>
      <c r="K12" s="12">
        <v>22.5</v>
      </c>
      <c r="L12" s="12">
        <v>20.5</v>
      </c>
      <c r="M12" s="12">
        <f t="shared" si="17"/>
        <v>22.9</v>
      </c>
      <c r="N12" s="12">
        <f t="shared" si="15"/>
        <v>22.475000000000001</v>
      </c>
      <c r="AB12" s="1">
        <f t="shared" si="4"/>
        <v>99.4</v>
      </c>
      <c r="AC12" s="1">
        <f t="shared" si="5"/>
        <v>88.375</v>
      </c>
      <c r="AD12" s="1">
        <f t="shared" ref="AD12:AU12" si="19">+AC12*0.9</f>
        <v>79.537500000000009</v>
      </c>
      <c r="AE12" s="1">
        <f t="shared" si="19"/>
        <v>71.583750000000009</v>
      </c>
      <c r="AF12" s="1">
        <f t="shared" si="19"/>
        <v>64.425375000000017</v>
      </c>
      <c r="AG12" s="1">
        <f t="shared" si="19"/>
        <v>57.982837500000016</v>
      </c>
      <c r="AH12" s="1">
        <f t="shared" si="19"/>
        <v>52.184553750000013</v>
      </c>
      <c r="AI12" s="1">
        <f t="shared" si="19"/>
        <v>46.966098375000016</v>
      </c>
      <c r="AJ12" s="1">
        <f t="shared" si="19"/>
        <v>42.269488537500017</v>
      </c>
      <c r="AK12" s="1">
        <f t="shared" si="19"/>
        <v>38.042539683750014</v>
      </c>
      <c r="AL12" s="1">
        <f t="shared" si="19"/>
        <v>34.238285715375014</v>
      </c>
      <c r="AM12" s="1">
        <f t="shared" si="19"/>
        <v>30.814457143837512</v>
      </c>
      <c r="AN12" s="1">
        <f t="shared" si="19"/>
        <v>27.733011429453761</v>
      </c>
      <c r="AO12" s="1">
        <f t="shared" si="19"/>
        <v>24.959710286508386</v>
      </c>
      <c r="AP12" s="1">
        <f t="shared" si="19"/>
        <v>22.463739257857547</v>
      </c>
      <c r="AQ12" s="1">
        <f t="shared" si="19"/>
        <v>20.217365332071793</v>
      </c>
      <c r="AR12" s="1">
        <f t="shared" si="19"/>
        <v>18.195628798864615</v>
      </c>
      <c r="AS12" s="1">
        <f t="shared" si="19"/>
        <v>16.376065918978153</v>
      </c>
      <c r="AT12" s="1">
        <f t="shared" si="19"/>
        <v>14.738459327080339</v>
      </c>
      <c r="AU12" s="1">
        <f t="shared" si="19"/>
        <v>13.264613394372304</v>
      </c>
    </row>
    <row r="13" spans="1:74" s="1" customFormat="1" x14ac:dyDescent="0.2">
      <c r="B13" s="1" t="s">
        <v>58</v>
      </c>
      <c r="C13" s="12"/>
      <c r="D13" s="12"/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f>+L13+3</f>
        <v>3.5</v>
      </c>
      <c r="N13" s="12">
        <f>+M13+4</f>
        <v>7.5</v>
      </c>
      <c r="AB13" s="1">
        <f t="shared" si="4"/>
        <v>0</v>
      </c>
      <c r="AC13" s="1">
        <f t="shared" si="5"/>
        <v>11.5</v>
      </c>
      <c r="AD13" s="1">
        <v>50</v>
      </c>
      <c r="AE13" s="1">
        <v>100</v>
      </c>
      <c r="AF13" s="1">
        <f t="shared" ref="AF13:AU13" si="20">+AE13*0.9</f>
        <v>90</v>
      </c>
      <c r="AG13" s="1">
        <f t="shared" si="20"/>
        <v>81</v>
      </c>
      <c r="AH13" s="1">
        <f t="shared" si="20"/>
        <v>72.900000000000006</v>
      </c>
      <c r="AI13" s="1">
        <f t="shared" si="20"/>
        <v>65.610000000000014</v>
      </c>
      <c r="AJ13" s="1">
        <f t="shared" si="20"/>
        <v>59.049000000000014</v>
      </c>
      <c r="AK13" s="1">
        <f t="shared" si="20"/>
        <v>53.144100000000016</v>
      </c>
      <c r="AL13" s="1">
        <f t="shared" si="20"/>
        <v>47.829690000000014</v>
      </c>
      <c r="AM13" s="1">
        <f t="shared" si="20"/>
        <v>43.046721000000012</v>
      </c>
      <c r="AN13" s="1">
        <f t="shared" si="20"/>
        <v>38.742048900000015</v>
      </c>
      <c r="AO13" s="1">
        <f t="shared" si="20"/>
        <v>34.867844010000013</v>
      </c>
      <c r="AP13" s="1">
        <f t="shared" si="20"/>
        <v>31.381059609000012</v>
      </c>
      <c r="AQ13" s="1">
        <f t="shared" si="20"/>
        <v>28.242953648100013</v>
      </c>
      <c r="AR13" s="1">
        <f t="shared" si="20"/>
        <v>25.418658283290011</v>
      </c>
      <c r="AS13" s="1">
        <f t="shared" si="20"/>
        <v>22.876792454961009</v>
      </c>
      <c r="AT13" s="1">
        <f t="shared" si="20"/>
        <v>20.589113209464909</v>
      </c>
      <c r="AU13" s="1">
        <f t="shared" si="20"/>
        <v>18.53020188851842</v>
      </c>
    </row>
    <row r="14" spans="1:74" s="1" customFormat="1" x14ac:dyDescent="0.2">
      <c r="B14" s="1" t="s">
        <v>59</v>
      </c>
      <c r="C14" s="12"/>
      <c r="D14" s="12"/>
      <c r="E14" s="12">
        <v>3.1</v>
      </c>
      <c r="F14" s="12">
        <v>3.1</v>
      </c>
      <c r="G14" s="12">
        <v>2.8</v>
      </c>
      <c r="H14" s="12">
        <v>3.1</v>
      </c>
      <c r="I14" s="12">
        <v>2.5</v>
      </c>
      <c r="J14" s="12">
        <v>2.7</v>
      </c>
      <c r="K14" s="12">
        <v>2.2000000000000002</v>
      </c>
      <c r="L14" s="12">
        <v>2.7</v>
      </c>
      <c r="M14" s="12">
        <f>+L14</f>
        <v>2.7</v>
      </c>
      <c r="N14" s="12">
        <f t="shared" ref="N14:N16" si="21">+M14</f>
        <v>2.7</v>
      </c>
      <c r="AB14" s="1">
        <f t="shared" si="4"/>
        <v>11.100000000000001</v>
      </c>
      <c r="AC14" s="1">
        <f t="shared" si="5"/>
        <v>10.3</v>
      </c>
      <c r="AD14" s="1">
        <f>+AC14*0.9</f>
        <v>9.2700000000000014</v>
      </c>
      <c r="AE14" s="1">
        <f t="shared" ref="AE14:AU15" si="22">+AD14*0.9</f>
        <v>8.3430000000000017</v>
      </c>
      <c r="AF14" s="1">
        <f t="shared" si="22"/>
        <v>7.5087000000000019</v>
      </c>
      <c r="AG14" s="1">
        <f t="shared" si="22"/>
        <v>6.757830000000002</v>
      </c>
      <c r="AH14" s="1">
        <f t="shared" si="22"/>
        <v>6.082047000000002</v>
      </c>
      <c r="AI14" s="1">
        <f t="shared" si="22"/>
        <v>5.473842300000002</v>
      </c>
      <c r="AJ14" s="1">
        <f t="shared" si="22"/>
        <v>4.9264580700000016</v>
      </c>
      <c r="AK14" s="1">
        <f t="shared" si="22"/>
        <v>4.4338122630000019</v>
      </c>
      <c r="AL14" s="1">
        <f t="shared" si="22"/>
        <v>3.9904310367000018</v>
      </c>
      <c r="AM14" s="1">
        <f t="shared" si="22"/>
        <v>3.5913879330300018</v>
      </c>
      <c r="AN14" s="1">
        <f t="shared" si="22"/>
        <v>3.2322491397270019</v>
      </c>
      <c r="AO14" s="1">
        <f t="shared" si="22"/>
        <v>2.909024225754302</v>
      </c>
      <c r="AP14" s="1">
        <f t="shared" si="22"/>
        <v>2.6181218031788718</v>
      </c>
      <c r="AQ14" s="1">
        <f t="shared" si="22"/>
        <v>2.3563096228609846</v>
      </c>
      <c r="AR14" s="1">
        <f t="shared" si="22"/>
        <v>2.1206786605748862</v>
      </c>
      <c r="AS14" s="1">
        <f t="shared" si="22"/>
        <v>1.9086107945173976</v>
      </c>
      <c r="AT14" s="1">
        <f t="shared" si="22"/>
        <v>1.7177497150656578</v>
      </c>
      <c r="AU14" s="1">
        <f t="shared" si="22"/>
        <v>1.545974743559092</v>
      </c>
    </row>
    <row r="15" spans="1:74" s="1" customFormat="1" x14ac:dyDescent="0.2">
      <c r="B15" s="1" t="s">
        <v>82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AD15" s="1">
        <v>1500</v>
      </c>
      <c r="AE15" s="1">
        <v>4000</v>
      </c>
      <c r="AF15" s="1">
        <v>6000</v>
      </c>
      <c r="AG15" s="1">
        <v>8000</v>
      </c>
      <c r="AH15" s="1">
        <f>+AG15*1.05</f>
        <v>8400</v>
      </c>
      <c r="AI15" s="1">
        <f t="shared" ref="AI15:AU15" si="23">+AH15*1.05</f>
        <v>8820</v>
      </c>
      <c r="AJ15" s="1">
        <f t="shared" si="23"/>
        <v>9261</v>
      </c>
      <c r="AK15" s="1">
        <f>+AJ15*1.02</f>
        <v>9446.2199999999993</v>
      </c>
      <c r="AL15" s="1">
        <f t="shared" ref="AL15:AU15" si="24">+AK15*1.02</f>
        <v>9635.1443999999992</v>
      </c>
      <c r="AM15" s="1">
        <f t="shared" si="24"/>
        <v>9827.847287999999</v>
      </c>
      <c r="AN15" s="1">
        <f t="shared" si="24"/>
        <v>10024.404233759999</v>
      </c>
      <c r="AO15" s="1">
        <f t="shared" si="24"/>
        <v>10224.892318435199</v>
      </c>
      <c r="AP15" s="1">
        <f t="shared" si="24"/>
        <v>10429.390164803903</v>
      </c>
      <c r="AQ15" s="1">
        <f t="shared" si="24"/>
        <v>10637.977968099982</v>
      </c>
      <c r="AR15" s="1">
        <f t="shared" si="24"/>
        <v>10850.737527461981</v>
      </c>
      <c r="AS15" s="1">
        <f t="shared" si="24"/>
        <v>11067.752278011221</v>
      </c>
      <c r="AT15" s="1">
        <f t="shared" si="24"/>
        <v>11289.107323571447</v>
      </c>
      <c r="AU15" s="1">
        <f t="shared" si="24"/>
        <v>11514.889470042875</v>
      </c>
    </row>
    <row r="16" spans="1:74" s="1" customFormat="1" x14ac:dyDescent="0.2">
      <c r="B16" s="1" t="s">
        <v>60</v>
      </c>
      <c r="C16" s="12"/>
      <c r="D16" s="12"/>
      <c r="E16" s="12">
        <v>0</v>
      </c>
      <c r="F16" s="12">
        <v>0</v>
      </c>
      <c r="G16" s="12">
        <v>0</v>
      </c>
      <c r="H16" s="12">
        <v>1.6</v>
      </c>
      <c r="I16" s="12">
        <v>0.3</v>
      </c>
      <c r="J16" s="12">
        <v>1</v>
      </c>
      <c r="K16" s="12">
        <v>2.8</v>
      </c>
      <c r="L16" s="12">
        <v>0.1</v>
      </c>
      <c r="M16" s="12">
        <f>+L16</f>
        <v>0.1</v>
      </c>
      <c r="N16" s="12">
        <f t="shared" si="21"/>
        <v>0.1</v>
      </c>
      <c r="AB16" s="1">
        <f t="shared" si="4"/>
        <v>2.9000000000000004</v>
      </c>
      <c r="AC16" s="1">
        <f t="shared" si="5"/>
        <v>3.1</v>
      </c>
      <c r="AD16" s="1">
        <f t="shared" ref="AD16:AU16" si="25">+AC16*0.9</f>
        <v>2.79</v>
      </c>
      <c r="AE16" s="1">
        <f t="shared" si="25"/>
        <v>2.5110000000000001</v>
      </c>
      <c r="AF16" s="1">
        <f t="shared" si="25"/>
        <v>2.2599</v>
      </c>
      <c r="AG16" s="1">
        <f t="shared" si="25"/>
        <v>2.0339100000000001</v>
      </c>
      <c r="AH16" s="1">
        <f t="shared" si="25"/>
        <v>1.8305190000000002</v>
      </c>
      <c r="AI16" s="1">
        <f t="shared" si="25"/>
        <v>1.6474671000000003</v>
      </c>
      <c r="AJ16" s="1">
        <f t="shared" si="25"/>
        <v>1.4827203900000003</v>
      </c>
      <c r="AK16" s="1">
        <f t="shared" si="25"/>
        <v>1.3344483510000003</v>
      </c>
      <c r="AL16" s="1">
        <f t="shared" si="25"/>
        <v>1.2010035159000003</v>
      </c>
      <c r="AM16" s="1">
        <f t="shared" si="25"/>
        <v>1.0809031643100002</v>
      </c>
      <c r="AN16" s="1">
        <f t="shared" si="25"/>
        <v>0.97281284787900024</v>
      </c>
      <c r="AO16" s="1">
        <f t="shared" si="25"/>
        <v>0.87553156309110025</v>
      </c>
      <c r="AP16" s="1">
        <f t="shared" si="25"/>
        <v>0.78797840678199027</v>
      </c>
      <c r="AQ16" s="1">
        <f t="shared" si="25"/>
        <v>0.70918056610379121</v>
      </c>
      <c r="AR16" s="1">
        <f t="shared" si="25"/>
        <v>0.63826250949341212</v>
      </c>
      <c r="AS16" s="1">
        <f t="shared" si="25"/>
        <v>0.57443625854407088</v>
      </c>
      <c r="AT16" s="1">
        <f t="shared" si="25"/>
        <v>0.51699263268966378</v>
      </c>
      <c r="AU16" s="1">
        <f t="shared" si="25"/>
        <v>0.46529336942069743</v>
      </c>
    </row>
    <row r="17" spans="2:47" s="1" customFormat="1" x14ac:dyDescent="0.2">
      <c r="B17" s="1" t="s">
        <v>61</v>
      </c>
      <c r="C17" s="12"/>
      <c r="D17" s="12"/>
      <c r="E17" s="12">
        <f t="shared" ref="E17:G17" si="26">SUM(E3:E16)</f>
        <v>2690.2999999999993</v>
      </c>
      <c r="F17" s="12">
        <f t="shared" si="26"/>
        <v>2301.5999999999995</v>
      </c>
      <c r="G17" s="12">
        <f t="shared" si="26"/>
        <v>2211.7000000000003</v>
      </c>
      <c r="H17" s="12">
        <f>SUM(H3:H16)</f>
        <v>2235.9999999999995</v>
      </c>
      <c r="I17" s="12">
        <f t="shared" ref="I17:L17" si="27">SUM(I3:I16)</f>
        <v>2205.7000000000003</v>
      </c>
      <c r="J17" s="12">
        <f t="shared" si="27"/>
        <v>2193.7999999999997</v>
      </c>
      <c r="K17" s="12">
        <f t="shared" si="27"/>
        <v>2066.3000000000002</v>
      </c>
      <c r="L17" s="12">
        <f t="shared" si="27"/>
        <v>2054.7999999999997</v>
      </c>
      <c r="M17" s="12">
        <f t="shared" ref="M17" si="28">SUM(M3:M16)</f>
        <v>2097.6289999999999</v>
      </c>
      <c r="N17" s="12">
        <f t="shared" ref="N17" si="29">SUM(N3:N16)</f>
        <v>2072.95975</v>
      </c>
      <c r="AB17" s="1">
        <f>SUM(AB3:AB16)</f>
        <v>8847.1999999999989</v>
      </c>
      <c r="AC17" s="1">
        <f t="shared" ref="AC17:AU17" si="30">SUM(AC3:AC16)</f>
        <v>8291.6887499999993</v>
      </c>
      <c r="AD17" s="1">
        <f>SUM(AD3:AD16)</f>
        <v>9206.2570250000026</v>
      </c>
      <c r="AE17" s="1">
        <f t="shared" si="30"/>
        <v>11238.378644</v>
      </c>
      <c r="AF17" s="1">
        <f t="shared" si="30"/>
        <v>12457.553034275001</v>
      </c>
      <c r="AG17" s="1">
        <f t="shared" si="30"/>
        <v>13751.879308071251</v>
      </c>
      <c r="AH17" s="1">
        <f t="shared" si="30"/>
        <v>13548.519156076811</v>
      </c>
      <c r="AI17" s="1">
        <f t="shared" si="30"/>
        <v>13452.121735472589</v>
      </c>
      <c r="AJ17" s="1">
        <f t="shared" si="30"/>
        <v>13450.818154843579</v>
      </c>
      <c r="AK17" s="1">
        <f t="shared" si="30"/>
        <v>13257.019602640732</v>
      </c>
      <c r="AL17" s="1">
        <f t="shared" si="30"/>
        <v>12668.551356378264</v>
      </c>
      <c r="AM17" s="1">
        <f t="shared" si="30"/>
        <v>12471.169979951885</v>
      </c>
      <c r="AN17" s="1">
        <f t="shared" si="30"/>
        <v>12333.969884533082</v>
      </c>
      <c r="AO17" s="1">
        <f t="shared" si="30"/>
        <v>12248.105142757209</v>
      </c>
      <c r="AP17" s="1">
        <f t="shared" si="30"/>
        <v>12206.247256717688</v>
      </c>
      <c r="AQ17" s="1">
        <f t="shared" si="30"/>
        <v>12202.314475620853</v>
      </c>
      <c r="AR17" s="1">
        <f t="shared" si="30"/>
        <v>12231.251150180433</v>
      </c>
      <c r="AS17" s="1">
        <f t="shared" si="30"/>
        <v>12288.847657257902</v>
      </c>
      <c r="AT17" s="1">
        <f t="shared" si="30"/>
        <v>12371.593247921581</v>
      </c>
      <c r="AU17" s="1">
        <f t="shared" si="30"/>
        <v>12476.555638131438</v>
      </c>
    </row>
    <row r="18" spans="2:47" s="1" customFormat="1" x14ac:dyDescent="0.2">
      <c r="B18" s="1" t="s">
        <v>78</v>
      </c>
      <c r="C18" s="12"/>
      <c r="D18" s="12"/>
      <c r="E18" s="12">
        <v>272.39999999999998</v>
      </c>
      <c r="F18" s="12">
        <v>202.4</v>
      </c>
      <c r="G18" s="12">
        <v>209.3</v>
      </c>
      <c r="H18" s="12"/>
      <c r="I18" s="12">
        <v>264.3</v>
      </c>
      <c r="J18" s="12">
        <v>261.2</v>
      </c>
      <c r="K18" s="12">
        <v>252.3</v>
      </c>
      <c r="L18" s="12"/>
      <c r="M18" s="12"/>
      <c r="N18" s="12"/>
      <c r="AB18" s="1">
        <f t="shared" si="4"/>
        <v>734.8</v>
      </c>
      <c r="AC18" s="1">
        <f>SUM(K18:N18)</f>
        <v>252.3</v>
      </c>
      <c r="AD18" s="1">
        <f>+AC18*0.9</f>
        <v>227.07000000000002</v>
      </c>
      <c r="AE18" s="1">
        <f t="shared" ref="AE18:AU18" si="31">+AD18*0.9</f>
        <v>204.36300000000003</v>
      </c>
      <c r="AF18" s="1">
        <f t="shared" si="31"/>
        <v>183.92670000000004</v>
      </c>
      <c r="AG18" s="1">
        <f t="shared" si="31"/>
        <v>165.53403000000003</v>
      </c>
      <c r="AH18" s="1">
        <f t="shared" si="31"/>
        <v>148.98062700000003</v>
      </c>
      <c r="AI18" s="1">
        <f t="shared" si="31"/>
        <v>134.08256430000003</v>
      </c>
      <c r="AJ18" s="1">
        <f t="shared" si="31"/>
        <v>120.67430787000004</v>
      </c>
      <c r="AK18" s="1">
        <f t="shared" si="31"/>
        <v>108.60687708300003</v>
      </c>
      <c r="AL18" s="1">
        <f t="shared" si="31"/>
        <v>97.746189374700023</v>
      </c>
      <c r="AM18" s="1">
        <f t="shared" si="31"/>
        <v>87.971570437230028</v>
      </c>
      <c r="AN18" s="1">
        <f t="shared" si="31"/>
        <v>79.174413393507024</v>
      </c>
      <c r="AO18" s="1">
        <f t="shared" si="31"/>
        <v>71.256972054156321</v>
      </c>
      <c r="AP18" s="1">
        <f t="shared" si="31"/>
        <v>64.131274848740688</v>
      </c>
      <c r="AQ18" s="1">
        <f t="shared" si="31"/>
        <v>57.71814736386662</v>
      </c>
      <c r="AR18" s="1">
        <f t="shared" si="31"/>
        <v>51.946332627479961</v>
      </c>
      <c r="AS18" s="1">
        <f t="shared" si="31"/>
        <v>46.751699364731969</v>
      </c>
      <c r="AT18" s="1">
        <f t="shared" si="31"/>
        <v>42.076529428258773</v>
      </c>
      <c r="AU18" s="1">
        <f t="shared" si="31"/>
        <v>37.868876485432899</v>
      </c>
    </row>
    <row r="19" spans="2:47" s="1" customFormat="1" x14ac:dyDescent="0.2">
      <c r="B19" s="1" t="s">
        <v>79</v>
      </c>
      <c r="C19" s="12"/>
      <c r="D19" s="12"/>
      <c r="E19" s="12">
        <v>287.7</v>
      </c>
      <c r="F19" s="12">
        <v>216.6</v>
      </c>
      <c r="G19" s="12">
        <v>179.7</v>
      </c>
      <c r="H19" s="12"/>
      <c r="I19" s="12">
        <v>151.1</v>
      </c>
      <c r="J19" s="12">
        <v>152.9</v>
      </c>
      <c r="K19" s="12">
        <v>147.1</v>
      </c>
      <c r="L19" s="12"/>
      <c r="M19" s="12"/>
      <c r="N19" s="12"/>
      <c r="AB19" s="1">
        <f t="shared" si="4"/>
        <v>483.69999999999993</v>
      </c>
      <c r="AC19" s="1">
        <f t="shared" si="5"/>
        <v>147.1</v>
      </c>
      <c r="AD19" s="1">
        <f t="shared" ref="AD19:AU19" si="32">+AC19*0.9</f>
        <v>132.38999999999999</v>
      </c>
      <c r="AE19" s="1">
        <f t="shared" si="32"/>
        <v>119.151</v>
      </c>
      <c r="AF19" s="1">
        <f t="shared" si="32"/>
        <v>107.2359</v>
      </c>
      <c r="AG19" s="1">
        <f t="shared" si="32"/>
        <v>96.512309999999999</v>
      </c>
      <c r="AH19" s="1">
        <f t="shared" si="32"/>
        <v>86.861079000000004</v>
      </c>
      <c r="AI19" s="1">
        <f t="shared" si="32"/>
        <v>78.174971100000008</v>
      </c>
      <c r="AJ19" s="1">
        <f t="shared" si="32"/>
        <v>70.357473990000003</v>
      </c>
      <c r="AK19" s="1">
        <f t="shared" si="32"/>
        <v>63.321726591000001</v>
      </c>
      <c r="AL19" s="1">
        <f t="shared" si="32"/>
        <v>56.989553931900005</v>
      </c>
      <c r="AM19" s="1">
        <f t="shared" si="32"/>
        <v>51.290598538710007</v>
      </c>
      <c r="AN19" s="1">
        <f t="shared" si="32"/>
        <v>46.161538684839009</v>
      </c>
      <c r="AO19" s="1">
        <f t="shared" si="32"/>
        <v>41.54538481635511</v>
      </c>
      <c r="AP19" s="1">
        <f t="shared" si="32"/>
        <v>37.390846334719598</v>
      </c>
      <c r="AQ19" s="1">
        <f t="shared" si="32"/>
        <v>33.651761701247636</v>
      </c>
      <c r="AR19" s="1">
        <f t="shared" si="32"/>
        <v>30.286585531122874</v>
      </c>
      <c r="AS19" s="1">
        <f t="shared" si="32"/>
        <v>27.257926978010588</v>
      </c>
      <c r="AT19" s="1">
        <f t="shared" si="32"/>
        <v>24.532134280209529</v>
      </c>
      <c r="AU19" s="1">
        <f t="shared" si="32"/>
        <v>22.078920852188578</v>
      </c>
    </row>
    <row r="20" spans="2:47" s="1" customFormat="1" x14ac:dyDescent="0.2">
      <c r="B20" s="1" t="s">
        <v>62</v>
      </c>
      <c r="C20" s="12"/>
      <c r="D20" s="12"/>
      <c r="E20" s="12"/>
      <c r="F20" s="12"/>
      <c r="G20" s="12"/>
      <c r="H20" s="12">
        <v>440</v>
      </c>
      <c r="I20" s="12"/>
      <c r="J20" s="12"/>
      <c r="K20" s="12"/>
      <c r="L20" s="12">
        <v>436.3</v>
      </c>
      <c r="M20" s="12">
        <f>+L20</f>
        <v>436.3</v>
      </c>
      <c r="N20" s="12">
        <f>+M20</f>
        <v>436.3</v>
      </c>
      <c r="AB20" s="1">
        <f t="shared" si="4"/>
        <v>440</v>
      </c>
      <c r="AC20" s="1">
        <f t="shared" si="5"/>
        <v>1308.9000000000001</v>
      </c>
      <c r="AD20" s="1">
        <f t="shared" ref="AD20:AU20" si="33">+AC20*0.9</f>
        <v>1178.0100000000002</v>
      </c>
      <c r="AE20" s="1">
        <f t="shared" si="33"/>
        <v>1060.2090000000003</v>
      </c>
      <c r="AF20" s="1">
        <f t="shared" si="33"/>
        <v>954.1881000000003</v>
      </c>
      <c r="AG20" s="1">
        <f t="shared" si="33"/>
        <v>858.7692900000003</v>
      </c>
      <c r="AH20" s="1">
        <f t="shared" si="33"/>
        <v>772.89236100000028</v>
      </c>
      <c r="AI20" s="1">
        <f t="shared" si="33"/>
        <v>695.60312490000024</v>
      </c>
      <c r="AJ20" s="1">
        <f t="shared" si="33"/>
        <v>626.04281241000024</v>
      </c>
      <c r="AK20" s="1">
        <f t="shared" si="33"/>
        <v>563.43853116900027</v>
      </c>
      <c r="AL20" s="1">
        <f t="shared" si="33"/>
        <v>507.09467805210028</v>
      </c>
      <c r="AM20" s="1">
        <f t="shared" si="33"/>
        <v>456.38521024689027</v>
      </c>
      <c r="AN20" s="1">
        <f t="shared" si="33"/>
        <v>410.74668922220127</v>
      </c>
      <c r="AO20" s="1">
        <f t="shared" si="33"/>
        <v>369.67202029998117</v>
      </c>
      <c r="AP20" s="1">
        <f t="shared" si="33"/>
        <v>332.70481826998304</v>
      </c>
      <c r="AQ20" s="1">
        <f t="shared" si="33"/>
        <v>299.43433644298472</v>
      </c>
      <c r="AR20" s="1">
        <f t="shared" si="33"/>
        <v>269.49090279868625</v>
      </c>
      <c r="AS20" s="1">
        <f t="shared" si="33"/>
        <v>242.54181251881764</v>
      </c>
      <c r="AT20" s="1">
        <f t="shared" si="33"/>
        <v>218.28763126693588</v>
      </c>
      <c r="AU20" s="1">
        <f t="shared" si="33"/>
        <v>196.45886814024229</v>
      </c>
    </row>
    <row r="21" spans="2:47" s="1" customFormat="1" x14ac:dyDescent="0.2">
      <c r="B21" s="1" t="s">
        <v>63</v>
      </c>
      <c r="C21" s="12"/>
      <c r="D21" s="12"/>
      <c r="E21" s="12">
        <v>125.7</v>
      </c>
      <c r="F21" s="12">
        <v>132</v>
      </c>
      <c r="G21" s="12">
        <v>93.3</v>
      </c>
      <c r="H21" s="12">
        <v>99</v>
      </c>
      <c r="I21" s="12">
        <v>157.80000000000001</v>
      </c>
      <c r="J21" s="12">
        <v>126.2</v>
      </c>
      <c r="K21" s="12">
        <v>66.099999999999994</v>
      </c>
      <c r="L21" s="12">
        <v>98</v>
      </c>
      <c r="M21" s="12">
        <f>+L21</f>
        <v>98</v>
      </c>
      <c r="N21" s="12">
        <f>+M21</f>
        <v>98</v>
      </c>
      <c r="AB21" s="1">
        <f t="shared" si="4"/>
        <v>476.3</v>
      </c>
      <c r="AC21" s="1">
        <f t="shared" si="5"/>
        <v>360.1</v>
      </c>
      <c r="AD21" s="1">
        <f t="shared" ref="AD21:AU21" si="34">+AC21*0.9</f>
        <v>324.09000000000003</v>
      </c>
      <c r="AE21" s="1">
        <f t="shared" si="34"/>
        <v>291.68100000000004</v>
      </c>
      <c r="AF21" s="1">
        <f t="shared" si="34"/>
        <v>262.51290000000006</v>
      </c>
      <c r="AG21" s="1">
        <f t="shared" si="34"/>
        <v>236.26161000000005</v>
      </c>
      <c r="AH21" s="1">
        <f t="shared" si="34"/>
        <v>212.63544900000005</v>
      </c>
      <c r="AI21" s="1">
        <f t="shared" si="34"/>
        <v>191.37190410000005</v>
      </c>
      <c r="AJ21" s="1">
        <f t="shared" si="34"/>
        <v>172.23471369000006</v>
      </c>
      <c r="AK21" s="1">
        <f t="shared" si="34"/>
        <v>155.01124232100005</v>
      </c>
      <c r="AL21" s="1">
        <f t="shared" si="34"/>
        <v>139.51011808890004</v>
      </c>
      <c r="AM21" s="1">
        <f t="shared" si="34"/>
        <v>125.55910628001004</v>
      </c>
      <c r="AN21" s="1">
        <f t="shared" si="34"/>
        <v>113.00319565200904</v>
      </c>
      <c r="AO21" s="1">
        <f t="shared" si="34"/>
        <v>101.70287608680813</v>
      </c>
      <c r="AP21" s="1">
        <f t="shared" si="34"/>
        <v>91.532588478127323</v>
      </c>
      <c r="AQ21" s="1">
        <f t="shared" si="34"/>
        <v>82.379329630314587</v>
      </c>
      <c r="AR21" s="1">
        <f t="shared" si="34"/>
        <v>74.141396667283132</v>
      </c>
      <c r="AS21" s="1">
        <f t="shared" si="34"/>
        <v>66.727257000554815</v>
      </c>
      <c r="AT21" s="1">
        <f t="shared" si="34"/>
        <v>60.054531300499335</v>
      </c>
      <c r="AU21" s="1">
        <f t="shared" si="34"/>
        <v>54.049078170449405</v>
      </c>
    </row>
    <row r="22" spans="2:47" s="13" customFormat="1" x14ac:dyDescent="0.2">
      <c r="B22" s="13" t="s">
        <v>38</v>
      </c>
      <c r="C22" s="14"/>
      <c r="D22" s="14"/>
      <c r="E22" s="14">
        <f>SUM(E17:E21)</f>
        <v>3376.099999999999</v>
      </c>
      <c r="F22" s="14">
        <f>SUM(F17:F21)</f>
        <v>2852.5999999999995</v>
      </c>
      <c r="G22" s="14">
        <f>SUM(G17:G21)</f>
        <v>2694.0000000000005</v>
      </c>
      <c r="H22" s="14">
        <f>SUM(H17:H21)</f>
        <v>2774.9999999999995</v>
      </c>
      <c r="I22" s="14">
        <f>SUM(I17:I21)</f>
        <v>2778.9000000000005</v>
      </c>
      <c r="J22" s="14">
        <f>SUM(J17:J21)</f>
        <v>2734.0999999999995</v>
      </c>
      <c r="K22" s="14">
        <f>SUM(K17:K21)</f>
        <v>2531.8000000000002</v>
      </c>
      <c r="L22" s="14">
        <f>SUM(L17:L21)</f>
        <v>2589.1</v>
      </c>
      <c r="M22" s="14">
        <f t="shared" ref="M22:N22" si="35">SUM(M17:M21)</f>
        <v>2631.9290000000001</v>
      </c>
      <c r="N22" s="14">
        <f t="shared" si="35"/>
        <v>2607.2597500000002</v>
      </c>
      <c r="AB22" s="14">
        <f t="shared" ref="AB22:AC22" si="36">SUM(AB17:AB21)</f>
        <v>10981.999999999998</v>
      </c>
      <c r="AC22" s="14">
        <f>SUM(AC17:AC21)</f>
        <v>10360.088749999999</v>
      </c>
      <c r="AD22" s="14">
        <f t="shared" ref="AD22:AU22" si="37">SUM(AD17:AD21)</f>
        <v>11067.817025000002</v>
      </c>
      <c r="AE22" s="14">
        <f t="shared" si="37"/>
        <v>12913.782644000001</v>
      </c>
      <c r="AF22" s="14">
        <f t="shared" si="37"/>
        <v>13965.416634275001</v>
      </c>
      <c r="AG22" s="14">
        <f t="shared" si="37"/>
        <v>15108.956548071252</v>
      </c>
      <c r="AH22" s="14">
        <f t="shared" si="37"/>
        <v>14769.888672076811</v>
      </c>
      <c r="AI22" s="14">
        <f t="shared" si="37"/>
        <v>14551.35429987259</v>
      </c>
      <c r="AJ22" s="14">
        <f t="shared" si="37"/>
        <v>14440.127462803579</v>
      </c>
      <c r="AK22" s="14">
        <f t="shared" si="37"/>
        <v>14147.397979804733</v>
      </c>
      <c r="AL22" s="14">
        <f t="shared" si="37"/>
        <v>13469.891895825866</v>
      </c>
      <c r="AM22" s="14">
        <f t="shared" si="37"/>
        <v>13192.376465454725</v>
      </c>
      <c r="AN22" s="14">
        <f t="shared" si="37"/>
        <v>12983.055721485638</v>
      </c>
      <c r="AO22" s="14">
        <f t="shared" si="37"/>
        <v>12832.282396014509</v>
      </c>
      <c r="AP22" s="14">
        <f t="shared" si="37"/>
        <v>12732.006784649258</v>
      </c>
      <c r="AQ22" s="14">
        <f t="shared" si="37"/>
        <v>12675.498050759265</v>
      </c>
      <c r="AR22" s="14">
        <f t="shared" si="37"/>
        <v>12657.116367805005</v>
      </c>
      <c r="AS22" s="14">
        <f t="shared" si="37"/>
        <v>12672.126353120017</v>
      </c>
      <c r="AT22" s="14">
        <f t="shared" si="37"/>
        <v>12716.544074197483</v>
      </c>
      <c r="AU22" s="14">
        <f t="shared" si="37"/>
        <v>12787.011381779752</v>
      </c>
    </row>
    <row r="23" spans="2:47" s="1" customFormat="1" x14ac:dyDescent="0.2">
      <c r="B23" s="1" t="s">
        <v>64</v>
      </c>
      <c r="C23" s="12"/>
      <c r="D23" s="12"/>
      <c r="E23" s="12">
        <v>449.1</v>
      </c>
      <c r="F23" s="12">
        <v>490.6</v>
      </c>
      <c r="G23" s="12">
        <v>478.1</v>
      </c>
      <c r="H23" s="12">
        <v>459.7</v>
      </c>
      <c r="I23" s="12">
        <v>511.8</v>
      </c>
      <c r="J23" s="12">
        <v>660.1</v>
      </c>
      <c r="K23" s="12">
        <v>753.9</v>
      </c>
      <c r="L23" s="12">
        <v>484</v>
      </c>
      <c r="M23" s="12">
        <f>+M22-M24</f>
        <v>500.06650999999965</v>
      </c>
      <c r="N23" s="12">
        <f t="shared" ref="N23" si="38">+N22-N24</f>
        <v>495.3793525000001</v>
      </c>
      <c r="AB23" s="1">
        <f t="shared" ref="AB23" si="39">SUM(G23:J23)</f>
        <v>2109.6999999999998</v>
      </c>
      <c r="AC23" s="1">
        <f t="shared" ref="AC23" si="40">SUM(K23:N23)</f>
        <v>2233.3458624999998</v>
      </c>
      <c r="AD23" s="1">
        <f>+AD22-AD24</f>
        <v>1992.2070645000003</v>
      </c>
      <c r="AE23" s="1">
        <f t="shared" ref="AE23:AU23" si="41">+AE22-AE24</f>
        <v>2324.4808759200005</v>
      </c>
      <c r="AF23" s="1">
        <f t="shared" si="41"/>
        <v>2513.7749941695001</v>
      </c>
      <c r="AG23" s="1">
        <f t="shared" si="41"/>
        <v>2719.6121786528256</v>
      </c>
      <c r="AH23" s="1">
        <f t="shared" si="41"/>
        <v>2658.579960973826</v>
      </c>
      <c r="AI23" s="1">
        <f t="shared" si="41"/>
        <v>2619.2437739770667</v>
      </c>
      <c r="AJ23" s="1">
        <f t="shared" si="41"/>
        <v>2599.222943304645</v>
      </c>
      <c r="AK23" s="1">
        <f t="shared" si="41"/>
        <v>2546.5316363648526</v>
      </c>
      <c r="AL23" s="1">
        <f t="shared" si="41"/>
        <v>2424.580541248657</v>
      </c>
      <c r="AM23" s="1">
        <f t="shared" si="41"/>
        <v>2374.6277637818512</v>
      </c>
      <c r="AN23" s="1">
        <f t="shared" si="41"/>
        <v>2336.9500298674157</v>
      </c>
      <c r="AO23" s="1">
        <f t="shared" si="41"/>
        <v>2309.8108312826116</v>
      </c>
      <c r="AP23" s="1">
        <f t="shared" si="41"/>
        <v>2291.7612212368676</v>
      </c>
      <c r="AQ23" s="1">
        <f t="shared" si="41"/>
        <v>2281.5896491366675</v>
      </c>
      <c r="AR23" s="1">
        <f t="shared" si="41"/>
        <v>2278.2809462049008</v>
      </c>
      <c r="AS23" s="1">
        <f t="shared" si="41"/>
        <v>2280.9827435616044</v>
      </c>
      <c r="AT23" s="1">
        <f t="shared" si="41"/>
        <v>2288.9779333555471</v>
      </c>
      <c r="AU23" s="1">
        <f t="shared" si="41"/>
        <v>2301.6620487203563</v>
      </c>
    </row>
    <row r="24" spans="2:47" s="1" customFormat="1" x14ac:dyDescent="0.2">
      <c r="B24" s="1" t="s">
        <v>65</v>
      </c>
      <c r="C24" s="12"/>
      <c r="D24" s="12"/>
      <c r="E24" s="12">
        <f>+E22-E23</f>
        <v>2926.9999999999991</v>
      </c>
      <c r="F24" s="12">
        <f>+F22-F23</f>
        <v>2361.9999999999995</v>
      </c>
      <c r="G24" s="12">
        <f>+G22-G23</f>
        <v>2215.9000000000005</v>
      </c>
      <c r="H24" s="12">
        <f>+H22-H23</f>
        <v>2315.2999999999997</v>
      </c>
      <c r="I24" s="12">
        <f>+I22-I23</f>
        <v>2267.1000000000004</v>
      </c>
      <c r="J24" s="12">
        <f>+J22-J23</f>
        <v>2073.9999999999995</v>
      </c>
      <c r="K24" s="12">
        <f>+K22-K23</f>
        <v>1777.9</v>
      </c>
      <c r="L24" s="12">
        <f>+L22-L23</f>
        <v>2105.1</v>
      </c>
      <c r="M24" s="12">
        <f>+M22*0.81</f>
        <v>2131.8624900000004</v>
      </c>
      <c r="N24" s="12">
        <f t="shared" ref="N24" si="42">+N22*0.81</f>
        <v>2111.8803975000001</v>
      </c>
      <c r="AB24" s="1">
        <f>+AB22-AB23</f>
        <v>8872.2999999999993</v>
      </c>
      <c r="AC24" s="1">
        <f>+AC22-AC23</f>
        <v>8126.7428874999987</v>
      </c>
      <c r="AD24" s="1">
        <f>+AD22*0.82</f>
        <v>9075.6099605000018</v>
      </c>
      <c r="AE24" s="1">
        <f t="shared" ref="AE24:AU24" si="43">+AE22*0.82</f>
        <v>10589.30176808</v>
      </c>
      <c r="AF24" s="1">
        <f t="shared" si="43"/>
        <v>11451.641640105501</v>
      </c>
      <c r="AG24" s="1">
        <f t="shared" si="43"/>
        <v>12389.344369418426</v>
      </c>
      <c r="AH24" s="1">
        <f t="shared" si="43"/>
        <v>12111.308711102985</v>
      </c>
      <c r="AI24" s="1">
        <f t="shared" si="43"/>
        <v>11932.110525895523</v>
      </c>
      <c r="AJ24" s="1">
        <f t="shared" si="43"/>
        <v>11840.904519498934</v>
      </c>
      <c r="AK24" s="1">
        <f t="shared" si="43"/>
        <v>11600.86634343988</v>
      </c>
      <c r="AL24" s="1">
        <f t="shared" si="43"/>
        <v>11045.311354577208</v>
      </c>
      <c r="AM24" s="1">
        <f t="shared" si="43"/>
        <v>10817.748701672874</v>
      </c>
      <c r="AN24" s="1">
        <f t="shared" si="43"/>
        <v>10646.105691618222</v>
      </c>
      <c r="AO24" s="1">
        <f t="shared" si="43"/>
        <v>10522.471564731897</v>
      </c>
      <c r="AP24" s="1">
        <f t="shared" si="43"/>
        <v>10440.245563412391</v>
      </c>
      <c r="AQ24" s="1">
        <f t="shared" si="43"/>
        <v>10393.908401622597</v>
      </c>
      <c r="AR24" s="1">
        <f t="shared" si="43"/>
        <v>10378.835421600104</v>
      </c>
      <c r="AS24" s="1">
        <f t="shared" si="43"/>
        <v>10391.143609558412</v>
      </c>
      <c r="AT24" s="1">
        <f t="shared" si="43"/>
        <v>10427.566140841936</v>
      </c>
      <c r="AU24" s="1">
        <f t="shared" si="43"/>
        <v>10485.349333059396</v>
      </c>
    </row>
    <row r="25" spans="2:47" s="1" customFormat="1" x14ac:dyDescent="0.2">
      <c r="B25" s="1" t="s">
        <v>66</v>
      </c>
      <c r="C25" s="12"/>
      <c r="D25" s="12"/>
      <c r="E25" s="12">
        <v>1140.9000000000001</v>
      </c>
      <c r="F25" s="12">
        <v>1726</v>
      </c>
      <c r="G25" s="12">
        <v>514.20000000000005</v>
      </c>
      <c r="H25" s="12">
        <v>585.1</v>
      </c>
      <c r="I25" s="12">
        <v>702.4</v>
      </c>
      <c r="J25" s="12">
        <v>699.5</v>
      </c>
      <c r="K25" s="12">
        <v>551.70000000000005</v>
      </c>
      <c r="L25" s="12">
        <v>528.6</v>
      </c>
      <c r="M25" s="12"/>
      <c r="N25" s="12"/>
      <c r="AB25" s="1">
        <f t="shared" ref="AB25:AB26" si="44">SUM(G25:J25)</f>
        <v>2501.2000000000003</v>
      </c>
      <c r="AC25" s="1">
        <f t="shared" ref="AC25:AC26" si="45">SUM(K25:N25)</f>
        <v>1080.3000000000002</v>
      </c>
    </row>
    <row r="26" spans="2:47" s="1" customFormat="1" x14ac:dyDescent="0.2">
      <c r="B26" s="1" t="s">
        <v>67</v>
      </c>
      <c r="C26" s="12"/>
      <c r="D26" s="12"/>
      <c r="E26" s="12">
        <v>573.1</v>
      </c>
      <c r="F26" s="12">
        <v>806.3</v>
      </c>
      <c r="G26" s="12">
        <v>595</v>
      </c>
      <c r="H26" s="12">
        <v>637.29999999999995</v>
      </c>
      <c r="I26" s="12">
        <v>654.1</v>
      </c>
      <c r="J26" s="12">
        <v>787.9</v>
      </c>
      <c r="K26" s="12">
        <v>634.9</v>
      </c>
      <c r="L26" s="12">
        <v>572.6</v>
      </c>
      <c r="M26" s="12">
        <f>+L26</f>
        <v>572.6</v>
      </c>
      <c r="N26" s="12">
        <f>+M26+50</f>
        <v>622.6</v>
      </c>
      <c r="AB26" s="1">
        <f t="shared" si="44"/>
        <v>2674.3</v>
      </c>
      <c r="AC26" s="1">
        <f t="shared" si="45"/>
        <v>2402.6999999999998</v>
      </c>
      <c r="AD26" s="1">
        <f>+AC26*0.95</f>
        <v>2282.5649999999996</v>
      </c>
      <c r="AE26" s="1">
        <f t="shared" ref="AE26:AU26" si="46">+AD26*0.95</f>
        <v>2168.4367499999994</v>
      </c>
      <c r="AF26" s="1">
        <f t="shared" si="46"/>
        <v>2060.0149124999994</v>
      </c>
      <c r="AG26" s="1">
        <f t="shared" si="46"/>
        <v>1957.0141668749993</v>
      </c>
      <c r="AH26" s="1">
        <f t="shared" si="46"/>
        <v>1859.1634585312493</v>
      </c>
      <c r="AI26" s="1">
        <f t="shared" si="46"/>
        <v>1766.2052856046867</v>
      </c>
      <c r="AJ26" s="1">
        <f t="shared" si="46"/>
        <v>1677.8950213244523</v>
      </c>
      <c r="AK26" s="1">
        <f t="shared" si="46"/>
        <v>1594.0002702582296</v>
      </c>
      <c r="AL26" s="1">
        <f t="shared" si="46"/>
        <v>1514.3002567453182</v>
      </c>
      <c r="AM26" s="1">
        <f t="shared" si="46"/>
        <v>1438.5852439080522</v>
      </c>
      <c r="AN26" s="1">
        <f t="shared" si="46"/>
        <v>1366.6559817126495</v>
      </c>
      <c r="AO26" s="1">
        <f t="shared" si="46"/>
        <v>1298.3231826270169</v>
      </c>
      <c r="AP26" s="1">
        <f t="shared" si="46"/>
        <v>1233.407023495666</v>
      </c>
      <c r="AQ26" s="1">
        <f t="shared" si="46"/>
        <v>1171.7366723208827</v>
      </c>
      <c r="AR26" s="1">
        <f t="shared" si="46"/>
        <v>1113.1498387048384</v>
      </c>
      <c r="AS26" s="1">
        <f t="shared" si="46"/>
        <v>1057.4923467695965</v>
      </c>
      <c r="AT26" s="1">
        <f t="shared" si="46"/>
        <v>1004.6177294311166</v>
      </c>
      <c r="AU26" s="1">
        <f t="shared" si="46"/>
        <v>954.38684295956068</v>
      </c>
    </row>
    <row r="27" spans="2:47" s="1" customFormat="1" x14ac:dyDescent="0.2">
      <c r="B27" s="1" t="s">
        <v>68</v>
      </c>
      <c r="C27" s="12"/>
      <c r="D27" s="12"/>
      <c r="E27" s="12">
        <f>+E25+E26</f>
        <v>1714</v>
      </c>
      <c r="F27" s="12">
        <f>+F25+F26</f>
        <v>2532.3000000000002</v>
      </c>
      <c r="G27" s="12">
        <f>+G25+G26</f>
        <v>1109.2</v>
      </c>
      <c r="H27" s="12">
        <f>+H25+H26</f>
        <v>1222.4000000000001</v>
      </c>
      <c r="I27" s="12">
        <f>+I25+I26</f>
        <v>1356.5</v>
      </c>
      <c r="J27" s="12">
        <f>+J25+J26</f>
        <v>1487.4</v>
      </c>
      <c r="K27" s="12">
        <f>+K25+K26</f>
        <v>1186.5999999999999</v>
      </c>
      <c r="L27" s="12">
        <f>+L25+L26</f>
        <v>1101.2</v>
      </c>
      <c r="M27" s="12">
        <f t="shared" ref="M27:N27" si="47">+M25+M26</f>
        <v>572.6</v>
      </c>
      <c r="N27" s="12">
        <f t="shared" si="47"/>
        <v>622.6</v>
      </c>
      <c r="AB27" s="1">
        <f>+AB25+AB26</f>
        <v>5175.5</v>
      </c>
      <c r="AC27" s="1">
        <f>+AC25+AC26</f>
        <v>3483</v>
      </c>
      <c r="AD27" s="1">
        <f t="shared" ref="AD27:AU27" si="48">+AD25+AD26</f>
        <v>2282.5649999999996</v>
      </c>
      <c r="AE27" s="1">
        <f t="shared" si="48"/>
        <v>2168.4367499999994</v>
      </c>
      <c r="AF27" s="1">
        <f t="shared" si="48"/>
        <v>2060.0149124999994</v>
      </c>
      <c r="AG27" s="1">
        <f t="shared" si="48"/>
        <v>1957.0141668749993</v>
      </c>
      <c r="AH27" s="1">
        <f t="shared" si="48"/>
        <v>1859.1634585312493</v>
      </c>
      <c r="AI27" s="1">
        <f t="shared" si="48"/>
        <v>1766.2052856046867</v>
      </c>
      <c r="AJ27" s="1">
        <f t="shared" si="48"/>
        <v>1677.8950213244523</v>
      </c>
      <c r="AK27" s="1">
        <f t="shared" si="48"/>
        <v>1594.0002702582296</v>
      </c>
      <c r="AL27" s="1">
        <f t="shared" si="48"/>
        <v>1514.3002567453182</v>
      </c>
      <c r="AM27" s="1">
        <f t="shared" si="48"/>
        <v>1438.5852439080522</v>
      </c>
      <c r="AN27" s="1">
        <f t="shared" si="48"/>
        <v>1366.6559817126495</v>
      </c>
      <c r="AO27" s="1">
        <f t="shared" si="48"/>
        <v>1298.3231826270169</v>
      </c>
      <c r="AP27" s="1">
        <f t="shared" si="48"/>
        <v>1233.407023495666</v>
      </c>
      <c r="AQ27" s="1">
        <f t="shared" si="48"/>
        <v>1171.7366723208827</v>
      </c>
      <c r="AR27" s="1">
        <f t="shared" si="48"/>
        <v>1113.1498387048384</v>
      </c>
      <c r="AS27" s="1">
        <f t="shared" si="48"/>
        <v>1057.4923467695965</v>
      </c>
      <c r="AT27" s="1">
        <f t="shared" si="48"/>
        <v>1004.6177294311166</v>
      </c>
      <c r="AU27" s="1">
        <f t="shared" si="48"/>
        <v>954.38684295956068</v>
      </c>
    </row>
    <row r="28" spans="2:47" s="1" customFormat="1" x14ac:dyDescent="0.2">
      <c r="B28" s="1" t="s">
        <v>69</v>
      </c>
      <c r="C28" s="12"/>
      <c r="D28" s="12"/>
      <c r="E28" s="12">
        <f>+E24-E27</f>
        <v>1212.9999999999991</v>
      </c>
      <c r="F28" s="12">
        <f>+F24-F27</f>
        <v>-170.30000000000064</v>
      </c>
      <c r="G28" s="12">
        <f>+G24-G27</f>
        <v>1106.7000000000005</v>
      </c>
      <c r="H28" s="12">
        <f>+H24-H27</f>
        <v>1092.8999999999996</v>
      </c>
      <c r="I28" s="12">
        <f>+I24-I27</f>
        <v>910.60000000000036</v>
      </c>
      <c r="J28" s="12">
        <f>+J24-J27</f>
        <v>586.59999999999945</v>
      </c>
      <c r="K28" s="12">
        <f>+K24-K27</f>
        <v>591.30000000000018</v>
      </c>
      <c r="L28" s="12">
        <f>+L24-L27</f>
        <v>1003.8999999999999</v>
      </c>
      <c r="M28" s="12">
        <f t="shared" ref="M28:N28" si="49">+M24-M27</f>
        <v>1559.2624900000005</v>
      </c>
      <c r="N28" s="12">
        <f t="shared" si="49"/>
        <v>1489.2803975000002</v>
      </c>
      <c r="AB28" s="1">
        <f>+AB24-AB27</f>
        <v>3696.7999999999993</v>
      </c>
      <c r="AC28" s="1">
        <f>+AC24-AC27</f>
        <v>4643.7428874999987</v>
      </c>
      <c r="AD28" s="1">
        <f t="shared" ref="AD28:AU28" si="50">+AD24-AD27</f>
        <v>6793.0449605000022</v>
      </c>
      <c r="AE28" s="1">
        <f t="shared" si="50"/>
        <v>8420.8650180800014</v>
      </c>
      <c r="AF28" s="1">
        <f t="shared" si="50"/>
        <v>9391.6267276055023</v>
      </c>
      <c r="AG28" s="1">
        <f t="shared" si="50"/>
        <v>10432.330202543428</v>
      </c>
      <c r="AH28" s="1">
        <f t="shared" si="50"/>
        <v>10252.145252571736</v>
      </c>
      <c r="AI28" s="1">
        <f t="shared" si="50"/>
        <v>10165.905240290836</v>
      </c>
      <c r="AJ28" s="1">
        <f t="shared" si="50"/>
        <v>10163.009498174482</v>
      </c>
      <c r="AK28" s="1">
        <f t="shared" si="50"/>
        <v>10006.866073181651</v>
      </c>
      <c r="AL28" s="1">
        <f t="shared" si="50"/>
        <v>9531.0110978318899</v>
      </c>
      <c r="AM28" s="1">
        <f t="shared" si="50"/>
        <v>9379.1634577648219</v>
      </c>
      <c r="AN28" s="1">
        <f t="shared" si="50"/>
        <v>9279.4497099055734</v>
      </c>
      <c r="AO28" s="1">
        <f t="shared" si="50"/>
        <v>9224.1483821048805</v>
      </c>
      <c r="AP28" s="1">
        <f t="shared" si="50"/>
        <v>9206.8385399167255</v>
      </c>
      <c r="AQ28" s="1">
        <f t="shared" si="50"/>
        <v>9222.1717293017136</v>
      </c>
      <c r="AR28" s="1">
        <f t="shared" si="50"/>
        <v>9265.6855828952666</v>
      </c>
      <c r="AS28" s="1">
        <f t="shared" si="50"/>
        <v>9333.6512627888151</v>
      </c>
      <c r="AT28" s="1">
        <f t="shared" si="50"/>
        <v>9422.94841141082</v>
      </c>
      <c r="AU28" s="1">
        <f t="shared" si="50"/>
        <v>9530.9624900998351</v>
      </c>
    </row>
    <row r="29" spans="2:47" s="1" customFormat="1" x14ac:dyDescent="0.2">
      <c r="B29" s="1" t="s">
        <v>70</v>
      </c>
      <c r="C29" s="12"/>
      <c r="D29" s="12"/>
      <c r="E29" s="12">
        <f>73-128.6</f>
        <v>-55.599999999999994</v>
      </c>
      <c r="F29" s="12">
        <f>66.4+683.5</f>
        <v>749.9</v>
      </c>
      <c r="G29" s="12">
        <f>68.5-506.9</f>
        <v>-438.4</v>
      </c>
      <c r="H29" s="12">
        <v>-15.2</v>
      </c>
      <c r="I29" s="12">
        <f>21.2-502.9</f>
        <v>-481.7</v>
      </c>
      <c r="J29" s="12">
        <f>67.3-182.1</f>
        <v>-114.8</v>
      </c>
      <c r="K29" s="12">
        <f>-117.3-263.3</f>
        <v>-380.6</v>
      </c>
      <c r="L29" s="12">
        <v>29.4</v>
      </c>
      <c r="M29" s="12"/>
      <c r="N29" s="12"/>
      <c r="AB29" s="1">
        <f t="shared" ref="AB29" si="51">SUM(G29:J29)</f>
        <v>-1050.0999999999999</v>
      </c>
      <c r="AC29" s="1">
        <f t="shared" ref="AC29" si="52">SUM(K29:N29)</f>
        <v>-351.20000000000005</v>
      </c>
    </row>
    <row r="30" spans="2:47" s="1" customFormat="1" x14ac:dyDescent="0.2">
      <c r="B30" s="1" t="s">
        <v>71</v>
      </c>
      <c r="C30" s="12"/>
      <c r="D30" s="12"/>
      <c r="E30" s="12">
        <f>+E28+E29</f>
        <v>1157.3999999999992</v>
      </c>
      <c r="F30" s="12">
        <f>+F28+F29</f>
        <v>579.59999999999934</v>
      </c>
      <c r="G30" s="12">
        <f>+G28+G29</f>
        <v>668.30000000000052</v>
      </c>
      <c r="H30" s="12">
        <f>+H28+H29</f>
        <v>1077.6999999999996</v>
      </c>
      <c r="I30" s="12">
        <f>+I28+I29</f>
        <v>428.90000000000038</v>
      </c>
      <c r="J30" s="12">
        <f>+J28+J29</f>
        <v>471.79999999999944</v>
      </c>
      <c r="K30" s="12">
        <f>+K28+K29</f>
        <v>210.70000000000016</v>
      </c>
      <c r="L30" s="12">
        <f>+L28+L29</f>
        <v>1033.3</v>
      </c>
      <c r="M30" s="12">
        <f>+L30</f>
        <v>1033.3</v>
      </c>
      <c r="N30" s="12">
        <f>+M30</f>
        <v>1033.3</v>
      </c>
      <c r="AB30" s="1">
        <f>+AB28+AB29</f>
        <v>2646.6999999999994</v>
      </c>
      <c r="AC30" s="1">
        <f>+AC28+AC29</f>
        <v>4292.5428874999989</v>
      </c>
      <c r="AD30" s="1">
        <f t="shared" ref="AD30:AU30" si="53">+AD28+AD29</f>
        <v>6793.0449605000022</v>
      </c>
      <c r="AE30" s="1">
        <f t="shared" si="53"/>
        <v>8420.8650180800014</v>
      </c>
      <c r="AF30" s="1">
        <f t="shared" si="53"/>
        <v>9391.6267276055023</v>
      </c>
      <c r="AG30" s="1">
        <f t="shared" si="53"/>
        <v>10432.330202543428</v>
      </c>
      <c r="AH30" s="1">
        <f t="shared" si="53"/>
        <v>10252.145252571736</v>
      </c>
      <c r="AI30" s="1">
        <f t="shared" si="53"/>
        <v>10165.905240290836</v>
      </c>
      <c r="AJ30" s="1">
        <f t="shared" si="53"/>
        <v>10163.009498174482</v>
      </c>
      <c r="AK30" s="1">
        <f t="shared" si="53"/>
        <v>10006.866073181651</v>
      </c>
      <c r="AL30" s="1">
        <f t="shared" si="53"/>
        <v>9531.0110978318899</v>
      </c>
      <c r="AM30" s="1">
        <f t="shared" si="53"/>
        <v>9379.1634577648219</v>
      </c>
      <c r="AN30" s="1">
        <f t="shared" si="53"/>
        <v>9279.4497099055734</v>
      </c>
      <c r="AO30" s="1">
        <f t="shared" si="53"/>
        <v>9224.1483821048805</v>
      </c>
      <c r="AP30" s="1">
        <f t="shared" si="53"/>
        <v>9206.8385399167255</v>
      </c>
      <c r="AQ30" s="1">
        <f t="shared" si="53"/>
        <v>9222.1717293017136</v>
      </c>
      <c r="AR30" s="1">
        <f t="shared" si="53"/>
        <v>9265.6855828952666</v>
      </c>
      <c r="AS30" s="1">
        <f t="shared" si="53"/>
        <v>9333.6512627888151</v>
      </c>
      <c r="AT30" s="1">
        <f t="shared" si="53"/>
        <v>9422.94841141082</v>
      </c>
      <c r="AU30" s="1">
        <f t="shared" si="53"/>
        <v>9530.9624900998351</v>
      </c>
    </row>
    <row r="31" spans="2:47" s="1" customFormat="1" x14ac:dyDescent="0.2">
      <c r="B31" s="1" t="s">
        <v>72</v>
      </c>
      <c r="C31" s="12"/>
      <c r="D31" s="12"/>
      <c r="E31" s="12">
        <f>240.8+13.1+2.4</f>
        <v>256.3</v>
      </c>
      <c r="F31" s="12">
        <f>13.3-18-0.3</f>
        <v>-4.9999999999999991</v>
      </c>
      <c r="G31" s="12">
        <f>44.2+18.2-5.6</f>
        <v>56.800000000000004</v>
      </c>
      <c r="H31" s="12">
        <f>409.1-34.3+577</f>
        <v>951.8</v>
      </c>
      <c r="I31" s="12">
        <f>-25.9-1.1-11.1</f>
        <v>-38.1</v>
      </c>
      <c r="J31" s="12">
        <f>443.2-17.7-388.7</f>
        <v>36.800000000000011</v>
      </c>
      <c r="K31" s="12">
        <f>125.6+3.3-85.3</f>
        <v>43.600000000000009</v>
      </c>
      <c r="L31" s="12">
        <f>216.7-5.9</f>
        <v>210.79999999999998</v>
      </c>
      <c r="M31" s="12">
        <f>+M30*0.2</f>
        <v>206.66</v>
      </c>
      <c r="N31" s="12">
        <f>+N30*0.2</f>
        <v>206.66</v>
      </c>
      <c r="AB31" s="1">
        <f t="shared" ref="AB31" si="54">SUM(G31:J31)</f>
        <v>1007.3</v>
      </c>
      <c r="AC31" s="1">
        <f t="shared" ref="AC31" si="55">SUM(K31:N31)</f>
        <v>667.71999999999991</v>
      </c>
      <c r="AD31" s="1">
        <f>+AD30*0.2</f>
        <v>1358.6089921000005</v>
      </c>
      <c r="AE31" s="1">
        <f t="shared" ref="AE31:AU31" si="56">+AE30*0.2</f>
        <v>1684.1730036160004</v>
      </c>
      <c r="AF31" s="1">
        <f t="shared" si="56"/>
        <v>1878.3253455211006</v>
      </c>
      <c r="AG31" s="1">
        <f t="shared" si="56"/>
        <v>2086.4660405086856</v>
      </c>
      <c r="AH31" s="1">
        <f t="shared" si="56"/>
        <v>2050.4290505143472</v>
      </c>
      <c r="AI31" s="1">
        <f t="shared" si="56"/>
        <v>2033.1810480581673</v>
      </c>
      <c r="AJ31" s="1">
        <f t="shared" si="56"/>
        <v>2032.6018996348967</v>
      </c>
      <c r="AK31" s="1">
        <f t="shared" si="56"/>
        <v>2001.3732146363302</v>
      </c>
      <c r="AL31" s="1">
        <f t="shared" si="56"/>
        <v>1906.2022195663781</v>
      </c>
      <c r="AM31" s="1">
        <f t="shared" si="56"/>
        <v>1875.8326915529644</v>
      </c>
      <c r="AN31" s="1">
        <f t="shared" si="56"/>
        <v>1855.8899419811148</v>
      </c>
      <c r="AO31" s="1">
        <f t="shared" si="56"/>
        <v>1844.8296764209763</v>
      </c>
      <c r="AP31" s="1">
        <f t="shared" si="56"/>
        <v>1841.3677079833451</v>
      </c>
      <c r="AQ31" s="1">
        <f t="shared" si="56"/>
        <v>1844.4343458603428</v>
      </c>
      <c r="AR31" s="1">
        <f t="shared" si="56"/>
        <v>1853.1371165790533</v>
      </c>
      <c r="AS31" s="1">
        <f t="shared" si="56"/>
        <v>1866.7302525577632</v>
      </c>
      <c r="AT31" s="1">
        <f t="shared" si="56"/>
        <v>1884.5896822821642</v>
      </c>
      <c r="AU31" s="1">
        <f t="shared" si="56"/>
        <v>1906.1924980199672</v>
      </c>
    </row>
    <row r="32" spans="2:47" x14ac:dyDescent="0.2">
      <c r="B32" s="1" t="s">
        <v>73</v>
      </c>
      <c r="E32" s="12">
        <f>+E30-E31</f>
        <v>901.09999999999923</v>
      </c>
      <c r="F32" s="12">
        <f>+F30-F31</f>
        <v>584.59999999999934</v>
      </c>
      <c r="G32" s="12">
        <f>+G30-G31</f>
        <v>611.50000000000057</v>
      </c>
      <c r="H32" s="12">
        <f>+H30-H31</f>
        <v>125.89999999999964</v>
      </c>
      <c r="I32" s="12">
        <f>+I30-I31</f>
        <v>467.0000000000004</v>
      </c>
      <c r="J32" s="12">
        <f>+J30-J31</f>
        <v>434.99999999999943</v>
      </c>
      <c r="K32" s="12">
        <f>+K30-K31</f>
        <v>167.10000000000014</v>
      </c>
      <c r="L32" s="12">
        <f>+L30-L31</f>
        <v>822.5</v>
      </c>
      <c r="M32" s="12">
        <f>+M30-M31</f>
        <v>826.64</v>
      </c>
      <c r="N32" s="12">
        <f>+N30-N31</f>
        <v>826.64</v>
      </c>
      <c r="AB32" s="1">
        <f>+AB30-AB31</f>
        <v>1639.3999999999994</v>
      </c>
      <c r="AC32" s="1">
        <f>+AC30-AC31</f>
        <v>3624.8228874999991</v>
      </c>
      <c r="AD32" s="1">
        <f>+AD30-AD31</f>
        <v>5434.4359684000019</v>
      </c>
      <c r="AE32" s="1">
        <f t="shared" ref="AE32:AU32" si="57">+AE30-AE31</f>
        <v>6736.6920144640007</v>
      </c>
      <c r="AF32" s="1">
        <f t="shared" si="57"/>
        <v>7513.3013820844017</v>
      </c>
      <c r="AG32" s="1">
        <f t="shared" si="57"/>
        <v>8345.8641620347425</v>
      </c>
      <c r="AH32" s="1">
        <f t="shared" si="57"/>
        <v>8201.7162020573887</v>
      </c>
      <c r="AI32" s="1">
        <f t="shared" si="57"/>
        <v>8132.7241922326693</v>
      </c>
      <c r="AJ32" s="1">
        <f t="shared" si="57"/>
        <v>8130.4075985395857</v>
      </c>
      <c r="AK32" s="1">
        <f t="shared" si="57"/>
        <v>8005.4928585453208</v>
      </c>
      <c r="AL32" s="1">
        <f t="shared" si="57"/>
        <v>7624.8088782655122</v>
      </c>
      <c r="AM32" s="1">
        <f t="shared" si="57"/>
        <v>7503.3307662118577</v>
      </c>
      <c r="AN32" s="1">
        <f t="shared" si="57"/>
        <v>7423.5597679244584</v>
      </c>
      <c r="AO32" s="1">
        <f t="shared" si="57"/>
        <v>7379.3187056839042</v>
      </c>
      <c r="AP32" s="1">
        <f t="shared" si="57"/>
        <v>7365.4708319333804</v>
      </c>
      <c r="AQ32" s="1">
        <f t="shared" si="57"/>
        <v>7377.7373834413711</v>
      </c>
      <c r="AR32" s="1">
        <f t="shared" si="57"/>
        <v>7412.5484663162133</v>
      </c>
      <c r="AS32" s="1">
        <f t="shared" si="57"/>
        <v>7466.9210102310517</v>
      </c>
      <c r="AT32" s="1">
        <f t="shared" si="57"/>
        <v>7538.3587291286558</v>
      </c>
      <c r="AU32" s="1">
        <f t="shared" si="57"/>
        <v>7624.7699920798677</v>
      </c>
    </row>
    <row r="33" spans="2:50" x14ac:dyDescent="0.2">
      <c r="B33" s="1" t="s">
        <v>1</v>
      </c>
      <c r="E33" s="15">
        <f>+E32/E34</f>
        <v>5.7321882951653897</v>
      </c>
      <c r="F33" s="15">
        <f>+F32/F34</f>
        <v>3.796103896103892</v>
      </c>
      <c r="G33" s="15">
        <f>+G32/G34</f>
        <v>4.0151017728168128</v>
      </c>
      <c r="H33" s="15">
        <f>+H32/H34</f>
        <v>0.83877415056628679</v>
      </c>
      <c r="I33" s="15">
        <f>+I32/I34</f>
        <v>3.1426648721399757</v>
      </c>
      <c r="J33" s="15">
        <f>+J32/J34</f>
        <v>2.9491525423728775</v>
      </c>
      <c r="K33" s="15">
        <f>+K32/K34</f>
        <v>1.1321138211382122</v>
      </c>
      <c r="L33" s="15">
        <f>+L32/L34</f>
        <v>5.625854993160055</v>
      </c>
      <c r="M33" s="15">
        <f t="shared" ref="M33:N33" si="58">+M32/M34</f>
        <v>5.6541723666210677</v>
      </c>
      <c r="N33" s="15">
        <f t="shared" si="58"/>
        <v>5.6541723666210677</v>
      </c>
      <c r="AB33" s="17">
        <f>+AB32/AB34</f>
        <v>10.956725146198826</v>
      </c>
      <c r="AC33" s="17">
        <f>+AC32/AC34</f>
        <v>24.734376577959736</v>
      </c>
      <c r="AD33" s="17">
        <f>+AD32/AD34</f>
        <v>37.082469931081562</v>
      </c>
      <c r="AE33" s="17">
        <f t="shared" ref="AE33:AU33" si="59">+AE32/AE34</f>
        <v>45.968556905247368</v>
      </c>
      <c r="AF33" s="17">
        <f t="shared" si="59"/>
        <v>51.267836111118406</v>
      </c>
      <c r="AG33" s="17">
        <f t="shared" si="59"/>
        <v>56.948919563526054</v>
      </c>
      <c r="AH33" s="17">
        <f t="shared" si="59"/>
        <v>55.96531014709921</v>
      </c>
      <c r="AI33" s="17">
        <f t="shared" si="59"/>
        <v>55.494535600359399</v>
      </c>
      <c r="AJ33" s="17">
        <f t="shared" si="59"/>
        <v>55.478728069188584</v>
      </c>
      <c r="AK33" s="17">
        <f t="shared" si="59"/>
        <v>54.626358638999122</v>
      </c>
      <c r="AL33" s="17">
        <f t="shared" si="59"/>
        <v>52.028719742514589</v>
      </c>
      <c r="AM33" s="17">
        <f t="shared" si="59"/>
        <v>51.199800520039979</v>
      </c>
      <c r="AN33" s="17">
        <f t="shared" si="59"/>
        <v>50.655474363182933</v>
      </c>
      <c r="AO33" s="17">
        <f t="shared" si="59"/>
        <v>50.353590622203377</v>
      </c>
      <c r="AP33" s="17">
        <f t="shared" si="59"/>
        <v>50.259098136699976</v>
      </c>
      <c r="AQ33" s="17">
        <f t="shared" si="59"/>
        <v>50.342800296426965</v>
      </c>
      <c r="AR33" s="17">
        <f t="shared" si="59"/>
        <v>50.580337538834627</v>
      </c>
      <c r="AS33" s="17">
        <f t="shared" si="59"/>
        <v>50.951354556336078</v>
      </c>
      <c r="AT33" s="17">
        <f t="shared" si="59"/>
        <v>51.438817667203388</v>
      </c>
      <c r="AU33" s="17">
        <f t="shared" si="59"/>
        <v>52.02845439836144</v>
      </c>
    </row>
    <row r="34" spans="2:50" x14ac:dyDescent="0.2">
      <c r="B34" s="1" t="s">
        <v>74</v>
      </c>
      <c r="E34" s="12">
        <v>157.19999999999999</v>
      </c>
      <c r="F34" s="12">
        <v>154</v>
      </c>
      <c r="G34" s="12">
        <v>152.30000000000001</v>
      </c>
      <c r="H34" s="12">
        <v>150.1</v>
      </c>
      <c r="I34" s="12">
        <v>148.6</v>
      </c>
      <c r="J34" s="12">
        <v>147.5</v>
      </c>
      <c r="K34" s="12">
        <v>147.6</v>
      </c>
      <c r="L34" s="12">
        <v>146.19999999999999</v>
      </c>
      <c r="M34" s="12">
        <f>+L34</f>
        <v>146.19999999999999</v>
      </c>
      <c r="N34" s="12">
        <f>+M34</f>
        <v>146.19999999999999</v>
      </c>
      <c r="AB34" s="1">
        <f>AVERAGE(G34:J34)</f>
        <v>149.625</v>
      </c>
      <c r="AC34" s="1">
        <f>AVERAGE(K34:N34)</f>
        <v>146.54999999999998</v>
      </c>
      <c r="AD34" s="1">
        <f>+AC34</f>
        <v>146.54999999999998</v>
      </c>
      <c r="AE34" s="1">
        <f t="shared" ref="AE34:AU34" si="60">+AD34</f>
        <v>146.54999999999998</v>
      </c>
      <c r="AF34" s="1">
        <f t="shared" si="60"/>
        <v>146.54999999999998</v>
      </c>
      <c r="AG34" s="1">
        <f t="shared" si="60"/>
        <v>146.54999999999998</v>
      </c>
      <c r="AH34" s="1">
        <f t="shared" si="60"/>
        <v>146.54999999999998</v>
      </c>
      <c r="AI34" s="1">
        <f t="shared" si="60"/>
        <v>146.54999999999998</v>
      </c>
      <c r="AJ34" s="1">
        <f t="shared" si="60"/>
        <v>146.54999999999998</v>
      </c>
      <c r="AK34" s="1">
        <f t="shared" si="60"/>
        <v>146.54999999999998</v>
      </c>
      <c r="AL34" s="1">
        <f t="shared" si="60"/>
        <v>146.54999999999998</v>
      </c>
      <c r="AM34" s="1">
        <f t="shared" si="60"/>
        <v>146.54999999999998</v>
      </c>
      <c r="AN34" s="1">
        <f t="shared" si="60"/>
        <v>146.54999999999998</v>
      </c>
      <c r="AO34" s="1">
        <f t="shared" si="60"/>
        <v>146.54999999999998</v>
      </c>
      <c r="AP34" s="1">
        <f t="shared" si="60"/>
        <v>146.54999999999998</v>
      </c>
      <c r="AQ34" s="1">
        <f t="shared" si="60"/>
        <v>146.54999999999998</v>
      </c>
      <c r="AR34" s="1">
        <f t="shared" si="60"/>
        <v>146.54999999999998</v>
      </c>
      <c r="AS34" s="1">
        <f t="shared" si="60"/>
        <v>146.54999999999998</v>
      </c>
      <c r="AT34" s="1">
        <f t="shared" si="60"/>
        <v>146.54999999999998</v>
      </c>
      <c r="AU34" s="1">
        <f t="shared" si="60"/>
        <v>146.54999999999998</v>
      </c>
    </row>
    <row r="35" spans="2:50" x14ac:dyDescent="0.2">
      <c r="AW35" t="s">
        <v>83</v>
      </c>
      <c r="AX35" s="18">
        <v>-0.01</v>
      </c>
    </row>
    <row r="36" spans="2:50" x14ac:dyDescent="0.2">
      <c r="AW36" t="s">
        <v>84</v>
      </c>
      <c r="AX36" s="18">
        <v>0.08</v>
      </c>
    </row>
    <row r="37" spans="2:50" x14ac:dyDescent="0.2">
      <c r="B37" s="1" t="s">
        <v>80</v>
      </c>
      <c r="I37" s="16">
        <f>+I22/E22-1</f>
        <v>-0.1768904949497937</v>
      </c>
      <c r="J37" s="16">
        <f>+J22/F22-1</f>
        <v>-4.1541050269929158E-2</v>
      </c>
      <c r="K37" s="16">
        <f>+K22/G22-1</f>
        <v>-6.0207869339272579E-2</v>
      </c>
      <c r="L37" s="16">
        <f>+L22/H22-1</f>
        <v>-6.6990990990990817E-2</v>
      </c>
      <c r="AW37" t="s">
        <v>85</v>
      </c>
      <c r="AX37" s="1">
        <f>NPV(AX36,AD32:AU32)+Main!J5-Main!J6</f>
        <v>69892.659177287424</v>
      </c>
    </row>
    <row r="38" spans="2:50" x14ac:dyDescent="0.2">
      <c r="B38" s="1" t="s">
        <v>81</v>
      </c>
      <c r="E38" s="16">
        <f>+E24/E22</f>
        <v>0.86697668907911496</v>
      </c>
      <c r="F38" s="16">
        <f>+F24/F22</f>
        <v>0.82801654630863075</v>
      </c>
      <c r="G38" s="16">
        <f>+G24/G22</f>
        <v>0.82253155159613967</v>
      </c>
      <c r="H38" s="16">
        <f t="shared" ref="H38" si="61">+H24/H22</f>
        <v>0.83434234234234239</v>
      </c>
      <c r="I38" s="16">
        <f t="shared" ref="I38:J38" si="62">+I24/I22</f>
        <v>0.8158264061319227</v>
      </c>
      <c r="J38" s="16">
        <f t="shared" si="62"/>
        <v>0.7585677188105775</v>
      </c>
      <c r="K38" s="16">
        <f t="shared" ref="K38:N38" si="63">+K24/K22</f>
        <v>0.70222766411248916</v>
      </c>
      <c r="L38" s="16">
        <f t="shared" si="63"/>
        <v>0.8130624541346414</v>
      </c>
      <c r="M38" s="16">
        <f t="shared" si="63"/>
        <v>0.81000000000000016</v>
      </c>
      <c r="N38" s="16">
        <f t="shared" si="63"/>
        <v>0.80999999999999994</v>
      </c>
      <c r="AW38" t="s">
        <v>86</v>
      </c>
      <c r="AX38" s="17">
        <f>AX37/Main!J3</f>
        <v>481.64283379210849</v>
      </c>
    </row>
  </sheetData>
  <hyperlinks>
    <hyperlink ref="A1" location="Main!A1" display="Main" xr:uid="{B820F574-645F-4D74-9059-6520877C6957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2022-10-12T00:37:40Z</dcterms:created>
  <dcterms:modified xsi:type="dcterms:W3CDTF">2022-10-15T01:44:26Z</dcterms:modified>
</cp:coreProperties>
</file>