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94D9434-930D-4F69-A729-A75597758BB8}" xr6:coauthVersionLast="47" xr6:coauthVersionMax="47" xr10:uidLastSave="{00000000-0000-0000-0000-000000000000}"/>
  <bookViews>
    <workbookView xWindow="24630" yWindow="945" windowWidth="26025" windowHeight="19755" xr2:uid="{9B095727-CA77-445C-9610-14FFC3399A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2" l="1"/>
  <c r="AA26" i="2"/>
  <c r="O26" i="2"/>
  <c r="N26" i="2"/>
  <c r="AI24" i="2"/>
  <c r="AH24" i="2"/>
  <c r="AG24" i="2"/>
  <c r="AF24" i="2"/>
  <c r="AE24" i="2"/>
  <c r="AD24" i="2"/>
  <c r="AC24" i="2"/>
  <c r="AB24" i="2"/>
  <c r="AI23" i="2"/>
  <c r="AH23" i="2"/>
  <c r="AG23" i="2"/>
  <c r="AF23" i="2"/>
  <c r="AE23" i="2"/>
  <c r="AD23" i="2"/>
  <c r="AC23" i="2"/>
  <c r="AB23" i="2"/>
  <c r="AA23" i="2"/>
  <c r="Z23" i="2"/>
  <c r="AC21" i="2"/>
  <c r="AD21" i="2" s="1"/>
  <c r="AE21" i="2" s="1"/>
  <c r="AF21" i="2" s="1"/>
  <c r="AG21" i="2" s="1"/>
  <c r="AH21" i="2" s="1"/>
  <c r="AI21" i="2" s="1"/>
  <c r="AB21" i="2"/>
  <c r="AB17" i="2"/>
  <c r="AB18" i="2" s="1"/>
  <c r="AB19" i="2" s="1"/>
  <c r="AD13" i="2"/>
  <c r="AE13" i="2" s="1"/>
  <c r="AC13" i="2"/>
  <c r="AD14" i="2"/>
  <c r="AD15" i="2" s="1"/>
  <c r="AC14" i="2"/>
  <c r="AC15" i="2" s="1"/>
  <c r="AB14" i="2"/>
  <c r="AB15" i="2" s="1"/>
  <c r="AI10" i="2"/>
  <c r="AH10" i="2"/>
  <c r="AG10" i="2"/>
  <c r="AF10" i="2"/>
  <c r="AE10" i="2"/>
  <c r="AD10" i="2"/>
  <c r="AC10" i="2"/>
  <c r="AB10" i="2"/>
  <c r="AI11" i="2"/>
  <c r="AH11" i="2"/>
  <c r="AG11" i="2"/>
  <c r="AF11" i="2"/>
  <c r="AE11" i="2"/>
  <c r="AD11" i="2"/>
  <c r="AC11" i="2"/>
  <c r="AB11" i="2"/>
  <c r="AA24" i="2"/>
  <c r="Z24" i="2"/>
  <c r="Y24" i="2"/>
  <c r="AI9" i="2"/>
  <c r="AH9" i="2"/>
  <c r="AG9" i="2"/>
  <c r="AF9" i="2"/>
  <c r="AE9" i="2"/>
  <c r="AD9" i="2"/>
  <c r="AC9" i="2"/>
  <c r="AB9" i="2"/>
  <c r="AC7" i="2"/>
  <c r="AD7" i="2" s="1"/>
  <c r="AE7" i="2" s="1"/>
  <c r="AF7" i="2" s="1"/>
  <c r="AG7" i="2" s="1"/>
  <c r="AH7" i="2" s="1"/>
  <c r="AI7" i="2" s="1"/>
  <c r="AB7" i="2"/>
  <c r="AI6" i="2"/>
  <c r="AH6" i="2"/>
  <c r="AG6" i="2"/>
  <c r="AF6" i="2"/>
  <c r="AE6" i="2"/>
  <c r="AD6" i="2"/>
  <c r="AC6" i="2"/>
  <c r="O6" i="2"/>
  <c r="N6" i="2"/>
  <c r="AC5" i="2"/>
  <c r="AD5" i="2" s="1"/>
  <c r="AE5" i="2" s="1"/>
  <c r="AF5" i="2" s="1"/>
  <c r="AG5" i="2" s="1"/>
  <c r="AH5" i="2" s="1"/>
  <c r="AI5" i="2" s="1"/>
  <c r="AB5" i="2"/>
  <c r="AI4" i="2"/>
  <c r="AH4" i="2"/>
  <c r="AG4" i="2"/>
  <c r="AF4" i="2"/>
  <c r="AE4" i="2"/>
  <c r="AD4" i="2"/>
  <c r="AC4" i="2"/>
  <c r="AB4" i="2"/>
  <c r="AC3" i="2"/>
  <c r="AD3" i="2" s="1"/>
  <c r="AE3" i="2" s="1"/>
  <c r="AF3" i="2" s="1"/>
  <c r="AG3" i="2" s="1"/>
  <c r="AH3" i="2" s="1"/>
  <c r="AI3" i="2" s="1"/>
  <c r="AB3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7" i="1"/>
  <c r="Z20" i="2"/>
  <c r="Y20" i="2"/>
  <c r="AA21" i="2"/>
  <c r="Z21" i="2"/>
  <c r="Y21" i="2"/>
  <c r="Z19" i="2"/>
  <c r="Y19" i="2"/>
  <c r="AA18" i="2"/>
  <c r="Z18" i="2"/>
  <c r="Y18" i="2"/>
  <c r="Z17" i="2"/>
  <c r="Y17" i="2"/>
  <c r="AA16" i="2"/>
  <c r="Z16" i="2"/>
  <c r="Y16" i="2"/>
  <c r="Z15" i="2"/>
  <c r="Y15" i="2"/>
  <c r="AA14" i="2"/>
  <c r="Z14" i="2"/>
  <c r="Y14" i="2"/>
  <c r="AA13" i="2"/>
  <c r="Z13" i="2"/>
  <c r="Y13" i="2"/>
  <c r="AA12" i="2"/>
  <c r="Z12" i="2"/>
  <c r="Y12" i="2"/>
  <c r="Z11" i="2"/>
  <c r="Y11" i="2"/>
  <c r="Z10" i="2"/>
  <c r="Y10" i="2"/>
  <c r="O23" i="2"/>
  <c r="N23" i="2"/>
  <c r="O21" i="2"/>
  <c r="N21" i="2"/>
  <c r="O13" i="2"/>
  <c r="N13" i="2"/>
  <c r="O14" i="2"/>
  <c r="N14" i="2"/>
  <c r="N11" i="2"/>
  <c r="N10" i="2" s="1"/>
  <c r="O9" i="2"/>
  <c r="O11" i="2" s="1"/>
  <c r="O24" i="2" s="1"/>
  <c r="N9" i="2"/>
  <c r="O7" i="2"/>
  <c r="N7" i="2"/>
  <c r="O5" i="2"/>
  <c r="N5" i="2"/>
  <c r="O4" i="2"/>
  <c r="N4" i="2"/>
  <c r="AA4" i="2" s="1"/>
  <c r="O3" i="2"/>
  <c r="N3" i="2"/>
  <c r="Y9" i="2"/>
  <c r="Z9" i="2"/>
  <c r="AA8" i="2"/>
  <c r="Z8" i="2"/>
  <c r="Y8" i="2"/>
  <c r="AA7" i="2"/>
  <c r="Z7" i="2"/>
  <c r="Y7" i="2"/>
  <c r="AA6" i="2"/>
  <c r="AB6" i="2" s="1"/>
  <c r="Z6" i="2"/>
  <c r="Y6" i="2"/>
  <c r="AA5" i="2"/>
  <c r="Z5" i="2"/>
  <c r="Y5" i="2"/>
  <c r="Z4" i="2"/>
  <c r="Y4" i="2"/>
  <c r="AA3" i="2"/>
  <c r="Z3" i="2"/>
  <c r="Y3" i="2"/>
  <c r="V2" i="2"/>
  <c r="W2" i="2" s="1"/>
  <c r="X2" i="2" s="1"/>
  <c r="Y2" i="2" s="1"/>
  <c r="Z2" i="2" s="1"/>
  <c r="AA2" i="2" s="1"/>
  <c r="AB2" i="2" s="1"/>
  <c r="U2" i="2"/>
  <c r="G23" i="2"/>
  <c r="C14" i="2"/>
  <c r="C11" i="2"/>
  <c r="C24" i="2" s="1"/>
  <c r="C9" i="2"/>
  <c r="D14" i="2"/>
  <c r="D9" i="2"/>
  <c r="D11" i="2" s="1"/>
  <c r="D24" i="2" s="1"/>
  <c r="E14" i="2"/>
  <c r="E9" i="2"/>
  <c r="E11" i="2" s="1"/>
  <c r="E24" i="2" s="1"/>
  <c r="F14" i="2"/>
  <c r="F9" i="2"/>
  <c r="F11" i="2" s="1"/>
  <c r="J14" i="2"/>
  <c r="J9" i="2"/>
  <c r="G9" i="2"/>
  <c r="G11" i="2" s="1"/>
  <c r="G14" i="2"/>
  <c r="K14" i="2"/>
  <c r="K9" i="2"/>
  <c r="H14" i="2"/>
  <c r="L14" i="2"/>
  <c r="L9" i="2"/>
  <c r="L11" i="2" s="1"/>
  <c r="H9" i="2"/>
  <c r="H11" i="2" s="1"/>
  <c r="H24" i="2" s="1"/>
  <c r="I14" i="2"/>
  <c r="M14" i="2"/>
  <c r="I9" i="2"/>
  <c r="I11" i="2" s="1"/>
  <c r="I24" i="2" s="1"/>
  <c r="M9" i="2"/>
  <c r="M11" i="2" s="1"/>
  <c r="K5" i="1"/>
  <c r="K4" i="1"/>
  <c r="AB26" i="2" l="1"/>
  <c r="AB20" i="2"/>
  <c r="AF13" i="2"/>
  <c r="AE14" i="2"/>
  <c r="AE15" i="2" s="1"/>
  <c r="O10" i="2"/>
  <c r="O15" i="2"/>
  <c r="O17" i="2" s="1"/>
  <c r="O19" i="2" s="1"/>
  <c r="O20" i="2" s="1"/>
  <c r="AA10" i="2"/>
  <c r="N24" i="2"/>
  <c r="N15" i="2"/>
  <c r="N17" i="2" s="1"/>
  <c r="N19" i="2" s="1"/>
  <c r="N20" i="2" s="1"/>
  <c r="AA9" i="2"/>
  <c r="AA11" i="2" s="1"/>
  <c r="AA15" i="2" s="1"/>
  <c r="AA17" i="2" s="1"/>
  <c r="AA19" i="2" s="1"/>
  <c r="AA20" i="2" s="1"/>
  <c r="C15" i="2"/>
  <c r="C17" i="2" s="1"/>
  <c r="C19" i="2" s="1"/>
  <c r="C20" i="2" s="1"/>
  <c r="K11" i="2"/>
  <c r="K24" i="2" s="1"/>
  <c r="I23" i="2"/>
  <c r="H23" i="2"/>
  <c r="D15" i="2"/>
  <c r="D17" i="2" s="1"/>
  <c r="D19" i="2" s="1"/>
  <c r="D20" i="2" s="1"/>
  <c r="E15" i="2"/>
  <c r="E17" i="2" s="1"/>
  <c r="E19" i="2" s="1"/>
  <c r="E20" i="2" s="1"/>
  <c r="F24" i="2"/>
  <c r="F15" i="2"/>
  <c r="F17" i="2" s="1"/>
  <c r="F19" i="2" s="1"/>
  <c r="F20" i="2" s="1"/>
  <c r="J23" i="2"/>
  <c r="J11" i="2"/>
  <c r="M23" i="2"/>
  <c r="L23" i="2"/>
  <c r="K23" i="2"/>
  <c r="K15" i="2"/>
  <c r="K17" i="2" s="1"/>
  <c r="K19" i="2" s="1"/>
  <c r="K20" i="2" s="1"/>
  <c r="G24" i="2"/>
  <c r="G15" i="2"/>
  <c r="G17" i="2" s="1"/>
  <c r="G19" i="2" s="1"/>
  <c r="G20" i="2" s="1"/>
  <c r="M24" i="2"/>
  <c r="M15" i="2"/>
  <c r="M17" i="2" s="1"/>
  <c r="M19" i="2" s="1"/>
  <c r="M20" i="2" s="1"/>
  <c r="L15" i="2"/>
  <c r="L17" i="2" s="1"/>
  <c r="L19" i="2" s="1"/>
  <c r="L20" i="2" s="1"/>
  <c r="L24" i="2"/>
  <c r="H15" i="2"/>
  <c r="H17" i="2" s="1"/>
  <c r="H19" i="2" s="1"/>
  <c r="H20" i="2" s="1"/>
  <c r="I15" i="2"/>
  <c r="I17" i="2" s="1"/>
  <c r="I19" i="2" s="1"/>
  <c r="I20" i="2" s="1"/>
  <c r="AC16" i="2" l="1"/>
  <c r="AC17" i="2" s="1"/>
  <c r="AC18" i="2" s="1"/>
  <c r="AC19" i="2" s="1"/>
  <c r="AG13" i="2"/>
  <c r="AF14" i="2"/>
  <c r="AF15" i="2" s="1"/>
  <c r="J15" i="2"/>
  <c r="J17" i="2" s="1"/>
  <c r="J19" i="2" s="1"/>
  <c r="J20" i="2" s="1"/>
  <c r="J24" i="2"/>
  <c r="AC20" i="2" l="1"/>
  <c r="AC26" i="2"/>
  <c r="AG14" i="2"/>
  <c r="AG15" i="2" s="1"/>
  <c r="AH13" i="2"/>
  <c r="AD16" i="2" l="1"/>
  <c r="AD17" i="2" s="1"/>
  <c r="AD18" i="2" s="1"/>
  <c r="AD19" i="2" s="1"/>
  <c r="AI13" i="2"/>
  <c r="AI14" i="2" s="1"/>
  <c r="AI15" i="2" s="1"/>
  <c r="AH14" i="2"/>
  <c r="AH15" i="2" s="1"/>
  <c r="AD20" i="2" l="1"/>
  <c r="AD26" i="2"/>
  <c r="AE16" i="2" l="1"/>
  <c r="AE17" i="2" s="1"/>
  <c r="AE18" i="2" s="1"/>
  <c r="AE19" i="2" s="1"/>
  <c r="AE20" i="2" l="1"/>
  <c r="AE26" i="2"/>
  <c r="AF16" i="2" l="1"/>
  <c r="AF17" i="2" s="1"/>
  <c r="AF18" i="2" s="1"/>
  <c r="AF19" i="2" s="1"/>
  <c r="AF20" i="2" s="1"/>
  <c r="AF26" i="2" l="1"/>
  <c r="AG16" i="2" l="1"/>
  <c r="AG17" i="2" s="1"/>
  <c r="AG18" i="2" s="1"/>
  <c r="AG19" i="2" s="1"/>
  <c r="AG20" i="2" s="1"/>
  <c r="AG26" i="2" l="1"/>
  <c r="AH16" i="2" l="1"/>
  <c r="AH17" i="2" s="1"/>
  <c r="AH18" i="2" s="1"/>
  <c r="AH19" i="2" s="1"/>
  <c r="AH20" i="2" s="1"/>
  <c r="AH26" i="2" l="1"/>
  <c r="AI16" i="2" l="1"/>
  <c r="AI17" i="2" s="1"/>
  <c r="AI18" i="2" s="1"/>
  <c r="AI19" i="2" s="1"/>
  <c r="AI20" i="2" l="1"/>
  <c r="AJ19" i="2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AL26" i="2" s="1"/>
  <c r="AL27" i="2" s="1"/>
  <c r="AI26" i="2"/>
</calcChain>
</file>

<file path=xl/sharedStrings.xml><?xml version="1.0" encoding="utf-8"?>
<sst xmlns="http://schemas.openxmlformats.org/spreadsheetml/2006/main" count="114" uniqueCount="96">
  <si>
    <t>Price</t>
  </si>
  <si>
    <t>Shares</t>
  </si>
  <si>
    <t>MC</t>
  </si>
  <si>
    <t>Cash</t>
  </si>
  <si>
    <t>Debt</t>
  </si>
  <si>
    <t>EV</t>
  </si>
  <si>
    <t>Q222</t>
  </si>
  <si>
    <t>Brand</t>
  </si>
  <si>
    <t>Adcetris</t>
  </si>
  <si>
    <t>Padcev</t>
  </si>
  <si>
    <t>Tukysa</t>
  </si>
  <si>
    <t>Tivdak</t>
  </si>
  <si>
    <t>CEO</t>
  </si>
  <si>
    <t>Roger Dansey</t>
  </si>
  <si>
    <t>CMO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</si>
  <si>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</si>
  <si>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</si>
  <si>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</si>
  <si>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</si>
  <si>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</si>
  <si>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</si>
  <si>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</si>
  <si>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</si>
  <si>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</si>
  <si>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</si>
  <si>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</si>
  <si>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</si>
  <si>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Revenue</t>
  </si>
  <si>
    <t>Royalty</t>
  </si>
  <si>
    <t>Collab</t>
  </si>
  <si>
    <t>COGS</t>
  </si>
  <si>
    <t>Gross Profit</t>
  </si>
  <si>
    <t>R&amp;D</t>
  </si>
  <si>
    <t>SG&amp;A</t>
  </si>
  <si>
    <t>OpEx</t>
  </si>
  <si>
    <t>OpInc</t>
  </si>
  <si>
    <t>Interest</t>
  </si>
  <si>
    <t>EPS</t>
  </si>
  <si>
    <t>Net Income</t>
  </si>
  <si>
    <t>Taxes</t>
  </si>
  <si>
    <t>Pretax Income</t>
  </si>
  <si>
    <t>Gross Margin</t>
  </si>
  <si>
    <t>Revenue y/y</t>
  </si>
  <si>
    <t>267.9</t>
  </si>
  <si>
    <t>14.7</t>
  </si>
  <si>
    <t>15.2</t>
  </si>
  <si>
    <t>26.7</t>
  </si>
  <si>
    <t>2.2</t>
  </si>
  <si>
    <t>4.8</t>
  </si>
  <si>
    <t>16.6</t>
  </si>
  <si>
    <t>6.3</t>
  </si>
  <si>
    <t>15.6</t>
  </si>
  <si>
    <t>Q419</t>
  </si>
  <si>
    <t>51.1</t>
  </si>
  <si>
    <t>LAVA-1223</t>
  </si>
  <si>
    <t>telisotuzumab vedotin</t>
  </si>
  <si>
    <t>ABBV</t>
  </si>
  <si>
    <t>Indication</t>
  </si>
  <si>
    <t>MOA</t>
  </si>
  <si>
    <t>Approved</t>
  </si>
  <si>
    <t>Economics</t>
  </si>
  <si>
    <t>Polivy</t>
  </si>
  <si>
    <t>Blenrep</t>
  </si>
  <si>
    <t>GSK</t>
  </si>
  <si>
    <t>ROG</t>
  </si>
  <si>
    <t>TAK</t>
  </si>
  <si>
    <t>4503</t>
  </si>
  <si>
    <t>Padcev (enfortumab vedotin)</t>
  </si>
  <si>
    <t>Adcetris (brentuximab vedotin)</t>
  </si>
  <si>
    <t>HL</t>
  </si>
  <si>
    <t>mUC</t>
  </si>
  <si>
    <t>Tukysa (tucatinib)</t>
  </si>
  <si>
    <t>mBC</t>
  </si>
  <si>
    <t>Tivdak (tisotumab vedotin)</t>
  </si>
  <si>
    <t>Cevical</t>
  </si>
  <si>
    <t>disitamab vedotin</t>
  </si>
  <si>
    <t>ladiratuzumab vedotin</t>
  </si>
  <si>
    <t>mTNBC</t>
  </si>
  <si>
    <t>SEA-CD40</t>
  </si>
  <si>
    <t>SEA-BCMA</t>
  </si>
  <si>
    <t>SGN-CD228A</t>
  </si>
  <si>
    <t>SEA-CD70</t>
  </si>
  <si>
    <t>SEA-TGT</t>
  </si>
  <si>
    <t>SGN-B6A</t>
  </si>
  <si>
    <t>SGN-STNV</t>
  </si>
  <si>
    <t>SGN-B7H4V</t>
  </si>
  <si>
    <t>SGN-PDL1V</t>
  </si>
  <si>
    <t>SGN-ALPV</t>
  </si>
  <si>
    <t>Phase</t>
  </si>
  <si>
    <t>I</t>
  </si>
  <si>
    <t>PC</t>
  </si>
  <si>
    <t>II</t>
  </si>
  <si>
    <t>Discount</t>
  </si>
  <si>
    <t>Maturity</t>
  </si>
  <si>
    <t>ROIC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</si>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</sst>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quotePrefix="1" applyBorder="1"/>
    <xf numFmtId="0" fontId="0" fillId="0" borderId="0" xfId="0" applyFill="1" applyBorder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23232</xdr:colOff>
      <xdr:row>0</xdr:row>
      <xdr:rowOff>102220</xdr:rowOff>
    </xdr:from>
    <xdr:to>
      <xdr:col>13</xdr:col>
      <xdr:colOff>23232</xdr:colOff>
      <xdr:row>25</xdr:row>
      <xdr:rowOff>69695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F138153-85EF-348B-6DEF-9B3EB52F50B2}"/>
            </a:ext>
          </a:extLst>
        </xdr:cNvPr>
        <xdr:cNvCxnSpPr/>
      </xdr:nvCxnSpPr>
      <xdr:spPr>
        <a:xfrm>
          <a:off x="7304049" y="102220"/>
          <a:ext cx="0" cy="38704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4891</xdr:colOff>
      <xdr:row>0</xdr:row>
      <xdr:rowOff>37049</xdr:rowOff>
    </xdr:from>
    <xdr:to>
      <xdr:col>26</xdr:col>
      <xdr:colOff>4891</xdr:colOff>
      <xdr:row>33</xdr:row>
      <xdr:rowOff>135355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0760B9-4EE9-4A31-8EC7-FE84FF92E1B2}"/>
            </a:ext>
          </a:extLst>
        </xdr:cNvPr>
        <xdr:cNvCxnSpPr/>
      </xdr:nvCxnSpPr>
      <xdr:spPr>
        <a:xfrm>
          <a:off x="15876549" y="37049"/>
          <a:ext cx="0" cy="5392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28AE-D6AF-4101-AD48-D2B6D55E6982}">
  <dimension ref="B2:L23"/>
  <sheetViews>
    <sheetView tabSelected="1" zoomScale="175" zoomScaleNormal="175" workbookViewId="0"/>
  </sheetViews>
  <sheetFormatPr defaultRowHeight="12.75" x14ac:dyDescent="0.2"/>
  <cols>
    <col min="1" max="1" width="2.42578125" customWidth="1"/>
    <col min="2" max="2" width="25" customWidth="1"/>
  </cols>
  <sheetData>
    <row r="2" spans="2:12" x14ac:dyDescent="0.2">
      <c r="B2" s="10" t="s">
        <v>7</v>
      </c>
      <c r="C2" s="11" t="s">
        <v>57</v>
      </c>
      <c r="D2" s="11" t="s">
        <v>58</v>
      </c>
      <c r="E2" s="11" t="s">
        <v>59</v>
      </c>
      <c r="F2" s="11" t="s">
        <v>60</v>
      </c>
      <c r="G2" s="11"/>
      <c r="H2" s="12"/>
      <c r="J2" t="s">
        <v>0</v>
      </c>
      <c r="K2" s="1">
        <v>133.18</v>
      </c>
    </row>
    <row r="3" spans="2:12" x14ac:dyDescent="0.2">
      <c r="B3" s="4" t="s">
        <v>68</v>
      </c>
      <c r="C3" s="5" t="s">
        <v>69</v>
      </c>
      <c r="D3" s="5"/>
      <c r="E3" s="5"/>
      <c r="F3" s="5" t="s">
        <v>65</v>
      </c>
      <c r="G3" s="5"/>
      <c r="H3" s="6"/>
      <c r="J3" t="s">
        <v>1</v>
      </c>
      <c r="K3" s="2">
        <v>184.43545599999999</v>
      </c>
      <c r="L3" s="3" t="s">
        <v>6</v>
      </c>
    </row>
    <row r="4" spans="2:12" x14ac:dyDescent="0.2">
      <c r="B4" s="4" t="s">
        <v>67</v>
      </c>
      <c r="C4" s="5" t="s">
        <v>70</v>
      </c>
      <c r="D4" s="5"/>
      <c r="E4" s="5"/>
      <c r="F4" s="25" t="s">
        <v>66</v>
      </c>
      <c r="G4" s="5"/>
      <c r="H4" s="6"/>
      <c r="J4" t="s">
        <v>2</v>
      </c>
      <c r="K4" s="2">
        <f>+K2*K3</f>
        <v>24563.11403008</v>
      </c>
    </row>
    <row r="5" spans="2:12" x14ac:dyDescent="0.2">
      <c r="B5" s="4" t="s">
        <v>71</v>
      </c>
      <c r="C5" s="26" t="s">
        <v>72</v>
      </c>
      <c r="D5" s="5"/>
      <c r="E5" s="5"/>
      <c r="F5" s="5"/>
      <c r="G5" s="5"/>
      <c r="H5" s="6"/>
      <c r="J5" t="s">
        <v>3</v>
      </c>
      <c r="K5" s="2">
        <f>364.874+1485.448</f>
        <v>1850.3220000000001</v>
      </c>
      <c r="L5" s="3" t="s">
        <v>6</v>
      </c>
    </row>
    <row r="6" spans="2:12" x14ac:dyDescent="0.2">
      <c r="B6" s="4" t="s">
        <v>73</v>
      </c>
      <c r="C6" s="26" t="s">
        <v>74</v>
      </c>
      <c r="D6" s="5"/>
      <c r="E6" s="5"/>
      <c r="F6" s="5"/>
      <c r="G6" s="5"/>
      <c r="H6" s="6"/>
      <c r="J6" t="s">
        <v>4</v>
      </c>
      <c r="K6" s="2">
        <v>0</v>
      </c>
      <c r="L6" s="3" t="s">
        <v>6</v>
      </c>
    </row>
    <row r="7" spans="2:12" x14ac:dyDescent="0.2">
      <c r="B7" s="4" t="s">
        <v>62</v>
      </c>
      <c r="C7" s="5"/>
      <c r="D7" s="5"/>
      <c r="E7" s="5"/>
      <c r="F7" s="5" t="s">
        <v>63</v>
      </c>
      <c r="G7" s="5"/>
      <c r="H7" s="6"/>
      <c r="J7" t="s">
        <v>5</v>
      </c>
      <c r="K7" s="2">
        <f>+K4-K5+K6</f>
        <v>22712.79203008</v>
      </c>
    </row>
    <row r="8" spans="2:12" x14ac:dyDescent="0.2">
      <c r="B8" s="7" t="s">
        <v>61</v>
      </c>
      <c r="C8" s="8"/>
      <c r="D8" s="8"/>
      <c r="E8" s="8"/>
      <c r="F8" s="8" t="s">
        <v>64</v>
      </c>
      <c r="G8" s="8"/>
      <c r="H8" s="9"/>
    </row>
    <row r="9" spans="2:12" x14ac:dyDescent="0.2">
      <c r="B9" s="10"/>
      <c r="C9" s="11"/>
      <c r="D9" s="11"/>
      <c r="E9" s="11" t="s">
        <v>88</v>
      </c>
      <c r="F9" s="11"/>
      <c r="G9" s="11"/>
      <c r="H9" s="12"/>
      <c r="J9" t="s">
        <v>12</v>
      </c>
      <c r="K9" t="s">
        <v>13</v>
      </c>
    </row>
    <row r="10" spans="2:12" x14ac:dyDescent="0.2">
      <c r="B10" s="4" t="s">
        <v>55</v>
      </c>
      <c r="C10" s="5"/>
      <c r="D10" s="5"/>
      <c r="E10" s="5" t="s">
        <v>91</v>
      </c>
      <c r="F10" s="5" t="s">
        <v>56</v>
      </c>
      <c r="G10" s="5"/>
      <c r="H10" s="6"/>
      <c r="J10" t="s">
        <v>14</v>
      </c>
      <c r="K10" t="s">
        <v>13</v>
      </c>
    </row>
    <row r="11" spans="2:12" x14ac:dyDescent="0.2">
      <c r="B11" s="4" t="s">
        <v>75</v>
      </c>
      <c r="C11" s="5" t="s">
        <v>70</v>
      </c>
      <c r="D11" s="5"/>
      <c r="E11" s="5" t="s">
        <v>91</v>
      </c>
      <c r="F11" s="5"/>
      <c r="G11" s="5"/>
      <c r="H11" s="6"/>
    </row>
    <row r="12" spans="2:12" x14ac:dyDescent="0.2">
      <c r="B12" s="4" t="s">
        <v>76</v>
      </c>
      <c r="C12" s="5" t="s">
        <v>77</v>
      </c>
      <c r="D12" s="5"/>
      <c r="E12" s="5" t="s">
        <v>91</v>
      </c>
      <c r="F12" s="5"/>
      <c r="G12" s="5"/>
      <c r="H12" s="6"/>
    </row>
    <row r="13" spans="2:12" x14ac:dyDescent="0.2">
      <c r="B13" s="4" t="s">
        <v>78</v>
      </c>
      <c r="C13" s="5"/>
      <c r="D13" s="5"/>
      <c r="E13" s="5" t="s">
        <v>91</v>
      </c>
      <c r="F13" s="5"/>
      <c r="G13" s="5"/>
      <c r="H13" s="6"/>
    </row>
    <row r="14" spans="2:12" x14ac:dyDescent="0.2">
      <c r="B14" s="4" t="s">
        <v>79</v>
      </c>
      <c r="C14" s="5"/>
      <c r="D14" s="5"/>
      <c r="E14" s="5" t="s">
        <v>89</v>
      </c>
      <c r="F14" s="5"/>
      <c r="G14" s="5"/>
      <c r="H14" s="6"/>
    </row>
    <row r="15" spans="2:12" x14ac:dyDescent="0.2">
      <c r="B15" s="4" t="s">
        <v>80</v>
      </c>
      <c r="C15" s="5"/>
      <c r="D15" s="5"/>
      <c r="E15" s="5" t="s">
        <v>89</v>
      </c>
      <c r="F15" s="5"/>
      <c r="G15" s="5"/>
      <c r="H15" s="6"/>
    </row>
    <row r="16" spans="2:12" x14ac:dyDescent="0.2">
      <c r="B16" s="4" t="s">
        <v>54</v>
      </c>
      <c r="C16" s="5"/>
      <c r="D16" s="5"/>
      <c r="E16" s="5" t="s">
        <v>90</v>
      </c>
      <c r="F16" s="5"/>
      <c r="G16" s="5"/>
      <c r="H16" s="6"/>
    </row>
    <row r="17" spans="2:8" x14ac:dyDescent="0.2">
      <c r="B17" s="4" t="s">
        <v>82</v>
      </c>
      <c r="C17" s="5"/>
      <c r="D17" s="5"/>
      <c r="E17" s="5" t="s">
        <v>89</v>
      </c>
      <c r="F17" s="5"/>
      <c r="G17" s="5"/>
      <c r="H17" s="6"/>
    </row>
    <row r="18" spans="2:8" x14ac:dyDescent="0.2">
      <c r="B18" s="4" t="s">
        <v>83</v>
      </c>
      <c r="C18" s="5"/>
      <c r="D18" s="5"/>
      <c r="E18" s="5" t="s">
        <v>89</v>
      </c>
      <c r="F18" s="5"/>
      <c r="G18" s="5"/>
      <c r="H18" s="6"/>
    </row>
    <row r="19" spans="2:8" x14ac:dyDescent="0.2">
      <c r="B19" s="4" t="s">
        <v>84</v>
      </c>
      <c r="C19" s="5"/>
      <c r="D19" s="5"/>
      <c r="E19" s="5" t="s">
        <v>89</v>
      </c>
      <c r="F19" s="5"/>
      <c r="G19" s="5"/>
      <c r="H19" s="6"/>
    </row>
    <row r="20" spans="2:8" x14ac:dyDescent="0.2">
      <c r="B20" s="4" t="s">
        <v>85</v>
      </c>
      <c r="C20" s="5"/>
      <c r="D20" s="5"/>
      <c r="E20" s="5" t="s">
        <v>89</v>
      </c>
      <c r="F20" s="5"/>
      <c r="G20" s="5"/>
      <c r="H20" s="6"/>
    </row>
    <row r="21" spans="2:8" x14ac:dyDescent="0.2">
      <c r="B21" s="4" t="s">
        <v>86</v>
      </c>
      <c r="C21" s="5"/>
      <c r="D21" s="5"/>
      <c r="E21" s="5" t="s">
        <v>89</v>
      </c>
      <c r="F21" s="5"/>
      <c r="G21" s="5"/>
      <c r="H21" s="6"/>
    </row>
    <row r="22" spans="2:8" x14ac:dyDescent="0.2">
      <c r="B22" s="4" t="s">
        <v>87</v>
      </c>
      <c r="C22" s="5"/>
      <c r="D22" s="5"/>
      <c r="E22" s="5" t="s">
        <v>89</v>
      </c>
      <c r="F22" s="5"/>
      <c r="G22" s="5"/>
      <c r="H22" s="6"/>
    </row>
    <row r="23" spans="2:8" x14ac:dyDescent="0.2">
      <c r="B23" s="7" t="s">
        <v>81</v>
      </c>
      <c r="C23" s="8"/>
      <c r="D23" s="8"/>
      <c r="E23" s="8" t="s">
        <v>89</v>
      </c>
      <c r="F23" s="8"/>
      <c r="G23" s="8"/>
      <c r="H2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912D-D6E1-4833-8E20-8704C5D1DCB4}">
  <dimension ref="A1:CP27"/>
  <sheetViews>
    <sheetView zoomScale="190" zoomScaleNormal="19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A5" sqref="AA5"/>
    </sheetView>
  </sheetViews>
  <sheetFormatPr defaultRowHeight="12.75" x14ac:dyDescent="0.2"/>
  <cols>
    <col min="1" max="1" width="5" bestFit="1" customWidth="1"/>
    <col min="2" max="2" width="12.85546875" customWidth="1"/>
    <col min="3" max="15" width="9.140625" style="3"/>
    <col min="38" max="38" width="8.28515625" customWidth="1"/>
  </cols>
  <sheetData>
    <row r="1" spans="1:40" x14ac:dyDescent="0.2">
      <c r="A1" s="22" t="s">
        <v>15</v>
      </c>
    </row>
    <row r="2" spans="1:40" x14ac:dyDescent="0.2">
      <c r="C2" s="3" t="s">
        <v>52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6</v>
      </c>
      <c r="N2" s="3" t="s">
        <v>25</v>
      </c>
      <c r="O2" s="3" t="s">
        <v>26</v>
      </c>
      <c r="T2">
        <v>2015</v>
      </c>
      <c r="U2">
        <f>+T2+1</f>
        <v>2016</v>
      </c>
      <c r="V2">
        <f t="shared" ref="V2:AN2" si="0">+U2+1</f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</row>
    <row r="3" spans="1:40" s="15" customFormat="1" x14ac:dyDescent="0.2">
      <c r="B3" s="15" t="s">
        <v>8</v>
      </c>
      <c r="C3" s="16">
        <v>166.2</v>
      </c>
      <c r="D3" s="16">
        <v>164.1</v>
      </c>
      <c r="E3" s="16">
        <v>167.5</v>
      </c>
      <c r="F3" s="16">
        <v>163.30000000000001</v>
      </c>
      <c r="G3" s="16">
        <v>163.69999999999999</v>
      </c>
      <c r="H3" s="16">
        <v>162.55000000000001</v>
      </c>
      <c r="I3" s="16">
        <v>181.9</v>
      </c>
      <c r="J3" s="16">
        <v>184.8</v>
      </c>
      <c r="K3" s="16">
        <v>176.3</v>
      </c>
      <c r="L3" s="16">
        <v>181</v>
      </c>
      <c r="M3" s="16">
        <v>201.9</v>
      </c>
      <c r="N3" s="16">
        <f>+J3*1.1</f>
        <v>203.28000000000003</v>
      </c>
      <c r="O3" s="16">
        <f>+K3*1.1</f>
        <v>193.93000000000004</v>
      </c>
      <c r="Y3" s="15">
        <f>SUM(D3:G3)</f>
        <v>658.6</v>
      </c>
      <c r="Z3" s="15">
        <f>SUM(H3:K3)</f>
        <v>705.55</v>
      </c>
      <c r="AA3" s="15">
        <f>SUM(L3:O3)</f>
        <v>780.11000000000013</v>
      </c>
      <c r="AB3" s="15">
        <f>+AA3*1.03</f>
        <v>803.51330000000019</v>
      </c>
      <c r="AC3" s="15">
        <f t="shared" ref="AC3:AI3" si="1">+AB3*1.03</f>
        <v>827.61869900000022</v>
      </c>
      <c r="AD3" s="15">
        <f t="shared" si="1"/>
        <v>852.44725997000023</v>
      </c>
      <c r="AE3" s="15">
        <f t="shared" si="1"/>
        <v>878.0206777691003</v>
      </c>
      <c r="AF3" s="15">
        <f t="shared" si="1"/>
        <v>904.36129810217335</v>
      </c>
      <c r="AG3" s="15">
        <f t="shared" si="1"/>
        <v>931.49213704523856</v>
      </c>
      <c r="AH3" s="15">
        <f t="shared" si="1"/>
        <v>959.4369011565957</v>
      </c>
      <c r="AI3" s="15">
        <f t="shared" si="1"/>
        <v>988.22000819129357</v>
      </c>
    </row>
    <row r="4" spans="1:40" s="15" customFormat="1" x14ac:dyDescent="0.2">
      <c r="B4" s="15" t="s">
        <v>9</v>
      </c>
      <c r="C4" s="16">
        <v>0.2</v>
      </c>
      <c r="D4" s="16">
        <v>34.5</v>
      </c>
      <c r="E4" s="16">
        <v>57.2</v>
      </c>
      <c r="F4" s="16">
        <v>61.8</v>
      </c>
      <c r="G4" s="16">
        <v>69</v>
      </c>
      <c r="H4" s="16">
        <v>69.75</v>
      </c>
      <c r="I4" s="16">
        <v>82.4</v>
      </c>
      <c r="J4" s="16">
        <v>95</v>
      </c>
      <c r="K4" s="16">
        <v>92.7</v>
      </c>
      <c r="L4" s="16">
        <v>100.2</v>
      </c>
      <c r="M4" s="16">
        <v>123.6</v>
      </c>
      <c r="N4" s="16">
        <f t="shared" ref="N4:N7" si="2">+J4*1.1</f>
        <v>104.50000000000001</v>
      </c>
      <c r="O4" s="16">
        <f t="shared" ref="O4:O7" si="3">+K4*1.1</f>
        <v>101.97000000000001</v>
      </c>
      <c r="Y4" s="15">
        <f t="shared" ref="Y4:Y8" si="4">SUM(D4:G4)</f>
        <v>222.5</v>
      </c>
      <c r="Z4" s="15">
        <f t="shared" ref="Z4:Z8" si="5">SUM(H4:K4)</f>
        <v>339.85</v>
      </c>
      <c r="AA4" s="15">
        <f t="shared" ref="AA4:AA8" si="6">SUM(L4:O4)</f>
        <v>430.27000000000004</v>
      </c>
      <c r="AB4" s="15">
        <f>+AA4*1.4</f>
        <v>602.37800000000004</v>
      </c>
      <c r="AC4" s="15">
        <f>+AB4*1.2</f>
        <v>722.85360000000003</v>
      </c>
      <c r="AD4" s="15">
        <f>+AC4*1.2</f>
        <v>867.42431999999997</v>
      </c>
      <c r="AE4" s="15">
        <f>+AD4*1.15</f>
        <v>997.53796799999986</v>
      </c>
      <c r="AF4" s="15">
        <f>+AE4*1.1</f>
        <v>1097.2917648</v>
      </c>
      <c r="AG4" s="15">
        <f>+AF4*1.03</f>
        <v>1130.2105177440001</v>
      </c>
      <c r="AH4" s="15">
        <f t="shared" ref="AH4:AI4" si="7">+AG4*1.03</f>
        <v>1164.11683327632</v>
      </c>
      <c r="AI4" s="15">
        <f t="shared" si="7"/>
        <v>1199.0403382746097</v>
      </c>
    </row>
    <row r="5" spans="1:40" s="15" customFormat="1" x14ac:dyDescent="0.2">
      <c r="B5" s="15" t="s">
        <v>10</v>
      </c>
      <c r="C5" s="16">
        <v>0</v>
      </c>
      <c r="D5" s="16">
        <v>0</v>
      </c>
      <c r="E5" s="16">
        <v>15.8</v>
      </c>
      <c r="F5" s="16">
        <v>42.4</v>
      </c>
      <c r="G5" s="16">
        <v>61.4</v>
      </c>
      <c r="H5" s="16">
        <v>70.3</v>
      </c>
      <c r="I5" s="16">
        <v>83</v>
      </c>
      <c r="J5" s="16">
        <v>86.6</v>
      </c>
      <c r="K5" s="16">
        <v>94.1</v>
      </c>
      <c r="L5" s="16">
        <v>90.5</v>
      </c>
      <c r="M5" s="16">
        <v>89</v>
      </c>
      <c r="N5" s="16">
        <f t="shared" si="2"/>
        <v>95.26</v>
      </c>
      <c r="O5" s="16">
        <f t="shared" si="3"/>
        <v>103.51</v>
      </c>
      <c r="Y5" s="15">
        <f t="shared" si="4"/>
        <v>119.6</v>
      </c>
      <c r="Z5" s="15">
        <f t="shared" si="5"/>
        <v>334</v>
      </c>
      <c r="AA5" s="15">
        <f t="shared" si="6"/>
        <v>378.27</v>
      </c>
      <c r="AB5" s="15">
        <f>+AA5*1.05</f>
        <v>397.18349999999998</v>
      </c>
      <c r="AC5" s="15">
        <f t="shared" ref="AC5:AI5" si="8">+AB5*1.05</f>
        <v>417.04267499999997</v>
      </c>
      <c r="AD5" s="15">
        <f t="shared" si="8"/>
        <v>437.89480874999998</v>
      </c>
      <c r="AE5" s="15">
        <f t="shared" si="8"/>
        <v>459.78954918749997</v>
      </c>
      <c r="AF5" s="15">
        <f t="shared" si="8"/>
        <v>482.77902664687497</v>
      </c>
      <c r="AG5" s="15">
        <f t="shared" si="8"/>
        <v>506.91797797921873</v>
      </c>
      <c r="AH5" s="15">
        <f t="shared" si="8"/>
        <v>532.26387687817964</v>
      </c>
      <c r="AI5" s="15">
        <f t="shared" si="8"/>
        <v>558.87707072208866</v>
      </c>
    </row>
    <row r="6" spans="1:40" s="15" customFormat="1" x14ac:dyDescent="0.2">
      <c r="B6" s="15" t="s">
        <v>11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0.1</v>
      </c>
      <c r="K6" s="16">
        <v>6.1</v>
      </c>
      <c r="L6" s="16">
        <v>11.4</v>
      </c>
      <c r="M6" s="16">
        <v>17.2</v>
      </c>
      <c r="N6" s="16">
        <f>+M6+5</f>
        <v>22.2</v>
      </c>
      <c r="O6" s="16">
        <f>+N6+5</f>
        <v>27.2</v>
      </c>
      <c r="Y6" s="15">
        <f t="shared" si="4"/>
        <v>0</v>
      </c>
      <c r="Z6" s="15">
        <f t="shared" si="5"/>
        <v>6.1999999999999993</v>
      </c>
      <c r="AA6" s="15">
        <f t="shared" si="6"/>
        <v>78</v>
      </c>
      <c r="AB6" s="15">
        <f>+AA6*2</f>
        <v>156</v>
      </c>
      <c r="AC6" s="15">
        <f>+AB6*1.5</f>
        <v>234</v>
      </c>
      <c r="AD6" s="15">
        <f>+AC6*1.5</f>
        <v>351</v>
      </c>
      <c r="AE6" s="15">
        <f>+AD6*1.2</f>
        <v>421.2</v>
      </c>
      <c r="AF6" s="15">
        <f>+AE6*1.2</f>
        <v>505.43999999999994</v>
      </c>
      <c r="AG6" s="15">
        <f>+AF6*1.05</f>
        <v>530.71199999999999</v>
      </c>
      <c r="AH6" s="15">
        <f>+AG6*1.05</f>
        <v>557.24760000000003</v>
      </c>
      <c r="AI6" s="15">
        <f>+AH6*1.05</f>
        <v>585.10998000000006</v>
      </c>
    </row>
    <row r="7" spans="1:40" s="15" customFormat="1" x14ac:dyDescent="0.2">
      <c r="B7" s="15" t="s">
        <v>28</v>
      </c>
      <c r="C7" s="16">
        <v>72.272999999999996</v>
      </c>
      <c r="D7" s="16">
        <v>20.36</v>
      </c>
      <c r="E7" s="16">
        <v>31.234999999999999</v>
      </c>
      <c r="F7" s="24">
        <v>0</v>
      </c>
      <c r="G7" s="16">
        <v>39.200000000000003</v>
      </c>
      <c r="H7" s="16">
        <v>27.2</v>
      </c>
      <c r="I7" s="16">
        <v>36.295999999999999</v>
      </c>
      <c r="J7" s="16">
        <v>41.027999999999999</v>
      </c>
      <c r="K7" s="16">
        <v>46</v>
      </c>
      <c r="L7" s="16">
        <v>28.2</v>
      </c>
      <c r="M7" s="16">
        <v>39.1</v>
      </c>
      <c r="N7" s="16">
        <f t="shared" si="2"/>
        <v>45.130800000000001</v>
      </c>
      <c r="O7" s="16">
        <f t="shared" si="3"/>
        <v>50.6</v>
      </c>
      <c r="Y7" s="15">
        <f t="shared" si="4"/>
        <v>90.795000000000002</v>
      </c>
      <c r="Z7" s="15">
        <f t="shared" si="5"/>
        <v>150.524</v>
      </c>
      <c r="AA7" s="15">
        <f t="shared" si="6"/>
        <v>163.0308</v>
      </c>
      <c r="AB7" s="15">
        <f>+AA7*1.03</f>
        <v>167.92172400000001</v>
      </c>
      <c r="AC7" s="15">
        <f t="shared" ref="AC7:AI7" si="9">+AB7*1.03</f>
        <v>172.95937572000003</v>
      </c>
      <c r="AD7" s="15">
        <f t="shared" si="9"/>
        <v>178.14815699160002</v>
      </c>
      <c r="AE7" s="15">
        <f t="shared" si="9"/>
        <v>183.49260170134804</v>
      </c>
      <c r="AF7" s="15">
        <f t="shared" si="9"/>
        <v>188.99737975238847</v>
      </c>
      <c r="AG7" s="15">
        <f t="shared" si="9"/>
        <v>194.66730114496013</v>
      </c>
      <c r="AH7" s="15">
        <f t="shared" si="9"/>
        <v>200.50732017930895</v>
      </c>
      <c r="AI7" s="15">
        <f t="shared" si="9"/>
        <v>206.52253978468823</v>
      </c>
    </row>
    <row r="8" spans="1:40" s="15" customFormat="1" x14ac:dyDescent="0.2">
      <c r="B8" s="15" t="s">
        <v>29</v>
      </c>
      <c r="C8" s="21" t="s">
        <v>53</v>
      </c>
      <c r="D8" s="21" t="s">
        <v>51</v>
      </c>
      <c r="E8" s="21" t="s">
        <v>50</v>
      </c>
      <c r="F8" s="21">
        <v>0</v>
      </c>
      <c r="G8" s="21" t="s">
        <v>43</v>
      </c>
      <c r="H8" s="21" t="s">
        <v>47</v>
      </c>
      <c r="I8" s="21" t="s">
        <v>48</v>
      </c>
      <c r="J8" s="21" t="s">
        <v>49</v>
      </c>
      <c r="K8" s="21" t="s">
        <v>44</v>
      </c>
      <c r="L8" s="21" t="s">
        <v>45</v>
      </c>
      <c r="M8" s="21" t="s">
        <v>46</v>
      </c>
      <c r="N8" s="16"/>
      <c r="O8" s="16"/>
      <c r="Y8" s="15">
        <f t="shared" si="4"/>
        <v>0</v>
      </c>
      <c r="Z8" s="15">
        <f t="shared" si="5"/>
        <v>0</v>
      </c>
      <c r="AA8" s="15">
        <f t="shared" si="6"/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</row>
    <row r="9" spans="1:40" s="17" customFormat="1" x14ac:dyDescent="0.2">
      <c r="B9" s="17" t="s">
        <v>27</v>
      </c>
      <c r="C9" s="18">
        <f>SUM(C3:C8)</f>
        <v>238.67299999999997</v>
      </c>
      <c r="D9" s="18">
        <f>SUM(D3:D8)</f>
        <v>218.95999999999998</v>
      </c>
      <c r="E9" s="18">
        <f>SUM(E3:E8)</f>
        <v>271.73500000000001</v>
      </c>
      <c r="F9" s="18">
        <f>SUM(F3:F8)</f>
        <v>267.5</v>
      </c>
      <c r="G9" s="18">
        <f>SUM(G3:G8)</f>
        <v>333.29999999999995</v>
      </c>
      <c r="H9" s="18">
        <f>SUM(H3:H8)</f>
        <v>329.8</v>
      </c>
      <c r="I9" s="18">
        <f>SUM(I3:I8)</f>
        <v>383.596</v>
      </c>
      <c r="J9" s="18">
        <f>SUM(J3:J8)</f>
        <v>407.52800000000002</v>
      </c>
      <c r="K9" s="18">
        <f>SUM(K3:K8)</f>
        <v>415.20000000000005</v>
      </c>
      <c r="L9" s="18">
        <f>SUM(L3:L8)</f>
        <v>411.29999999999995</v>
      </c>
      <c r="M9" s="18">
        <f>SUM(M3:M8)</f>
        <v>470.8</v>
      </c>
      <c r="N9" s="18">
        <f t="shared" ref="N9:O9" si="10">SUM(N3:N8)</f>
        <v>470.37080000000003</v>
      </c>
      <c r="O9" s="18">
        <f t="shared" si="10"/>
        <v>477.21000000000004</v>
      </c>
      <c r="Y9" s="17">
        <f>SUM(Y3:Y8)</f>
        <v>1091.4950000000001</v>
      </c>
      <c r="Z9" s="17">
        <f>SUM(Z3:Z8)</f>
        <v>1536.1240000000003</v>
      </c>
      <c r="AA9" s="17">
        <f>SUM(AA3:AA8)</f>
        <v>1829.6808000000001</v>
      </c>
      <c r="AB9" s="17">
        <f t="shared" ref="AB9:AI9" si="11">SUM(AB3:AB8)</f>
        <v>2126.9965240000001</v>
      </c>
      <c r="AC9" s="17">
        <f t="shared" si="11"/>
        <v>2374.4743497200002</v>
      </c>
      <c r="AD9" s="17">
        <f t="shared" si="11"/>
        <v>2686.9145457116001</v>
      </c>
      <c r="AE9" s="17">
        <f t="shared" si="11"/>
        <v>2940.0407966579482</v>
      </c>
      <c r="AF9" s="17">
        <f t="shared" si="11"/>
        <v>3178.8694693014368</v>
      </c>
      <c r="AG9" s="17">
        <f t="shared" si="11"/>
        <v>3293.9999339134179</v>
      </c>
      <c r="AH9" s="17">
        <f t="shared" si="11"/>
        <v>3413.5725314904048</v>
      </c>
      <c r="AI9" s="17">
        <f t="shared" si="11"/>
        <v>3537.7699369726806</v>
      </c>
    </row>
    <row r="10" spans="1:40" s="15" customFormat="1" x14ac:dyDescent="0.2">
      <c r="B10" s="15" t="s">
        <v>30</v>
      </c>
      <c r="C10" s="16">
        <v>11.928000000000001</v>
      </c>
      <c r="D10" s="16">
        <v>29.420999999999999</v>
      </c>
      <c r="E10" s="16">
        <v>48.244</v>
      </c>
      <c r="F10" s="16">
        <v>61.8</v>
      </c>
      <c r="G10" s="16">
        <v>61.8</v>
      </c>
      <c r="H10" s="16">
        <v>64.135000000000005</v>
      </c>
      <c r="I10" s="16">
        <v>78.09</v>
      </c>
      <c r="J10" s="16">
        <v>82.65</v>
      </c>
      <c r="K10" s="16">
        <v>86.7</v>
      </c>
      <c r="L10" s="16">
        <v>87.626000000000005</v>
      </c>
      <c r="M10" s="16">
        <v>106.1</v>
      </c>
      <c r="N10" s="16">
        <f>+N9-N11</f>
        <v>94.074160000000006</v>
      </c>
      <c r="O10" s="16">
        <f>+O9-O11</f>
        <v>95.442000000000007</v>
      </c>
      <c r="Y10" s="15">
        <f t="shared" ref="Y10" si="12">SUM(D10:G10)</f>
        <v>201.26499999999999</v>
      </c>
      <c r="Z10" s="15">
        <f t="shared" ref="Z10" si="13">SUM(H10:K10)</f>
        <v>311.57500000000005</v>
      </c>
      <c r="AA10" s="15">
        <f t="shared" ref="AA10" si="14">SUM(L10:O10)</f>
        <v>383.24216000000001</v>
      </c>
      <c r="AB10" s="15">
        <f>+AB9-AB11</f>
        <v>425.39930479999998</v>
      </c>
      <c r="AC10" s="15">
        <f t="shared" ref="AC10:AI10" si="15">+AC9-AC11</f>
        <v>474.89486994399999</v>
      </c>
      <c r="AD10" s="15">
        <f t="shared" si="15"/>
        <v>537.38290914231993</v>
      </c>
      <c r="AE10" s="15">
        <f t="shared" si="15"/>
        <v>588.00815933158947</v>
      </c>
      <c r="AF10" s="15">
        <f t="shared" si="15"/>
        <v>635.77389386028699</v>
      </c>
      <c r="AG10" s="15">
        <f t="shared" si="15"/>
        <v>658.79998678268339</v>
      </c>
      <c r="AH10" s="15">
        <f t="shared" si="15"/>
        <v>682.71450629808078</v>
      </c>
      <c r="AI10" s="15">
        <f t="shared" si="15"/>
        <v>707.55398739453585</v>
      </c>
    </row>
    <row r="11" spans="1:40" s="15" customFormat="1" x14ac:dyDescent="0.2">
      <c r="B11" s="15" t="s">
        <v>31</v>
      </c>
      <c r="C11" s="16">
        <f>+C9-C10</f>
        <v>226.74499999999998</v>
      </c>
      <c r="D11" s="16">
        <f>+D9-D10</f>
        <v>189.53899999999999</v>
      </c>
      <c r="E11" s="16">
        <f>+E9-E10</f>
        <v>223.49100000000001</v>
      </c>
      <c r="F11" s="16">
        <f>+F9-F10</f>
        <v>205.7</v>
      </c>
      <c r="G11" s="16">
        <f>+G9-G10</f>
        <v>271.49999999999994</v>
      </c>
      <c r="H11" s="16">
        <f>+H9-H10</f>
        <v>265.66500000000002</v>
      </c>
      <c r="I11" s="16">
        <f>+I9-I10</f>
        <v>305.50599999999997</v>
      </c>
      <c r="J11" s="16">
        <f>+J9-J10</f>
        <v>324.87800000000004</v>
      </c>
      <c r="K11" s="16">
        <f>+K9-K10</f>
        <v>328.50000000000006</v>
      </c>
      <c r="L11" s="16">
        <f>+L9-L10</f>
        <v>323.67399999999998</v>
      </c>
      <c r="M11" s="16">
        <f>+M9-M10</f>
        <v>364.70000000000005</v>
      </c>
      <c r="N11" s="16">
        <f>+N9*0.8</f>
        <v>376.29664000000002</v>
      </c>
      <c r="O11" s="16">
        <f>+O9*0.8</f>
        <v>381.76800000000003</v>
      </c>
      <c r="Y11" s="15">
        <f>+Y9-Y10</f>
        <v>890.23000000000013</v>
      </c>
      <c r="Z11" s="15">
        <f t="shared" ref="Z11:AA11" si="16">+Z9-Z10</f>
        <v>1224.5490000000002</v>
      </c>
      <c r="AA11" s="15">
        <f t="shared" si="16"/>
        <v>1446.4386400000001</v>
      </c>
      <c r="AB11" s="15">
        <f>+AB9*0.8</f>
        <v>1701.5972192000002</v>
      </c>
      <c r="AC11" s="15">
        <f t="shared" ref="AC11:AI11" si="17">+AC9*0.8</f>
        <v>1899.5794797760002</v>
      </c>
      <c r="AD11" s="15">
        <f t="shared" si="17"/>
        <v>2149.5316365692802</v>
      </c>
      <c r="AE11" s="15">
        <f t="shared" si="17"/>
        <v>2352.0326373263588</v>
      </c>
      <c r="AF11" s="15">
        <f t="shared" si="17"/>
        <v>2543.0955754411498</v>
      </c>
      <c r="AG11" s="15">
        <f t="shared" si="17"/>
        <v>2635.1999471307345</v>
      </c>
      <c r="AH11" s="15">
        <f t="shared" si="17"/>
        <v>2730.858025192324</v>
      </c>
      <c r="AI11" s="15">
        <f t="shared" si="17"/>
        <v>2830.2159495781448</v>
      </c>
    </row>
    <row r="12" spans="1:40" s="15" customFormat="1" x14ac:dyDescent="0.2">
      <c r="B12" s="15" t="s">
        <v>32</v>
      </c>
      <c r="C12" s="16">
        <v>201.06100000000001</v>
      </c>
      <c r="D12" s="16">
        <v>195.19900000000001</v>
      </c>
      <c r="E12" s="16">
        <v>198.077</v>
      </c>
      <c r="F12" s="16">
        <v>217.67</v>
      </c>
      <c r="G12" s="16">
        <v>216.184</v>
      </c>
      <c r="H12" s="16">
        <v>230.42599999999999</v>
      </c>
      <c r="I12" s="16">
        <v>234.86099999999999</v>
      </c>
      <c r="J12" s="16">
        <v>459.09199999999998</v>
      </c>
      <c r="K12" s="16">
        <v>304.3</v>
      </c>
      <c r="L12" s="16">
        <v>297.65899999999999</v>
      </c>
      <c r="M12" s="16">
        <v>304.25400000000002</v>
      </c>
      <c r="N12" s="16"/>
      <c r="O12" s="16"/>
      <c r="Y12" s="15">
        <f t="shared" ref="Y12:Y13" si="18">SUM(D12:G12)</f>
        <v>827.13</v>
      </c>
      <c r="Z12" s="15">
        <f t="shared" ref="Z12:Z13" si="19">SUM(H12:K12)</f>
        <v>1228.6789999999999</v>
      </c>
      <c r="AA12" s="15">
        <f t="shared" ref="AA12:AA13" si="20">SUM(L12:O12)</f>
        <v>601.91300000000001</v>
      </c>
    </row>
    <row r="13" spans="1:40" s="15" customFormat="1" x14ac:dyDescent="0.2">
      <c r="B13" s="15" t="s">
        <v>33</v>
      </c>
      <c r="C13" s="16">
        <v>115.229</v>
      </c>
      <c r="D13" s="16">
        <v>122.249</v>
      </c>
      <c r="E13" s="16">
        <v>125.642</v>
      </c>
      <c r="F13" s="16">
        <v>127.57899999999999</v>
      </c>
      <c r="G13" s="16">
        <v>158.36500000000001</v>
      </c>
      <c r="H13" s="16">
        <v>159.84200000000001</v>
      </c>
      <c r="I13" s="16">
        <v>165.13</v>
      </c>
      <c r="J13" s="16">
        <v>180.28100000000001</v>
      </c>
      <c r="K13" s="16">
        <v>210.9</v>
      </c>
      <c r="L13" s="16">
        <v>174.22499999999999</v>
      </c>
      <c r="M13" s="16">
        <v>220.25899999999999</v>
      </c>
      <c r="N13" s="16">
        <f>+J13*1.05</f>
        <v>189.29505</v>
      </c>
      <c r="O13" s="16">
        <f>+K13*1.05</f>
        <v>221.44500000000002</v>
      </c>
      <c r="Y13" s="15">
        <f t="shared" si="18"/>
        <v>533.83500000000004</v>
      </c>
      <c r="Z13" s="15">
        <f t="shared" si="19"/>
        <v>716.15300000000002</v>
      </c>
      <c r="AA13" s="15">
        <f t="shared" si="20"/>
        <v>805.22405000000003</v>
      </c>
      <c r="AB13" s="15">
        <v>400</v>
      </c>
      <c r="AC13" s="15">
        <f>+AB13*1.03</f>
        <v>412</v>
      </c>
      <c r="AD13" s="15">
        <f t="shared" ref="AD13:AI13" si="21">+AC13*1.03</f>
        <v>424.36</v>
      </c>
      <c r="AE13" s="15">
        <f t="shared" si="21"/>
        <v>437.0908</v>
      </c>
      <c r="AF13" s="15">
        <f t="shared" si="21"/>
        <v>450.20352400000002</v>
      </c>
      <c r="AG13" s="15">
        <f t="shared" si="21"/>
        <v>463.70962972000001</v>
      </c>
      <c r="AH13" s="15">
        <f t="shared" si="21"/>
        <v>477.62091861160002</v>
      </c>
      <c r="AI13" s="15">
        <f t="shared" si="21"/>
        <v>491.94954616994801</v>
      </c>
    </row>
    <row r="14" spans="1:40" s="15" customFormat="1" x14ac:dyDescent="0.2">
      <c r="B14" s="15" t="s">
        <v>34</v>
      </c>
      <c r="C14" s="16">
        <f>+C12+C13</f>
        <v>316.29000000000002</v>
      </c>
      <c r="D14" s="16">
        <f>+D12+D13</f>
        <v>317.44799999999998</v>
      </c>
      <c r="E14" s="16">
        <f>+E12+E13</f>
        <v>323.71899999999999</v>
      </c>
      <c r="F14" s="16">
        <f>+F12+F13</f>
        <v>345.24899999999997</v>
      </c>
      <c r="G14" s="16">
        <f>+G12+G13</f>
        <v>374.54899999999998</v>
      </c>
      <c r="H14" s="16">
        <f>+H12+H13</f>
        <v>390.26800000000003</v>
      </c>
      <c r="I14" s="16">
        <f>+I12+I13</f>
        <v>399.99099999999999</v>
      </c>
      <c r="J14" s="16">
        <f>+J12+J13</f>
        <v>639.37300000000005</v>
      </c>
      <c r="K14" s="16">
        <f>+K12+K13</f>
        <v>515.20000000000005</v>
      </c>
      <c r="L14" s="16">
        <f>+L12+L13</f>
        <v>471.88400000000001</v>
      </c>
      <c r="M14" s="16">
        <f>+M12+M13</f>
        <v>524.51300000000003</v>
      </c>
      <c r="N14" s="16">
        <f t="shared" ref="N14:O14" si="22">+N12+N13</f>
        <v>189.29505</v>
      </c>
      <c r="O14" s="16">
        <f t="shared" si="22"/>
        <v>221.44500000000002</v>
      </c>
      <c r="Y14" s="16">
        <f t="shared" ref="Y14" si="23">+Y12+Y13</f>
        <v>1360.9650000000001</v>
      </c>
      <c r="Z14" s="16">
        <f t="shared" ref="Z14" si="24">+Z12+Z13</f>
        <v>1944.8319999999999</v>
      </c>
      <c r="AA14" s="16">
        <f t="shared" ref="AA14" si="25">+AA12+AA13</f>
        <v>1407.13705</v>
      </c>
      <c r="AB14" s="16">
        <f t="shared" ref="AB14" si="26">+AB12+AB13</f>
        <v>400</v>
      </c>
      <c r="AC14" s="16">
        <f t="shared" ref="AC14" si="27">+AC12+AC13</f>
        <v>412</v>
      </c>
      <c r="AD14" s="16">
        <f t="shared" ref="AD14" si="28">+AD12+AD13</f>
        <v>424.36</v>
      </c>
      <c r="AE14" s="16">
        <f t="shared" ref="AE14" si="29">+AE12+AE13</f>
        <v>437.0908</v>
      </c>
      <c r="AF14" s="16">
        <f t="shared" ref="AF14" si="30">+AF12+AF13</f>
        <v>450.20352400000002</v>
      </c>
      <c r="AG14" s="16">
        <f t="shared" ref="AG14" si="31">+AG12+AG13</f>
        <v>463.70962972000001</v>
      </c>
      <c r="AH14" s="16">
        <f t="shared" ref="AH14" si="32">+AH12+AH13</f>
        <v>477.62091861160002</v>
      </c>
      <c r="AI14" s="16">
        <f t="shared" ref="AI14" si="33">+AI12+AI13</f>
        <v>491.94954616994801</v>
      </c>
    </row>
    <row r="15" spans="1:40" s="15" customFormat="1" x14ac:dyDescent="0.2">
      <c r="B15" s="15" t="s">
        <v>35</v>
      </c>
      <c r="C15" s="16">
        <f>+C11-C14</f>
        <v>-89.545000000000044</v>
      </c>
      <c r="D15" s="16">
        <f>+D11-D14</f>
        <v>-127.90899999999999</v>
      </c>
      <c r="E15" s="16">
        <f>+E11-E14</f>
        <v>-100.22799999999998</v>
      </c>
      <c r="F15" s="16">
        <f>+F11-F14</f>
        <v>-139.54899999999998</v>
      </c>
      <c r="G15" s="16">
        <f>+G11-G14</f>
        <v>-103.04900000000004</v>
      </c>
      <c r="H15" s="16">
        <f>+H11-H14</f>
        <v>-124.60300000000001</v>
      </c>
      <c r="I15" s="16">
        <f>+I11-I14</f>
        <v>-94.485000000000014</v>
      </c>
      <c r="J15" s="16">
        <f>+J11-J14</f>
        <v>-314.495</v>
      </c>
      <c r="K15" s="16">
        <f>+K11-K14</f>
        <v>-186.7</v>
      </c>
      <c r="L15" s="16">
        <f>+L11-L14</f>
        <v>-148.21000000000004</v>
      </c>
      <c r="M15" s="16">
        <f>+M11-M14</f>
        <v>-159.81299999999999</v>
      </c>
      <c r="N15" s="16">
        <f t="shared" ref="N15:O15" si="34">+N11-N14</f>
        <v>187.00159000000002</v>
      </c>
      <c r="O15" s="16">
        <f t="shared" si="34"/>
        <v>160.32300000000001</v>
      </c>
      <c r="Y15" s="16">
        <f t="shared" ref="Y15" si="35">+Y11-Y14</f>
        <v>-470.73500000000001</v>
      </c>
      <c r="Z15" s="16">
        <f t="shared" ref="Z15" si="36">+Z11-Z14</f>
        <v>-720.28299999999967</v>
      </c>
      <c r="AA15" s="16">
        <f t="shared" ref="AA15" si="37">+AA11-AA14</f>
        <v>39.301590000000033</v>
      </c>
      <c r="AB15" s="16">
        <f t="shared" ref="AB15" si="38">+AB11-AB14</f>
        <v>1301.5972192000002</v>
      </c>
      <c r="AC15" s="16">
        <f t="shared" ref="AC15" si="39">+AC11-AC14</f>
        <v>1487.5794797760002</v>
      </c>
      <c r="AD15" s="16">
        <f t="shared" ref="AD15" si="40">+AD11-AD14</f>
        <v>1725.1716365692801</v>
      </c>
      <c r="AE15" s="16">
        <f t="shared" ref="AE15" si="41">+AE11-AE14</f>
        <v>1914.9418373263588</v>
      </c>
      <c r="AF15" s="16">
        <f t="shared" ref="AF15" si="42">+AF11-AF14</f>
        <v>2092.8920514411498</v>
      </c>
      <c r="AG15" s="16">
        <f t="shared" ref="AG15" si="43">+AG11-AG14</f>
        <v>2171.4903174107344</v>
      </c>
      <c r="AH15" s="16">
        <f t="shared" ref="AH15" si="44">+AH11-AH14</f>
        <v>2253.2371065807238</v>
      </c>
      <c r="AI15" s="16">
        <f t="shared" ref="AI15" si="45">+AI11-AI14</f>
        <v>2338.2664034081968</v>
      </c>
    </row>
    <row r="16" spans="1:40" s="15" customFormat="1" x14ac:dyDescent="0.2">
      <c r="B16" s="15" t="s">
        <v>36</v>
      </c>
      <c r="C16" s="16">
        <v>64.244</v>
      </c>
      <c r="D16" s="16">
        <v>-56.046999999999997</v>
      </c>
      <c r="E16" s="16">
        <v>72.775000000000006</v>
      </c>
      <c r="F16" s="16">
        <v>1.2230000000000001</v>
      </c>
      <c r="G16" s="16">
        <v>0.89800000000000002</v>
      </c>
      <c r="H16" s="16">
        <v>1</v>
      </c>
      <c r="I16" s="16">
        <v>5.0270000000000001</v>
      </c>
      <c r="J16" s="16">
        <v>5.2279999999999998</v>
      </c>
      <c r="K16" s="16">
        <v>-4.9000000000000004</v>
      </c>
      <c r="L16" s="16">
        <v>-2.19</v>
      </c>
      <c r="M16" s="16">
        <v>-1.609</v>
      </c>
      <c r="N16" s="16"/>
      <c r="O16" s="16"/>
      <c r="Y16" s="15">
        <f t="shared" ref="Y16" si="46">SUM(D16:G16)</f>
        <v>18.849000000000007</v>
      </c>
      <c r="Z16" s="15">
        <f t="shared" ref="Z16" si="47">SUM(H16:K16)</f>
        <v>6.3549999999999986</v>
      </c>
      <c r="AA16" s="15">
        <f t="shared" ref="AA16" si="48">SUM(L16:O16)</f>
        <v>-3.7989999999999999</v>
      </c>
      <c r="AB16" s="15">
        <f>+AA26*$AL$25</f>
        <v>65.919737699999999</v>
      </c>
      <c r="AC16" s="15">
        <f t="shared" ref="AC16:AI16" si="49">+AB26*$AL$25</f>
        <v>98.740144665600013</v>
      </c>
      <c r="AD16" s="15">
        <f t="shared" si="49"/>
        <v>136.81181565219839</v>
      </c>
      <c r="AE16" s="15">
        <f t="shared" si="49"/>
        <v>181.49941850551389</v>
      </c>
      <c r="AF16" s="15">
        <f t="shared" si="49"/>
        <v>231.81400864547882</v>
      </c>
      <c r="AG16" s="15">
        <f t="shared" si="49"/>
        <v>287.60695408755788</v>
      </c>
      <c r="AH16" s="15">
        <f t="shared" si="49"/>
        <v>346.62528860351688</v>
      </c>
      <c r="AI16" s="15">
        <f t="shared" si="49"/>
        <v>409.02198608793867</v>
      </c>
    </row>
    <row r="17" spans="2:94" s="15" customFormat="1" x14ac:dyDescent="0.2">
      <c r="B17" s="15" t="s">
        <v>40</v>
      </c>
      <c r="C17" s="16">
        <f>+C15+C16</f>
        <v>-25.301000000000045</v>
      </c>
      <c r="D17" s="16">
        <f>+D15+D16</f>
        <v>-183.95599999999999</v>
      </c>
      <c r="E17" s="16">
        <f>+E15+E16</f>
        <v>-27.452999999999975</v>
      </c>
      <c r="F17" s="16">
        <f>+F15+F16</f>
        <v>-138.32599999999996</v>
      </c>
      <c r="G17" s="16">
        <f>+G15+G16</f>
        <v>-102.15100000000004</v>
      </c>
      <c r="H17" s="16">
        <f>+H15+H16</f>
        <v>-123.60300000000001</v>
      </c>
      <c r="I17" s="16">
        <f>+I15+I16</f>
        <v>-89.458000000000013</v>
      </c>
      <c r="J17" s="16">
        <f>+J15+J16</f>
        <v>-309.267</v>
      </c>
      <c r="K17" s="16">
        <f>+K15+K16</f>
        <v>-191.6</v>
      </c>
      <c r="L17" s="16">
        <f>+L15+L16</f>
        <v>-150.40000000000003</v>
      </c>
      <c r="M17" s="16">
        <f>+M15+M16</f>
        <v>-161.422</v>
      </c>
      <c r="N17" s="16">
        <f>+N15+N16</f>
        <v>187.00159000000002</v>
      </c>
      <c r="O17" s="16">
        <f>+O15+O16</f>
        <v>160.32300000000001</v>
      </c>
      <c r="Y17" s="15">
        <f>+Y15+Y16</f>
        <v>-451.88600000000002</v>
      </c>
      <c r="Z17" s="15">
        <f>+Z15+Z16</f>
        <v>-713.92799999999966</v>
      </c>
      <c r="AA17" s="15">
        <f>+AA15+AA16</f>
        <v>35.502590000000033</v>
      </c>
      <c r="AB17" s="15">
        <f t="shared" ref="AB17:AI17" si="50">+AB15+AB16</f>
        <v>1367.5169569000002</v>
      </c>
      <c r="AC17" s="15">
        <f t="shared" si="50"/>
        <v>1586.3196244416001</v>
      </c>
      <c r="AD17" s="15">
        <f t="shared" si="50"/>
        <v>1861.9834522214785</v>
      </c>
      <c r="AE17" s="15">
        <f t="shared" si="50"/>
        <v>2096.4412558318727</v>
      </c>
      <c r="AF17" s="15">
        <f t="shared" si="50"/>
        <v>2324.7060600866284</v>
      </c>
      <c r="AG17" s="15">
        <f t="shared" si="50"/>
        <v>2459.0972714982922</v>
      </c>
      <c r="AH17" s="15">
        <f t="shared" si="50"/>
        <v>2599.8623951842405</v>
      </c>
      <c r="AI17" s="15">
        <f t="shared" si="50"/>
        <v>2747.2883894961356</v>
      </c>
    </row>
    <row r="18" spans="2:94" s="15" customFormat="1" x14ac:dyDescent="0.2">
      <c r="B18" s="15" t="s">
        <v>39</v>
      </c>
      <c r="C18" s="16">
        <v>0</v>
      </c>
      <c r="D18" s="16">
        <v>0</v>
      </c>
      <c r="E18" s="16">
        <v>0</v>
      </c>
      <c r="F18" s="16">
        <v>3.242</v>
      </c>
      <c r="G18" s="16">
        <v>-1.2110000000000001</v>
      </c>
      <c r="H18" s="16">
        <v>0</v>
      </c>
      <c r="I18" s="16">
        <v>0</v>
      </c>
      <c r="J18" s="16">
        <v>1.1120000000000001</v>
      </c>
      <c r="K18" s="16">
        <v>-2.3450000000000002</v>
      </c>
      <c r="L18" s="16">
        <v>1.254</v>
      </c>
      <c r="M18" s="16">
        <v>0.107</v>
      </c>
      <c r="N18" s="16"/>
      <c r="O18" s="16"/>
      <c r="Y18" s="15">
        <f t="shared" ref="Y18" si="51">SUM(D18:G18)</f>
        <v>2.0309999999999997</v>
      </c>
      <c r="Z18" s="15">
        <f t="shared" ref="Z18" si="52">SUM(H18:K18)</f>
        <v>-1.2330000000000001</v>
      </c>
      <c r="AA18" s="15">
        <f t="shared" ref="AA18" si="53">SUM(L18:O18)</f>
        <v>1.361</v>
      </c>
      <c r="AB18" s="15">
        <f>+AB17*0.2</f>
        <v>273.50339138000004</v>
      </c>
      <c r="AC18" s="15">
        <f t="shared" ref="AC18:AI18" si="54">+AC17*0.2</f>
        <v>317.26392488832005</v>
      </c>
      <c r="AD18" s="15">
        <f t="shared" si="54"/>
        <v>372.3966904442957</v>
      </c>
      <c r="AE18" s="15">
        <f t="shared" si="54"/>
        <v>419.28825116637455</v>
      </c>
      <c r="AF18" s="15">
        <f t="shared" si="54"/>
        <v>464.94121201732571</v>
      </c>
      <c r="AG18" s="15">
        <f t="shared" si="54"/>
        <v>491.81945429965845</v>
      </c>
      <c r="AH18" s="15">
        <f t="shared" si="54"/>
        <v>519.97247903684809</v>
      </c>
      <c r="AI18" s="15">
        <f t="shared" si="54"/>
        <v>549.45767789922718</v>
      </c>
    </row>
    <row r="19" spans="2:94" s="15" customFormat="1" x14ac:dyDescent="0.2">
      <c r="B19" s="15" t="s">
        <v>38</v>
      </c>
      <c r="C19" s="16">
        <f>+C17-C18</f>
        <v>-25.301000000000045</v>
      </c>
      <c r="D19" s="16">
        <f>+D17-D18</f>
        <v>-183.95599999999999</v>
      </c>
      <c r="E19" s="16">
        <f>+E17-E18</f>
        <v>-27.452999999999975</v>
      </c>
      <c r="F19" s="16">
        <f>+F17-F18</f>
        <v>-141.56799999999996</v>
      </c>
      <c r="G19" s="16">
        <f>+G17-G18</f>
        <v>-100.94000000000004</v>
      </c>
      <c r="H19" s="16">
        <f>+H17-H18</f>
        <v>-123.60300000000001</v>
      </c>
      <c r="I19" s="16">
        <f>+I17-I18</f>
        <v>-89.458000000000013</v>
      </c>
      <c r="J19" s="16">
        <f>+J17-J18</f>
        <v>-310.37900000000002</v>
      </c>
      <c r="K19" s="16">
        <f>+K17-K18</f>
        <v>-189.255</v>
      </c>
      <c r="L19" s="16">
        <f>+L17-L18</f>
        <v>-151.65400000000002</v>
      </c>
      <c r="M19" s="16">
        <f>+M17-M18</f>
        <v>-161.529</v>
      </c>
      <c r="N19" s="16">
        <f>+N17-N18</f>
        <v>187.00159000000002</v>
      </c>
      <c r="O19" s="16">
        <f>+O17-O18</f>
        <v>160.32300000000001</v>
      </c>
      <c r="Y19" s="15">
        <f>+Y17-Y18</f>
        <v>-453.91700000000003</v>
      </c>
      <c r="Z19" s="15">
        <f>+Z17-Z18</f>
        <v>-712.69499999999971</v>
      </c>
      <c r="AA19" s="15">
        <f>+AA17-AA18</f>
        <v>34.141590000000036</v>
      </c>
      <c r="AB19" s="15">
        <f>+AB17-AB18</f>
        <v>1094.0135655200002</v>
      </c>
      <c r="AC19" s="15">
        <f t="shared" ref="AC19:AI19" si="55">+AC17-AC18</f>
        <v>1269.0556995532802</v>
      </c>
      <c r="AD19" s="15">
        <f t="shared" si="55"/>
        <v>1489.5867617771828</v>
      </c>
      <c r="AE19" s="15">
        <f t="shared" si="55"/>
        <v>1677.1530046654982</v>
      </c>
      <c r="AF19" s="15">
        <f t="shared" si="55"/>
        <v>1859.7648480693028</v>
      </c>
      <c r="AG19" s="15">
        <f t="shared" si="55"/>
        <v>1967.2778171986338</v>
      </c>
      <c r="AH19" s="15">
        <f t="shared" si="55"/>
        <v>2079.8899161473923</v>
      </c>
      <c r="AI19" s="15">
        <f t="shared" si="55"/>
        <v>2197.8307115969083</v>
      </c>
      <c r="AJ19" s="15">
        <f>+AI19*(1+$AL$24)</f>
        <v>2175.8524044809392</v>
      </c>
      <c r="AK19" s="15">
        <f t="shared" ref="AK19:CP19" si="56">+AJ19*(1+$AL$24)</f>
        <v>2154.0938804361299</v>
      </c>
      <c r="AL19" s="15">
        <f t="shared" si="56"/>
        <v>2132.5529416317686</v>
      </c>
      <c r="AM19" s="15">
        <f t="shared" si="56"/>
        <v>2111.2274122154508</v>
      </c>
      <c r="AN19" s="15">
        <f t="shared" si="56"/>
        <v>2090.1151380932965</v>
      </c>
      <c r="AO19" s="15">
        <f t="shared" si="56"/>
        <v>2069.2139867123637</v>
      </c>
      <c r="AP19" s="15">
        <f t="shared" si="56"/>
        <v>2048.5218468452399</v>
      </c>
      <c r="AQ19" s="15">
        <f t="shared" si="56"/>
        <v>2028.0366283767876</v>
      </c>
      <c r="AR19" s="15">
        <f t="shared" si="56"/>
        <v>2007.7562620930196</v>
      </c>
      <c r="AS19" s="15">
        <f t="shared" si="56"/>
        <v>1987.6786994720894</v>
      </c>
      <c r="AT19" s="15">
        <f t="shared" si="56"/>
        <v>1967.8019124773684</v>
      </c>
      <c r="AU19" s="15">
        <f t="shared" si="56"/>
        <v>1948.1238933525947</v>
      </c>
      <c r="AV19" s="15">
        <f t="shared" si="56"/>
        <v>1928.6426544190688</v>
      </c>
      <c r="AW19" s="15">
        <f t="shared" si="56"/>
        <v>1909.356227874878</v>
      </c>
      <c r="AX19" s="15">
        <f t="shared" si="56"/>
        <v>1890.2626655961292</v>
      </c>
      <c r="AY19" s="15">
        <f t="shared" si="56"/>
        <v>1871.3600389401679</v>
      </c>
      <c r="AZ19" s="15">
        <f t="shared" si="56"/>
        <v>1852.6464385507661</v>
      </c>
      <c r="BA19" s="15">
        <f t="shared" si="56"/>
        <v>1834.1199741652583</v>
      </c>
      <c r="BB19" s="15">
        <f t="shared" si="56"/>
        <v>1815.7787744236057</v>
      </c>
      <c r="BC19" s="15">
        <f t="shared" si="56"/>
        <v>1797.6209866793697</v>
      </c>
      <c r="BD19" s="15">
        <f t="shared" si="56"/>
        <v>1779.6447768125761</v>
      </c>
      <c r="BE19" s="15">
        <f t="shared" si="56"/>
        <v>1761.8483290444503</v>
      </c>
      <c r="BF19" s="15">
        <f t="shared" si="56"/>
        <v>1744.2298457540057</v>
      </c>
      <c r="BG19" s="15">
        <f t="shared" si="56"/>
        <v>1726.7875472964656</v>
      </c>
      <c r="BH19" s="15">
        <f t="shared" si="56"/>
        <v>1709.5196718235009</v>
      </c>
      <c r="BI19" s="15">
        <f t="shared" si="56"/>
        <v>1692.4244751052659</v>
      </c>
      <c r="BJ19" s="15">
        <f t="shared" si="56"/>
        <v>1675.5002303542133</v>
      </c>
      <c r="BK19" s="15">
        <f t="shared" si="56"/>
        <v>1658.7452280506711</v>
      </c>
      <c r="BL19" s="15">
        <f t="shared" si="56"/>
        <v>1642.1577757701643</v>
      </c>
      <c r="BM19" s="15">
        <f t="shared" si="56"/>
        <v>1625.7361980124626</v>
      </c>
      <c r="BN19" s="15">
        <f t="shared" si="56"/>
        <v>1609.478836032338</v>
      </c>
      <c r="BO19" s="15">
        <f t="shared" si="56"/>
        <v>1593.3840476720145</v>
      </c>
      <c r="BP19" s="15">
        <f t="shared" si="56"/>
        <v>1577.4502071952943</v>
      </c>
      <c r="BQ19" s="15">
        <f t="shared" si="56"/>
        <v>1561.6757051233412</v>
      </c>
      <c r="BR19" s="15">
        <f t="shared" si="56"/>
        <v>1546.0589480721078</v>
      </c>
      <c r="BS19" s="15">
        <f t="shared" si="56"/>
        <v>1530.5983585913866</v>
      </c>
      <c r="BT19" s="15">
        <f t="shared" si="56"/>
        <v>1515.2923750054726</v>
      </c>
      <c r="BU19" s="15">
        <f t="shared" si="56"/>
        <v>1500.139451255418</v>
      </c>
      <c r="BV19" s="15">
        <f t="shared" si="56"/>
        <v>1485.1380567428637</v>
      </c>
      <c r="BW19" s="15">
        <f t="shared" si="56"/>
        <v>1470.2866761754351</v>
      </c>
      <c r="BX19" s="15">
        <f t="shared" si="56"/>
        <v>1455.5838094136807</v>
      </c>
      <c r="BY19" s="15">
        <f t="shared" si="56"/>
        <v>1441.0279713195439</v>
      </c>
      <c r="BZ19" s="15">
        <f t="shared" si="56"/>
        <v>1426.6176916063484</v>
      </c>
      <c r="CA19" s="15">
        <f t="shared" si="56"/>
        <v>1412.3515146902851</v>
      </c>
      <c r="CB19" s="15">
        <f t="shared" si="56"/>
        <v>1398.2279995433821</v>
      </c>
      <c r="CC19" s="15">
        <f t="shared" si="56"/>
        <v>1384.2457195479483</v>
      </c>
      <c r="CD19" s="15">
        <f t="shared" si="56"/>
        <v>1370.4032623524688</v>
      </c>
      <c r="CE19" s="15">
        <f t="shared" si="56"/>
        <v>1356.6992297289441</v>
      </c>
      <c r="CF19" s="15">
        <f t="shared" si="56"/>
        <v>1343.1322374316546</v>
      </c>
      <c r="CG19" s="15">
        <f t="shared" si="56"/>
        <v>1329.7009150573381</v>
      </c>
      <c r="CH19" s="15">
        <f t="shared" si="56"/>
        <v>1316.4039059067647</v>
      </c>
      <c r="CI19" s="15">
        <f t="shared" si="56"/>
        <v>1303.2398668476972</v>
      </c>
      <c r="CJ19" s="15">
        <f t="shared" si="56"/>
        <v>1290.2074681792201</v>
      </c>
      <c r="CK19" s="15">
        <f t="shared" si="56"/>
        <v>1277.305393497428</v>
      </c>
      <c r="CL19" s="15">
        <f t="shared" si="56"/>
        <v>1264.5323395624537</v>
      </c>
      <c r="CM19" s="15">
        <f t="shared" si="56"/>
        <v>1251.8870161668292</v>
      </c>
      <c r="CN19" s="15">
        <f t="shared" si="56"/>
        <v>1239.368146005161</v>
      </c>
      <c r="CO19" s="15">
        <f t="shared" si="56"/>
        <v>1226.9744645451094</v>
      </c>
      <c r="CP19" s="15">
        <f t="shared" si="56"/>
        <v>1214.7047198996584</v>
      </c>
    </row>
    <row r="20" spans="2:94" x14ac:dyDescent="0.2">
      <c r="B20" t="s">
        <v>37</v>
      </c>
      <c r="C20" s="19">
        <f>+C19/C21</f>
        <v>-0.14174150284872378</v>
      </c>
      <c r="D20" s="19">
        <f>+D19/D21</f>
        <v>-1.067339715694807</v>
      </c>
      <c r="E20" s="19">
        <f>+E19/E21</f>
        <v>-0.15831632123455922</v>
      </c>
      <c r="F20" s="19">
        <f>+F19/F21</f>
        <v>-0.77837219659440138</v>
      </c>
      <c r="G20" s="19">
        <f>+G19/G21</f>
        <v>-0.54257149000215033</v>
      </c>
      <c r="H20" s="19">
        <f>+H19/H21</f>
        <v>-0.68232404085012421</v>
      </c>
      <c r="I20" s="19">
        <f>+I19/I21</f>
        <v>-0.49253419076353877</v>
      </c>
      <c r="J20" s="19">
        <f>+J19/J21</f>
        <v>-1.7025446646517064</v>
      </c>
      <c r="K20" s="19">
        <f>+K19/K21</f>
        <v>-1.0336437368579152</v>
      </c>
      <c r="L20" s="19">
        <f>+L19/L21</f>
        <v>-0.8257907834051198</v>
      </c>
      <c r="M20" s="19">
        <f>+M19/M21</f>
        <v>-0.87718374107361041</v>
      </c>
      <c r="N20" s="19">
        <f>+N19/N21</f>
        <v>1.0155127209535963</v>
      </c>
      <c r="O20" s="19">
        <f>+O19/O21</f>
        <v>0.87063455429145509</v>
      </c>
      <c r="Y20" s="19">
        <f>+Y19/Y21</f>
        <v>-2.5441175440292683</v>
      </c>
      <c r="Z20" s="19">
        <f>+Z19/Z21</f>
        <v>-3.91496011953154</v>
      </c>
      <c r="AA20" s="19">
        <f>+AA19/AA21</f>
        <v>0.18553144894183005</v>
      </c>
      <c r="AB20" s="19">
        <f t="shared" ref="AB20:AI20" si="57">+AB19/AB21</f>
        <v>5.9450635419423392</v>
      </c>
      <c r="AC20" s="19">
        <f t="shared" si="57"/>
        <v>6.8962735105777897</v>
      </c>
      <c r="AD20" s="19">
        <f t="shared" si="57"/>
        <v>8.0946783742962491</v>
      </c>
      <c r="AE20" s="19">
        <f t="shared" si="57"/>
        <v>9.1139465693523185</v>
      </c>
      <c r="AF20" s="19">
        <f t="shared" si="57"/>
        <v>10.106291679836229</v>
      </c>
      <c r="AG20" s="19">
        <f t="shared" si="57"/>
        <v>10.690536202209177</v>
      </c>
      <c r="AH20" s="19">
        <f t="shared" si="57"/>
        <v>11.302490299436162</v>
      </c>
      <c r="AI20" s="19">
        <f t="shared" si="57"/>
        <v>11.943401477535971</v>
      </c>
    </row>
    <row r="21" spans="2:94" s="15" customFormat="1" x14ac:dyDescent="0.2">
      <c r="B21" s="15" t="s">
        <v>1</v>
      </c>
      <c r="C21" s="16">
        <v>178.501</v>
      </c>
      <c r="D21" s="16">
        <v>172.35</v>
      </c>
      <c r="E21" s="16">
        <v>173.40600000000001</v>
      </c>
      <c r="F21" s="16">
        <v>181.87700000000001</v>
      </c>
      <c r="G21" s="16">
        <v>186.04</v>
      </c>
      <c r="H21" s="16">
        <v>181.15</v>
      </c>
      <c r="I21" s="16">
        <v>181.62799999999999</v>
      </c>
      <c r="J21" s="16">
        <v>182.303</v>
      </c>
      <c r="K21" s="16">
        <v>183.095</v>
      </c>
      <c r="L21" s="16">
        <v>183.64699999999999</v>
      </c>
      <c r="M21" s="16">
        <v>184.14500000000001</v>
      </c>
      <c r="N21" s="16">
        <f>+M21</f>
        <v>184.14500000000001</v>
      </c>
      <c r="O21" s="16">
        <f>+N21</f>
        <v>184.14500000000001</v>
      </c>
      <c r="Y21" s="15">
        <f>AVERAGE(D21:G21)</f>
        <v>178.41825</v>
      </c>
      <c r="Z21" s="15">
        <f>AVERAGE(H21:K21)</f>
        <v>182.04400000000001</v>
      </c>
      <c r="AA21" s="15">
        <f>AVERAGE(L21:O21)</f>
        <v>184.0205</v>
      </c>
      <c r="AB21" s="15">
        <f>+AA21</f>
        <v>184.0205</v>
      </c>
      <c r="AC21" s="15">
        <f t="shared" ref="AC21:AI21" si="58">+AB21</f>
        <v>184.0205</v>
      </c>
      <c r="AD21" s="15">
        <f t="shared" si="58"/>
        <v>184.0205</v>
      </c>
      <c r="AE21" s="15">
        <f t="shared" si="58"/>
        <v>184.0205</v>
      </c>
      <c r="AF21" s="15">
        <f t="shared" si="58"/>
        <v>184.0205</v>
      </c>
      <c r="AG21" s="15">
        <f t="shared" si="58"/>
        <v>184.0205</v>
      </c>
      <c r="AH21" s="15">
        <f t="shared" si="58"/>
        <v>184.0205</v>
      </c>
      <c r="AI21" s="15">
        <f t="shared" si="58"/>
        <v>184.0205</v>
      </c>
    </row>
    <row r="23" spans="2:94" s="13" customFormat="1" x14ac:dyDescent="0.2">
      <c r="B23" s="17" t="s">
        <v>42</v>
      </c>
      <c r="C23" s="14"/>
      <c r="D23" s="14"/>
      <c r="E23" s="14"/>
      <c r="F23" s="14"/>
      <c r="G23" s="23">
        <f>G9/C9-1</f>
        <v>0.39647132268836427</v>
      </c>
      <c r="H23" s="23">
        <f>H9/D9-1</f>
        <v>0.50621118012422373</v>
      </c>
      <c r="I23" s="23">
        <f>I9/E9-1</f>
        <v>0.41165473715200473</v>
      </c>
      <c r="J23" s="23">
        <f>J9/F9-1</f>
        <v>0.52346915887850476</v>
      </c>
      <c r="K23" s="23">
        <f>K9/G9-1</f>
        <v>0.2457245724572461</v>
      </c>
      <c r="L23" s="23">
        <f>L9/H9-1</f>
        <v>0.24711946634323811</v>
      </c>
      <c r="M23" s="23">
        <f>M9/I9-1</f>
        <v>0.2273329231795953</v>
      </c>
      <c r="N23" s="23">
        <f>N9/J9-1</f>
        <v>0.15420486445103165</v>
      </c>
      <c r="O23" s="23">
        <f>O9/K9-1</f>
        <v>0.14934971098265892</v>
      </c>
      <c r="Z23" s="27">
        <f>+Z9/Y9-1</f>
        <v>0.40735779824919049</v>
      </c>
      <c r="AA23" s="27">
        <f t="shared" ref="AA23:AI23" si="59">+AA9/Z9-1</f>
        <v>0.19110228080545566</v>
      </c>
      <c r="AB23" s="27">
        <f t="shared" si="59"/>
        <v>0.16249595229943936</v>
      </c>
      <c r="AC23" s="27">
        <f t="shared" si="59"/>
        <v>0.11635083693253834</v>
      </c>
      <c r="AD23" s="27">
        <f t="shared" si="59"/>
        <v>0.13158288950497332</v>
      </c>
      <c r="AE23" s="27">
        <f t="shared" si="59"/>
        <v>9.4207034365996423E-2</v>
      </c>
      <c r="AF23" s="27">
        <f t="shared" si="59"/>
        <v>8.1233115171386094E-2</v>
      </c>
      <c r="AG23" s="27">
        <f t="shared" si="59"/>
        <v>3.6217424378007346E-2</v>
      </c>
      <c r="AH23" s="27">
        <f t="shared" si="59"/>
        <v>3.6300121425603571E-2</v>
      </c>
      <c r="AI23" s="27">
        <f t="shared" si="59"/>
        <v>3.6383408975947606E-2</v>
      </c>
      <c r="AK23" s="13" t="s">
        <v>92</v>
      </c>
      <c r="AL23" s="27">
        <v>0.08</v>
      </c>
    </row>
    <row r="24" spans="2:94" x14ac:dyDescent="0.2">
      <c r="B24" s="15" t="s">
        <v>41</v>
      </c>
      <c r="C24" s="20">
        <f t="shared" ref="C24" si="60">+C11/C9</f>
        <v>0.95002367255617515</v>
      </c>
      <c r="D24" s="20">
        <f t="shared" ref="D24:G24" si="61">+D11/D9</f>
        <v>0.86563299232736579</v>
      </c>
      <c r="E24" s="20">
        <f t="shared" si="61"/>
        <v>0.822459381382597</v>
      </c>
      <c r="F24" s="20">
        <f t="shared" si="61"/>
        <v>0.76897196261682244</v>
      </c>
      <c r="G24" s="20">
        <f t="shared" si="61"/>
        <v>0.81458145814581451</v>
      </c>
      <c r="H24" s="20">
        <f t="shared" ref="H24:I24" si="62">+H11/H9</f>
        <v>0.80553365676167377</v>
      </c>
      <c r="I24" s="20">
        <f t="shared" si="62"/>
        <v>0.79642644865952716</v>
      </c>
      <c r="J24" s="20">
        <f>+J11/J9</f>
        <v>0.79719184939439747</v>
      </c>
      <c r="K24" s="20">
        <f>+K11/K9</f>
        <v>0.79118497109826591</v>
      </c>
      <c r="L24" s="20">
        <f>+L11/L9</f>
        <v>0.78695356187697552</v>
      </c>
      <c r="M24" s="20">
        <f>+M11/M9</f>
        <v>0.77463891248937988</v>
      </c>
      <c r="N24" s="20">
        <f>+N11/N9</f>
        <v>0.8</v>
      </c>
      <c r="O24" s="20">
        <f>+O11/O9</f>
        <v>0.8</v>
      </c>
      <c r="Y24" s="20">
        <f t="shared" ref="Y24:AI24" si="63">+Y11/Y9</f>
        <v>0.8156061182140093</v>
      </c>
      <c r="Z24" s="20">
        <f t="shared" si="63"/>
        <v>0.79716806716124478</v>
      </c>
      <c r="AA24" s="20">
        <f t="shared" si="63"/>
        <v>0.79054151959183261</v>
      </c>
      <c r="AB24" s="20">
        <f t="shared" si="63"/>
        <v>0.8</v>
      </c>
      <c r="AC24" s="20">
        <f t="shared" si="63"/>
        <v>0.8</v>
      </c>
      <c r="AD24" s="20">
        <f t="shared" si="63"/>
        <v>0.8</v>
      </c>
      <c r="AE24" s="20">
        <f t="shared" si="63"/>
        <v>0.8</v>
      </c>
      <c r="AF24" s="20">
        <f t="shared" si="63"/>
        <v>0.80000000000000016</v>
      </c>
      <c r="AG24" s="20">
        <f t="shared" si="63"/>
        <v>0.8</v>
      </c>
      <c r="AH24" s="20">
        <f t="shared" si="63"/>
        <v>0.8</v>
      </c>
      <c r="AI24" s="20">
        <f t="shared" si="63"/>
        <v>0.8</v>
      </c>
      <c r="AK24" t="s">
        <v>93</v>
      </c>
      <c r="AL24" s="28">
        <v>-0.01</v>
      </c>
    </row>
    <row r="25" spans="2:94" x14ac:dyDescent="0.2">
      <c r="AK25" t="s">
        <v>94</v>
      </c>
      <c r="AL25" s="28">
        <v>0.03</v>
      </c>
    </row>
    <row r="26" spans="2:94" x14ac:dyDescent="0.2">
      <c r="B26" t="s">
        <v>3</v>
      </c>
      <c r="M26" s="16">
        <v>1850</v>
      </c>
      <c r="N26" s="16">
        <f>+M26+N19</f>
        <v>2037.0015900000001</v>
      </c>
      <c r="O26" s="16">
        <f t="shared" ref="O26" si="64">+N26+O19</f>
        <v>2197.3245900000002</v>
      </c>
      <c r="AA26" s="15">
        <f>+O26</f>
        <v>2197.3245900000002</v>
      </c>
      <c r="AB26" s="15">
        <f>+AA26+AB19</f>
        <v>3291.3381555200003</v>
      </c>
      <c r="AC26" s="15">
        <f t="shared" ref="AC26:AI26" si="65">+AB26+AC19</f>
        <v>4560.3938550732801</v>
      </c>
      <c r="AD26" s="15">
        <f t="shared" si="65"/>
        <v>6049.9806168504629</v>
      </c>
      <c r="AE26" s="15">
        <f t="shared" si="65"/>
        <v>7727.1336215159608</v>
      </c>
      <c r="AF26" s="15">
        <f t="shared" si="65"/>
        <v>9586.8984695852632</v>
      </c>
      <c r="AG26" s="15">
        <f t="shared" si="65"/>
        <v>11554.176286783897</v>
      </c>
      <c r="AH26" s="15">
        <f t="shared" si="65"/>
        <v>13634.06620293129</v>
      </c>
      <c r="AI26" s="15">
        <f t="shared" si="65"/>
        <v>15831.896914528199</v>
      </c>
      <c r="AK26" t="s">
        <v>95</v>
      </c>
      <c r="AL26" s="2">
        <f>NPV(AL23,AB19:CP19)+Main!K5-Main!K6</f>
        <v>24257.624907031077</v>
      </c>
    </row>
    <row r="27" spans="2:94" x14ac:dyDescent="0.2">
      <c r="AL27" s="1">
        <f>+AL26/Main!K3</f>
        <v>131.5236529522343</v>
      </c>
    </row>
  </sheetData>
  <hyperlinks>
    <hyperlink ref="A1" location="Main!A1" display="Main" xr:uid="{9AEB50ED-0851-4ED2-8734-D8258D93BDA0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2022-10-11T20:41:54Z</dcterms:created>
  <dcterms:modified xsi:type="dcterms:W3CDTF">2022-10-14T21:25:42Z</dcterms:modified>
</cp:coreProperties>
</file>