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F21088B-76DE-4628-8A30-51BA46006650}" xr6:coauthVersionLast="47" xr6:coauthVersionMax="47" xr10:uidLastSave="{00000000-0000-0000-0000-000000000000}"/>
  <bookViews>
    <workbookView xWindow="-30030" yWindow="2505" windowWidth="28305" windowHeight="17085" xr2:uid="{9A102858-C73E-5D48-A2CD-E1A8220631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N16" i="2" s="1"/>
  <c r="L18" i="2"/>
  <c r="L22" i="2"/>
  <c r="D16" i="2"/>
  <c r="H16" i="2"/>
  <c r="H18" i="2" s="1"/>
  <c r="E24" i="2"/>
  <c r="I24" i="2"/>
  <c r="E16" i="2"/>
  <c r="E18" i="2" s="1"/>
  <c r="I16" i="2"/>
  <c r="I18" i="2" s="1"/>
  <c r="F18" i="2"/>
  <c r="D18" i="2"/>
  <c r="C18" i="2"/>
  <c r="D22" i="2"/>
  <c r="C22" i="2"/>
  <c r="C23" i="2" s="1"/>
  <c r="C25" i="2" s="1"/>
  <c r="C27" i="2" s="1"/>
  <c r="C28" i="2" s="1"/>
  <c r="E22" i="2"/>
  <c r="F22" i="2"/>
  <c r="G22" i="2"/>
  <c r="H22" i="2"/>
  <c r="I22" i="2"/>
  <c r="J22" i="2"/>
  <c r="F16" i="2"/>
  <c r="K77" i="2"/>
  <c r="K14" i="2"/>
  <c r="K16" i="2" s="1"/>
  <c r="K5" i="2" s="1"/>
  <c r="G14" i="2"/>
  <c r="G16" i="2" s="1"/>
  <c r="G18" i="2" s="1"/>
  <c r="K72" i="2"/>
  <c r="K67" i="2"/>
  <c r="K68" i="2" s="1"/>
  <c r="K62" i="2"/>
  <c r="K63" i="2"/>
  <c r="K60" i="2"/>
  <c r="G24" i="2"/>
  <c r="K24" i="2"/>
  <c r="K22" i="2"/>
  <c r="J16" i="2"/>
  <c r="J18" i="2" s="1"/>
  <c r="K47" i="2"/>
  <c r="K49" i="2"/>
  <c r="K40" i="2"/>
  <c r="K34" i="2"/>
  <c r="J4" i="1"/>
  <c r="J7" i="1" s="1"/>
  <c r="K31" i="2" l="1"/>
  <c r="I31" i="2"/>
  <c r="J31" i="2"/>
  <c r="J23" i="2"/>
  <c r="J25" i="2" s="1"/>
  <c r="J27" i="2" s="1"/>
  <c r="J28" i="2" s="1"/>
  <c r="M31" i="2"/>
  <c r="L31" i="2"/>
  <c r="H31" i="2"/>
  <c r="G23" i="2"/>
  <c r="G25" i="2" s="1"/>
  <c r="G27" i="2" s="1"/>
  <c r="G28" i="2" s="1"/>
  <c r="N31" i="2"/>
  <c r="Q16" i="2"/>
  <c r="L23" i="2"/>
  <c r="L25" i="2" s="1"/>
  <c r="L27" i="2" s="1"/>
  <c r="L28" i="2" s="1"/>
  <c r="D23" i="2"/>
  <c r="D25" i="2" s="1"/>
  <c r="D27" i="2" s="1"/>
  <c r="D28" i="2" s="1"/>
  <c r="H23" i="2"/>
  <c r="H25" i="2" s="1"/>
  <c r="H27" i="2" s="1"/>
  <c r="H28" i="2" s="1"/>
  <c r="E23" i="2"/>
  <c r="E25" i="2" s="1"/>
  <c r="E27" i="2" s="1"/>
  <c r="E28" i="2" s="1"/>
  <c r="I23" i="2"/>
  <c r="I25" i="2" s="1"/>
  <c r="I27" i="2" s="1"/>
  <c r="I28" i="2" s="1"/>
  <c r="F23" i="2"/>
  <c r="F25" i="2" s="1"/>
  <c r="F27" i="2" s="1"/>
  <c r="F28" i="2" s="1"/>
  <c r="K64" i="2"/>
  <c r="K74" i="2" s="1"/>
  <c r="K43" i="2"/>
  <c r="K54" i="2"/>
  <c r="K18" i="2"/>
  <c r="K23" i="2" s="1"/>
  <c r="K25" i="2" s="1"/>
  <c r="K27" i="2" s="1"/>
  <c r="K56" i="2" l="1"/>
  <c r="K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tc={3CAFFDB8-17AE-304B-90EA-5BE9BDB0FD91}</author>
  </authors>
  <commentList>
    <comment ref="K16" authorId="0" shapeId="0" xr:uid="{3CAFFDB8-17AE-304B-90EA-5BE9BDB0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436-440m</t>
      </text>
    </comment>
  </commentList>
</comments>
</file>

<file path=xl/sharedStrings.xml><?xml version="1.0" encoding="utf-8"?>
<sst xmlns="http://schemas.openxmlformats.org/spreadsheetml/2006/main" count="93" uniqueCount="86">
  <si>
    <t>Price</t>
  </si>
  <si>
    <t>Shares</t>
  </si>
  <si>
    <t>MC</t>
  </si>
  <si>
    <t>Cash</t>
  </si>
  <si>
    <t>Debt</t>
  </si>
  <si>
    <t>EV</t>
  </si>
  <si>
    <t>Main</t>
  </si>
  <si>
    <t>Revenue</t>
  </si>
  <si>
    <t>Net Income</t>
  </si>
  <si>
    <t>AR</t>
  </si>
  <si>
    <t>Deferred Commissions</t>
  </si>
  <si>
    <t>Prepaids</t>
  </si>
  <si>
    <t>PP&amp;E</t>
  </si>
  <si>
    <t>Leases</t>
  </si>
  <si>
    <t>Goodwill</t>
  </si>
  <si>
    <t>DTA</t>
  </si>
  <si>
    <t>Other</t>
  </si>
  <si>
    <t>Assets</t>
  </si>
  <si>
    <t>AP</t>
  </si>
  <si>
    <t>Compensation</t>
  </si>
  <si>
    <t>Lease</t>
  </si>
  <si>
    <t>OAL</t>
  </si>
  <si>
    <t>DR</t>
  </si>
  <si>
    <t>DTL</t>
  </si>
  <si>
    <t>OL</t>
  </si>
  <si>
    <t>SE</t>
  </si>
  <si>
    <t>L+SE</t>
  </si>
  <si>
    <t>Subscription</t>
  </si>
  <si>
    <t>Services</t>
  </si>
  <si>
    <t>Revenue Growth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</si>
  <si>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</si>
  <si>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</si>
  <si>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</si>
  <si>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</si>
  <si>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</si>
  <si>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</si>
  <si>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</si>
  <si>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</si>
  <si>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</si>
  <si>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</si>
  <si>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</si>
  <si>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NoSQL</t>
  </si>
  <si>
    <t>SQL</t>
  </si>
  <si>
    <t>Oracle, MySQL, MariaDB, Cockroach (1B valuation in 2021, $128m revenue)</t>
  </si>
  <si>
    <t>CFFO</t>
  </si>
  <si>
    <t>SBC</t>
  </si>
  <si>
    <t>D&amp;A</t>
  </si>
  <si>
    <t>Amortization</t>
  </si>
  <si>
    <t>Model NI (non-GAAP)</t>
  </si>
  <si>
    <t>Reported NI (GAAP)</t>
  </si>
  <si>
    <t>WC</t>
  </si>
  <si>
    <t>FX</t>
  </si>
  <si>
    <t>DT</t>
  </si>
  <si>
    <t>FX+Financial</t>
  </si>
  <si>
    <t>CapEx</t>
  </si>
  <si>
    <t>Investments</t>
  </si>
  <si>
    <t>CFFI</t>
  </si>
  <si>
    <t>ESOP</t>
  </si>
  <si>
    <t>CFFF</t>
  </si>
  <si>
    <t>Founded November 2007 as 10Gen</t>
  </si>
  <si>
    <t>2013 n/c MongoDB</t>
  </si>
  <si>
    <t>Headquarters: NYC</t>
  </si>
  <si>
    <t>Q125</t>
  </si>
  <si>
    <t>Q424</t>
  </si>
  <si>
    <t>Americas</t>
  </si>
  <si>
    <t>EMEA</t>
  </si>
  <si>
    <t>AsiaPac</t>
  </si>
  <si>
    <t>Atlas</t>
  </si>
  <si>
    <t>Headcount</t>
  </si>
  <si>
    <t>June 2016: introduces Atlas</t>
  </si>
  <si>
    <t>Enterprise Advanced</t>
  </si>
  <si>
    <t>Questions - what's the difference between Atlas &amp; Enterprise Advanced</t>
  </si>
  <si>
    <t>Customers</t>
  </si>
  <si>
    <t>Average Customer</t>
  </si>
  <si>
    <t>Q225</t>
  </si>
  <si>
    <t>Q124</t>
  </si>
  <si>
    <t>Q224</t>
  </si>
  <si>
    <t>Q123</t>
  </si>
  <si>
    <t>Q223</t>
  </si>
  <si>
    <t>Q323</t>
  </si>
  <si>
    <t>Q423</t>
  </si>
  <si>
    <t>Q324</t>
  </si>
  <si>
    <t>Q325</t>
  </si>
  <si>
    <t>Q425</t>
  </si>
  <si>
    <t>&gt;100k</t>
  </si>
  <si>
    <t>FY25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</si>
</sst>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70C0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4" fontId="2" fillId="0" borderId="0" xfId="0" applyNumberFormat="1" applyFont="1"/>
    <xf numFmtId="0" fontId="6" fillId="0" borderId="0" xfId="1" applyFont="1"/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F8C2CEE-F319-4659-9EB3-D38B9B88E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11</xdr:col>
      <xdr:colOff>25400</xdr:colOff>
      <xdr:row>36</xdr:row>
      <xdr:rowOff>84667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223DE4-5BF9-6B6A-025A-0E78E1930F03}"/>
            </a:ext>
          </a:extLst>
        </xdr:cNvPr>
        <xdr:cNvCxnSpPr/>
      </xdr:nvCxnSpPr>
      <xdr:spPr>
        <a:xfrm>
          <a:off x="9668933" y="0"/>
          <a:ext cx="0" cy="73998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1C0B8D5-EFD2-0147-9184-BA40F9EE0777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4-06-10T20:56:33.00" personId="{C1C0B8D5-EFD2-0147-9184-BA40F9EE0777}" id="{3CAFFDB8-17AE-304B-90EA-5BE9BDB0FD91}">
    <text>Q4 guidance: 436-440m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4C51-D0DF-104C-A19C-F0B422EB0491}">
  <dimension ref="B2:L15"/>
  <sheetViews>
    <sheetView tabSelected="1" zoomScale="120" zoomScaleNormal="120" workbookViewId="0">
      <selection activeCell="J3" sqref="J3"/>
    </sheetView>
  </sheetViews>
  <sheetFormatPr defaultColWidth="11" defaultRowHeight="12.75" x14ac:dyDescent="0.2"/>
  <cols>
    <col min="1" max="16384" width="11" style="14"/>
  </cols>
  <sheetData>
    <row r="2" spans="2:12" x14ac:dyDescent="0.2">
      <c r="B2" s="14" t="s">
        <v>41</v>
      </c>
      <c r="I2" s="14" t="s">
        <v>0</v>
      </c>
      <c r="J2" s="15">
        <v>277.5</v>
      </c>
    </row>
    <row r="3" spans="2:12" x14ac:dyDescent="0.2">
      <c r="B3" s="14" t="s">
        <v>42</v>
      </c>
      <c r="C3" s="14" t="s">
        <v>43</v>
      </c>
      <c r="I3" s="14" t="s">
        <v>1</v>
      </c>
      <c r="J3" s="16">
        <v>73.350695000000002</v>
      </c>
      <c r="K3" s="17">
        <v>45441</v>
      </c>
    </row>
    <row r="4" spans="2:12" x14ac:dyDescent="0.2">
      <c r="I4" s="14" t="s">
        <v>2</v>
      </c>
      <c r="J4" s="16">
        <f>+J2*J3</f>
        <v>20354.8178625</v>
      </c>
    </row>
    <row r="5" spans="2:12" x14ac:dyDescent="0.2">
      <c r="B5" s="14" t="s">
        <v>67</v>
      </c>
      <c r="I5" s="14" t="s">
        <v>3</v>
      </c>
      <c r="J5" s="16">
        <v>2074</v>
      </c>
      <c r="K5" s="17">
        <v>45412</v>
      </c>
    </row>
    <row r="6" spans="2:12" x14ac:dyDescent="0.2">
      <c r="B6" s="14" t="s">
        <v>70</v>
      </c>
      <c r="I6" s="14" t="s">
        <v>4</v>
      </c>
      <c r="J6" s="16">
        <v>1144</v>
      </c>
      <c r="K6" s="17">
        <v>45412</v>
      </c>
    </row>
    <row r="7" spans="2:12" x14ac:dyDescent="0.2">
      <c r="I7" s="14" t="s">
        <v>5</v>
      </c>
      <c r="J7" s="16">
        <f>+J4-J5+J6</f>
        <v>19424.8178625</v>
      </c>
    </row>
    <row r="8" spans="2:12" x14ac:dyDescent="0.2">
      <c r="L8" s="15"/>
    </row>
    <row r="10" spans="2:12" x14ac:dyDescent="0.2">
      <c r="B10" s="14" t="s">
        <v>69</v>
      </c>
      <c r="I10" s="14" t="s">
        <v>59</v>
      </c>
    </row>
    <row r="11" spans="2:12" x14ac:dyDescent="0.2">
      <c r="I11" s="14" t="s">
        <v>60</v>
      </c>
    </row>
    <row r="12" spans="2:12" x14ac:dyDescent="0.2">
      <c r="I12" s="14" t="s">
        <v>61</v>
      </c>
    </row>
    <row r="15" spans="2:12" x14ac:dyDescent="0.2">
      <c r="B15" s="1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1C2F-51E4-5443-871E-C009B6E86FD1}">
  <dimension ref="A1:Q79"/>
  <sheetViews>
    <sheetView zoomScale="150" zoomScaleNormal="15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N31" sqref="N31"/>
    </sheetView>
  </sheetViews>
  <sheetFormatPr defaultColWidth="10.875" defaultRowHeight="15" x14ac:dyDescent="0.2"/>
  <cols>
    <col min="1" max="1" width="5.625" style="1" bestFit="1" customWidth="1"/>
    <col min="2" max="2" width="22.875" style="1" customWidth="1"/>
    <col min="3" max="12" width="10.875" style="1"/>
    <col min="13" max="14" width="10.875" style="12"/>
    <col min="15" max="16" width="10.875" style="1"/>
    <col min="17" max="17" width="10.875" style="12"/>
    <col min="18" max="16384" width="10.875" style="1"/>
  </cols>
  <sheetData>
    <row r="1" spans="1:17" ht="15.95" x14ac:dyDescent="0.2">
      <c r="A1" s="8" t="s">
        <v>6</v>
      </c>
    </row>
    <row r="2" spans="1:17" ht="15.95" x14ac:dyDescent="0.2">
      <c r="C2" s="2">
        <v>44681</v>
      </c>
      <c r="D2" s="2">
        <v>44773</v>
      </c>
      <c r="E2" s="2">
        <v>44865</v>
      </c>
      <c r="F2" s="2">
        <v>44957</v>
      </c>
      <c r="G2" s="2">
        <v>45046</v>
      </c>
      <c r="H2" s="2">
        <v>45138</v>
      </c>
      <c r="I2" s="2">
        <v>45230</v>
      </c>
      <c r="J2" s="2">
        <v>45322</v>
      </c>
      <c r="K2" s="2">
        <v>45412</v>
      </c>
      <c r="L2" s="2">
        <v>45504</v>
      </c>
      <c r="M2" s="9">
        <v>45596</v>
      </c>
      <c r="N2" s="9">
        <v>45777</v>
      </c>
    </row>
    <row r="3" spans="1:17" ht="15.95" x14ac:dyDescent="0.2">
      <c r="C3" s="9" t="s">
        <v>77</v>
      </c>
      <c r="D3" s="9" t="s">
        <v>78</v>
      </c>
      <c r="E3" s="9" t="s">
        <v>79</v>
      </c>
      <c r="F3" s="9" t="s">
        <v>80</v>
      </c>
      <c r="G3" s="9" t="s">
        <v>75</v>
      </c>
      <c r="H3" s="9" t="s">
        <v>76</v>
      </c>
      <c r="I3" s="9" t="s">
        <v>81</v>
      </c>
      <c r="J3" s="9" t="s">
        <v>63</v>
      </c>
      <c r="K3" s="9" t="s">
        <v>62</v>
      </c>
      <c r="L3" s="12" t="s">
        <v>74</v>
      </c>
      <c r="M3" s="12" t="s">
        <v>82</v>
      </c>
      <c r="N3" s="12" t="s">
        <v>83</v>
      </c>
      <c r="Q3" s="12" t="s">
        <v>85</v>
      </c>
    </row>
    <row r="4" spans="1:17" ht="15.95" x14ac:dyDescent="0.2">
      <c r="B4" s="1" t="s">
        <v>72</v>
      </c>
      <c r="C4" s="10">
        <v>35200</v>
      </c>
      <c r="D4" s="10">
        <v>37000</v>
      </c>
      <c r="E4" s="10">
        <v>39100</v>
      </c>
      <c r="F4" s="10">
        <v>40800</v>
      </c>
      <c r="G4" s="10">
        <v>43100</v>
      </c>
      <c r="H4" s="10">
        <v>45000</v>
      </c>
      <c r="I4" s="10">
        <v>46400</v>
      </c>
      <c r="J4" s="10">
        <v>47800</v>
      </c>
      <c r="K4" s="10">
        <v>49200</v>
      </c>
    </row>
    <row r="5" spans="1:17" ht="15.95" x14ac:dyDescent="0.2">
      <c r="B5" s="1" t="s">
        <v>73</v>
      </c>
      <c r="C5" s="2"/>
      <c r="D5" s="2"/>
      <c r="E5" s="9"/>
      <c r="F5" s="10"/>
      <c r="G5" s="2"/>
      <c r="H5" s="2"/>
      <c r="I5" s="2"/>
      <c r="J5" s="9"/>
      <c r="K5" s="10">
        <f>+K16*1000000/K4</f>
        <v>9157.743902439026</v>
      </c>
    </row>
    <row r="6" spans="1:17" ht="15.95" x14ac:dyDescent="0.2">
      <c r="B6" s="1" t="s">
        <v>84</v>
      </c>
      <c r="C6" s="10">
        <v>1379</v>
      </c>
      <c r="D6" s="10">
        <v>1462</v>
      </c>
      <c r="E6" s="10">
        <v>1545</v>
      </c>
      <c r="F6" s="10">
        <v>1651</v>
      </c>
      <c r="G6" s="10">
        <v>1761</v>
      </c>
      <c r="H6" s="10">
        <v>1855</v>
      </c>
      <c r="I6" s="10">
        <v>1972</v>
      </c>
      <c r="J6" s="10">
        <v>2052</v>
      </c>
      <c r="K6" s="10">
        <v>2137</v>
      </c>
    </row>
    <row r="7" spans="1:17" ht="15.95" x14ac:dyDescent="0.2">
      <c r="C7" s="2"/>
      <c r="D7" s="2"/>
      <c r="E7" s="9"/>
      <c r="F7" s="9"/>
      <c r="G7" s="2"/>
      <c r="H7" s="2"/>
      <c r="I7" s="2"/>
      <c r="J7" s="9"/>
      <c r="K7" s="9"/>
    </row>
    <row r="8" spans="1:17" ht="15.95" x14ac:dyDescent="0.2">
      <c r="B8" s="1" t="s">
        <v>64</v>
      </c>
      <c r="C8" s="10"/>
      <c r="D8" s="10"/>
      <c r="E8" s="10"/>
      <c r="F8" s="10"/>
      <c r="G8" s="10">
        <v>222.346</v>
      </c>
      <c r="H8" s="10"/>
      <c r="I8" s="10"/>
      <c r="J8" s="10"/>
      <c r="K8" s="10">
        <v>272.09300000000002</v>
      </c>
    </row>
    <row r="9" spans="1:17" ht="15.95" x14ac:dyDescent="0.2">
      <c r="B9" s="1" t="s">
        <v>65</v>
      </c>
      <c r="C9" s="10"/>
      <c r="D9" s="10"/>
      <c r="E9" s="10"/>
      <c r="F9" s="10"/>
      <c r="G9" s="10">
        <v>105.123</v>
      </c>
      <c r="H9" s="10"/>
      <c r="I9" s="10"/>
      <c r="J9" s="10"/>
      <c r="K9" s="10">
        <v>123.29600000000001</v>
      </c>
    </row>
    <row r="10" spans="1:17" ht="15.95" x14ac:dyDescent="0.2">
      <c r="B10" s="1" t="s">
        <v>66</v>
      </c>
      <c r="C10" s="10"/>
      <c r="D10" s="10"/>
      <c r="E10" s="10"/>
      <c r="F10" s="10"/>
      <c r="G10" s="10">
        <v>40.811</v>
      </c>
      <c r="H10" s="10"/>
      <c r="I10" s="10"/>
      <c r="J10" s="10"/>
      <c r="K10" s="10">
        <v>55.171999999999997</v>
      </c>
    </row>
    <row r="11" spans="1:17" ht="15.95" x14ac:dyDescent="0.2">
      <c r="C11" s="10"/>
      <c r="D11" s="10"/>
      <c r="E11" s="10"/>
      <c r="F11" s="10"/>
      <c r="G11" s="10"/>
      <c r="H11" s="10"/>
      <c r="I11" s="10"/>
      <c r="J11" s="10"/>
      <c r="K11" s="10"/>
    </row>
    <row r="12" spans="1:17" ht="15.95" x14ac:dyDescent="0.2">
      <c r="B12" s="1" t="s">
        <v>67</v>
      </c>
      <c r="C12" s="11"/>
      <c r="D12" s="11"/>
      <c r="E12" s="10"/>
      <c r="F12" s="11"/>
      <c r="G12" s="11">
        <v>237.756</v>
      </c>
      <c r="H12" s="11"/>
      <c r="I12" s="11"/>
      <c r="J12" s="10"/>
      <c r="K12" s="11">
        <v>313.85500000000002</v>
      </c>
    </row>
    <row r="13" spans="1:17" ht="15.95" x14ac:dyDescent="0.2">
      <c r="B13" s="1" t="s">
        <v>16</v>
      </c>
      <c r="C13" s="11"/>
      <c r="D13" s="11"/>
      <c r="E13" s="10"/>
      <c r="F13" s="11"/>
      <c r="G13" s="11">
        <v>116.958</v>
      </c>
      <c r="H13" s="11"/>
      <c r="I13" s="11"/>
      <c r="J13" s="10"/>
      <c r="K13" s="11">
        <v>123.041</v>
      </c>
    </row>
    <row r="14" spans="1:17" s="3" customFormat="1" ht="15.95" x14ac:dyDescent="0.2">
      <c r="B14" s="3" t="s">
        <v>27</v>
      </c>
      <c r="D14" s="6">
        <v>291.60700000000003</v>
      </c>
      <c r="E14" s="6">
        <v>320.75599999999997</v>
      </c>
      <c r="F14" s="6">
        <v>348.178</v>
      </c>
      <c r="G14" s="3">
        <f>+G12+G13</f>
        <v>354.714</v>
      </c>
      <c r="H14" s="6">
        <v>409.334</v>
      </c>
      <c r="I14" s="6">
        <v>418.339</v>
      </c>
      <c r="J14" s="6">
        <v>444.93900000000002</v>
      </c>
      <c r="K14" s="3">
        <f>+K12+K13</f>
        <v>436.89600000000002</v>
      </c>
      <c r="M14" s="10"/>
      <c r="N14" s="10"/>
      <c r="Q14" s="10"/>
    </row>
    <row r="15" spans="1:17" s="3" customFormat="1" ht="15.95" x14ac:dyDescent="0.2">
      <c r="B15" s="3" t="s">
        <v>28</v>
      </c>
      <c r="C15" s="6"/>
      <c r="D15" s="6">
        <v>12.865</v>
      </c>
      <c r="E15" s="6">
        <v>12.865</v>
      </c>
      <c r="F15" s="6">
        <v>13.134</v>
      </c>
      <c r="G15" s="6">
        <v>13.566000000000001</v>
      </c>
      <c r="H15" s="6">
        <v>14.457000000000001</v>
      </c>
      <c r="I15" s="6">
        <v>14.599</v>
      </c>
      <c r="J15" s="6">
        <v>13.063000000000001</v>
      </c>
      <c r="K15" s="6">
        <v>13.664999999999999</v>
      </c>
      <c r="M15" s="10"/>
      <c r="N15" s="10"/>
      <c r="Q15" s="10"/>
    </row>
    <row r="16" spans="1:17" s="4" customFormat="1" ht="15.75" x14ac:dyDescent="0.25">
      <c r="B16" s="4" t="s">
        <v>7</v>
      </c>
      <c r="D16" s="4">
        <f t="shared" ref="D16:K16" si="0">+D14+D15</f>
        <v>304.47200000000004</v>
      </c>
      <c r="E16" s="4">
        <f t="shared" si="0"/>
        <v>333.62099999999998</v>
      </c>
      <c r="F16" s="4">
        <f t="shared" si="0"/>
        <v>361.31200000000001</v>
      </c>
      <c r="G16" s="4">
        <f t="shared" si="0"/>
        <v>368.28</v>
      </c>
      <c r="H16" s="4">
        <f t="shared" si="0"/>
        <v>423.791</v>
      </c>
      <c r="I16" s="4">
        <f t="shared" si="0"/>
        <v>432.93799999999999</v>
      </c>
      <c r="J16" s="4">
        <f t="shared" si="0"/>
        <v>458.00200000000001</v>
      </c>
      <c r="K16" s="4">
        <f t="shared" si="0"/>
        <v>450.56100000000004</v>
      </c>
      <c r="L16" s="4">
        <v>462</v>
      </c>
      <c r="M16" s="4">
        <f>+L16+10</f>
        <v>472</v>
      </c>
      <c r="N16" s="4">
        <f>+M16+26</f>
        <v>498</v>
      </c>
      <c r="Q16" s="13">
        <f>SUM(K16:N16)</f>
        <v>1882.5610000000001</v>
      </c>
    </row>
    <row r="17" spans="2:17" s="4" customFormat="1" ht="15.75" x14ac:dyDescent="0.25">
      <c r="B17" s="3" t="s">
        <v>30</v>
      </c>
      <c r="C17" s="6"/>
      <c r="D17" s="6">
        <v>93.652000000000001</v>
      </c>
      <c r="E17" s="6">
        <v>93.652000000000001</v>
      </c>
      <c r="F17" s="6">
        <v>89.16</v>
      </c>
      <c r="G17" s="6">
        <v>97.448999999999998</v>
      </c>
      <c r="H17" s="6">
        <v>105.337</v>
      </c>
      <c r="I17" s="6">
        <v>107.05800000000001</v>
      </c>
      <c r="J17" s="6">
        <v>114.64100000000001</v>
      </c>
      <c r="K17" s="6">
        <v>122.697</v>
      </c>
      <c r="M17" s="13"/>
      <c r="N17" s="13"/>
      <c r="Q17" s="13"/>
    </row>
    <row r="18" spans="2:17" ht="15.95" x14ac:dyDescent="0.2">
      <c r="B18" s="1" t="s">
        <v>31</v>
      </c>
      <c r="C18" s="3">
        <f t="shared" ref="C18:I18" si="1">+C16-C17</f>
        <v>0</v>
      </c>
      <c r="D18" s="3">
        <f t="shared" si="1"/>
        <v>210.82000000000005</v>
      </c>
      <c r="E18" s="3">
        <f t="shared" si="1"/>
        <v>239.96899999999999</v>
      </c>
      <c r="F18" s="3">
        <f t="shared" si="1"/>
        <v>272.15200000000004</v>
      </c>
      <c r="G18" s="3">
        <f t="shared" si="1"/>
        <v>270.83099999999996</v>
      </c>
      <c r="H18" s="3">
        <f t="shared" si="1"/>
        <v>318.45400000000001</v>
      </c>
      <c r="I18" s="3">
        <f t="shared" si="1"/>
        <v>325.88</v>
      </c>
      <c r="J18" s="3">
        <f>+J16-J17</f>
        <v>343.36099999999999</v>
      </c>
      <c r="K18" s="3">
        <f>+K16-K17</f>
        <v>327.86400000000003</v>
      </c>
      <c r="L18" s="3">
        <f>+L16-L17</f>
        <v>462</v>
      </c>
    </row>
    <row r="19" spans="2:17" ht="15.95" x14ac:dyDescent="0.2">
      <c r="B19" s="1" t="s">
        <v>32</v>
      </c>
      <c r="C19" s="6"/>
      <c r="D19" s="6">
        <v>181.59800000000001</v>
      </c>
      <c r="E19" s="6">
        <v>177.41900000000001</v>
      </c>
      <c r="F19" s="6">
        <v>189.916</v>
      </c>
      <c r="G19" s="6">
        <v>182.733</v>
      </c>
      <c r="H19" s="6">
        <v>195.934</v>
      </c>
      <c r="I19" s="6">
        <v>192.977</v>
      </c>
      <c r="J19" s="6">
        <v>211.11600000000001</v>
      </c>
      <c r="K19" s="6">
        <v>219.44399999999999</v>
      </c>
    </row>
    <row r="20" spans="2:17" ht="15.95" x14ac:dyDescent="0.2">
      <c r="B20" s="1" t="s">
        <v>33</v>
      </c>
      <c r="C20" s="6"/>
      <c r="D20" s="6">
        <v>108.03700000000001</v>
      </c>
      <c r="E20" s="6">
        <v>106.392</v>
      </c>
      <c r="F20" s="6">
        <v>110.89100000000001</v>
      </c>
      <c r="G20" s="6">
        <v>116.81699999999999</v>
      </c>
      <c r="H20" s="6">
        <v>125.42</v>
      </c>
      <c r="I20" s="6">
        <v>128.15</v>
      </c>
      <c r="J20" s="6">
        <v>145.553</v>
      </c>
      <c r="K20" s="6">
        <v>146.06</v>
      </c>
    </row>
    <row r="21" spans="2:17" ht="15.95" x14ac:dyDescent="0.2">
      <c r="B21" s="1" t="s">
        <v>34</v>
      </c>
      <c r="C21" s="6"/>
      <c r="D21" s="6">
        <v>40.591000000000001</v>
      </c>
      <c r="E21" s="6">
        <v>39.081000000000003</v>
      </c>
      <c r="F21" s="6">
        <v>44.293999999999997</v>
      </c>
      <c r="G21" s="6">
        <v>39.828000000000003</v>
      </c>
      <c r="H21" s="6">
        <v>46.103000000000002</v>
      </c>
      <c r="I21" s="6">
        <v>49.969000000000001</v>
      </c>
      <c r="J21" s="6">
        <v>57.658000000000001</v>
      </c>
      <c r="K21" s="6">
        <v>60.545999999999999</v>
      </c>
    </row>
    <row r="22" spans="2:17" ht="15.95" x14ac:dyDescent="0.2">
      <c r="B22" s="1" t="s">
        <v>35</v>
      </c>
      <c r="C22" s="3">
        <f t="shared" ref="C22:L22" si="2">SUM(C19:C21)</f>
        <v>0</v>
      </c>
      <c r="D22" s="3">
        <f t="shared" si="2"/>
        <v>330.226</v>
      </c>
      <c r="E22" s="3">
        <f t="shared" si="2"/>
        <v>322.89200000000005</v>
      </c>
      <c r="F22" s="3">
        <f t="shared" si="2"/>
        <v>345.101</v>
      </c>
      <c r="G22" s="3">
        <f t="shared" si="2"/>
        <v>339.37800000000004</v>
      </c>
      <c r="H22" s="3">
        <f t="shared" si="2"/>
        <v>367.45699999999999</v>
      </c>
      <c r="I22" s="3">
        <f t="shared" si="2"/>
        <v>371.096</v>
      </c>
      <c r="J22" s="3">
        <f t="shared" si="2"/>
        <v>414.327</v>
      </c>
      <c r="K22" s="3">
        <f t="shared" si="2"/>
        <v>426.05</v>
      </c>
      <c r="L22" s="3">
        <f t="shared" si="2"/>
        <v>0</v>
      </c>
    </row>
    <row r="23" spans="2:17" ht="15.95" x14ac:dyDescent="0.2">
      <c r="B23" s="1" t="s">
        <v>36</v>
      </c>
      <c r="C23" s="3">
        <f t="shared" ref="C23:L23" si="3">C18-C22</f>
        <v>0</v>
      </c>
      <c r="D23" s="3">
        <f t="shared" si="3"/>
        <v>-119.40599999999995</v>
      </c>
      <c r="E23" s="3">
        <f t="shared" si="3"/>
        <v>-82.923000000000059</v>
      </c>
      <c r="F23" s="3">
        <f t="shared" si="3"/>
        <v>-72.948999999999955</v>
      </c>
      <c r="G23" s="3">
        <f t="shared" si="3"/>
        <v>-68.547000000000082</v>
      </c>
      <c r="H23" s="3">
        <f t="shared" si="3"/>
        <v>-49.002999999999986</v>
      </c>
      <c r="I23" s="3">
        <f t="shared" si="3"/>
        <v>-45.216000000000008</v>
      </c>
      <c r="J23" s="3">
        <f t="shared" si="3"/>
        <v>-70.966000000000008</v>
      </c>
      <c r="K23" s="3">
        <f t="shared" si="3"/>
        <v>-98.185999999999979</v>
      </c>
      <c r="L23" s="3">
        <f t="shared" si="3"/>
        <v>462</v>
      </c>
    </row>
    <row r="24" spans="2:17" ht="15.95" x14ac:dyDescent="0.2">
      <c r="B24" s="1" t="s">
        <v>37</v>
      </c>
      <c r="C24" s="6"/>
      <c r="D24" s="6">
        <v>-0.97299999999999998</v>
      </c>
      <c r="E24" s="6">
        <f>6.932-2.497-1.318</f>
        <v>3.1170000000000004</v>
      </c>
      <c r="F24" s="6">
        <v>11.465</v>
      </c>
      <c r="G24" s="6">
        <f>18.037-2.393+1.144</f>
        <v>16.787999999999997</v>
      </c>
      <c r="H24" s="6">
        <v>14.994</v>
      </c>
      <c r="I24" s="6">
        <f>20.358-1.964+1.16</f>
        <v>19.554000000000002</v>
      </c>
      <c r="J24" s="6">
        <v>18.88</v>
      </c>
      <c r="K24" s="6">
        <f>23.111-1.897-1.04</f>
        <v>20.174000000000003</v>
      </c>
    </row>
    <row r="25" spans="2:17" ht="15.95" x14ac:dyDescent="0.2">
      <c r="B25" s="1" t="s">
        <v>38</v>
      </c>
      <c r="C25" s="3">
        <f t="shared" ref="C25:J25" si="4">+C23+C24</f>
        <v>0</v>
      </c>
      <c r="D25" s="3">
        <f t="shared" si="4"/>
        <v>-120.37899999999995</v>
      </c>
      <c r="E25" s="3">
        <f t="shared" si="4"/>
        <v>-79.806000000000054</v>
      </c>
      <c r="F25" s="3">
        <f t="shared" si="4"/>
        <v>-61.483999999999952</v>
      </c>
      <c r="G25" s="3">
        <f t="shared" si="4"/>
        <v>-51.759000000000086</v>
      </c>
      <c r="H25" s="3">
        <f t="shared" si="4"/>
        <v>-34.008999999999986</v>
      </c>
      <c r="I25" s="3">
        <f t="shared" si="4"/>
        <v>-25.662000000000006</v>
      </c>
      <c r="J25" s="3">
        <f t="shared" si="4"/>
        <v>-52.086000000000013</v>
      </c>
      <c r="K25" s="3">
        <f>+K23+K24</f>
        <v>-78.011999999999972</v>
      </c>
      <c r="L25" s="3">
        <f>+L23+L24</f>
        <v>462</v>
      </c>
    </row>
    <row r="26" spans="2:17" ht="15.95" x14ac:dyDescent="0.2">
      <c r="B26" s="1" t="s">
        <v>39</v>
      </c>
      <c r="C26" s="6"/>
      <c r="D26" s="6">
        <v>3.0489999999999999</v>
      </c>
      <c r="E26" s="6">
        <v>5.0350000000000001</v>
      </c>
      <c r="F26" s="6">
        <v>2.9140000000000001</v>
      </c>
      <c r="G26" s="6">
        <v>2.4870000000000001</v>
      </c>
      <c r="H26" s="6">
        <v>3.5880000000000001</v>
      </c>
      <c r="I26" s="6">
        <v>3.6349999999999998</v>
      </c>
      <c r="J26" s="6">
        <v>3.3740000000000001</v>
      </c>
      <c r="K26" s="6">
        <v>2.581</v>
      </c>
    </row>
    <row r="27" spans="2:17" ht="15.95" x14ac:dyDescent="0.2">
      <c r="B27" s="1" t="s">
        <v>8</v>
      </c>
      <c r="C27" s="3">
        <f t="shared" ref="C27:J27" si="5">+C25-C26</f>
        <v>0</v>
      </c>
      <c r="D27" s="3">
        <f t="shared" si="5"/>
        <v>-123.42799999999995</v>
      </c>
      <c r="E27" s="3">
        <f t="shared" si="5"/>
        <v>-84.841000000000051</v>
      </c>
      <c r="F27" s="3">
        <f t="shared" si="5"/>
        <v>-64.397999999999954</v>
      </c>
      <c r="G27" s="3">
        <f t="shared" si="5"/>
        <v>-54.246000000000087</v>
      </c>
      <c r="H27" s="3">
        <f t="shared" si="5"/>
        <v>-37.596999999999987</v>
      </c>
      <c r="I27" s="3">
        <f t="shared" si="5"/>
        <v>-29.297000000000004</v>
      </c>
      <c r="J27" s="3">
        <f t="shared" si="5"/>
        <v>-55.460000000000015</v>
      </c>
      <c r="K27" s="3">
        <f>+K25-K26</f>
        <v>-80.592999999999975</v>
      </c>
      <c r="L27" s="3">
        <f>+L25-L26</f>
        <v>462</v>
      </c>
    </row>
    <row r="28" spans="2:17" ht="15.95" x14ac:dyDescent="0.2">
      <c r="B28" s="1" t="s">
        <v>40</v>
      </c>
      <c r="C28" s="7" t="e">
        <f t="shared" ref="C28:J28" si="6">C27/C29</f>
        <v>#DIV/0!</v>
      </c>
      <c r="D28" s="7">
        <f t="shared" si="6"/>
        <v>-1.8062335280774275</v>
      </c>
      <c r="E28" s="7">
        <f t="shared" si="6"/>
        <v>-1.2310638914773968</v>
      </c>
      <c r="F28" s="7">
        <f t="shared" si="6"/>
        <v>-0.92625357140093434</v>
      </c>
      <c r="G28" s="7">
        <f t="shared" si="6"/>
        <v>-0.77298280464511981</v>
      </c>
      <c r="H28" s="7">
        <f t="shared" si="6"/>
        <v>-0.53047574476307036</v>
      </c>
      <c r="I28" s="7">
        <f t="shared" si="6"/>
        <v>-0.40940456377438567</v>
      </c>
      <c r="J28" s="7">
        <f t="shared" si="6"/>
        <v>-0.76655837267370075</v>
      </c>
      <c r="K28" s="7">
        <f>K27/K29</f>
        <v>-1.1041628211130594</v>
      </c>
      <c r="L28" s="7" t="e">
        <f>L27/L29</f>
        <v>#DIV/0!</v>
      </c>
    </row>
    <row r="29" spans="2:17" ht="15.95" x14ac:dyDescent="0.2">
      <c r="B29" s="1" t="s">
        <v>1</v>
      </c>
      <c r="C29" s="3"/>
      <c r="D29" s="3">
        <v>68.334463999999997</v>
      </c>
      <c r="E29" s="3">
        <v>68.916813000000005</v>
      </c>
      <c r="F29" s="3">
        <v>69.525238000000002</v>
      </c>
      <c r="G29" s="3">
        <v>70.177498999999997</v>
      </c>
      <c r="H29" s="3">
        <v>70.874116999999998</v>
      </c>
      <c r="I29" s="3">
        <v>71.560023000000001</v>
      </c>
      <c r="J29" s="3">
        <v>72.349350000000001</v>
      </c>
      <c r="K29" s="3">
        <v>72.990140999999994</v>
      </c>
    </row>
    <row r="31" spans="2:17" ht="15.95" x14ac:dyDescent="0.2">
      <c r="B31" s="1" t="s">
        <v>29</v>
      </c>
      <c r="F31" s="5"/>
      <c r="G31" s="5"/>
      <c r="H31" s="5">
        <f t="shared" ref="H31:N31" si="7">H16/D16-1</f>
        <v>0.39188825245014303</v>
      </c>
      <c r="I31" s="5">
        <f t="shared" si="7"/>
        <v>0.29769409000032976</v>
      </c>
      <c r="J31" s="5">
        <f t="shared" si="7"/>
        <v>0.26760805065981752</v>
      </c>
      <c r="K31" s="5">
        <f t="shared" si="7"/>
        <v>0.22341968067774531</v>
      </c>
      <c r="L31" s="5">
        <f t="shared" si="7"/>
        <v>9.0160008117208701E-2</v>
      </c>
      <c r="M31" s="5">
        <f t="shared" si="7"/>
        <v>9.0225390240634917E-2</v>
      </c>
      <c r="N31" s="5">
        <f t="shared" si="7"/>
        <v>8.7331496369011496E-2</v>
      </c>
    </row>
    <row r="34" spans="2:11" ht="15.95" x14ac:dyDescent="0.2">
      <c r="B34" s="1" t="s">
        <v>3</v>
      </c>
      <c r="C34" s="3"/>
      <c r="D34" s="3"/>
      <c r="F34" s="3"/>
      <c r="G34" s="3"/>
      <c r="H34" s="3"/>
      <c r="I34" s="3"/>
      <c r="K34" s="3">
        <f>815.704+1258.292</f>
        <v>2073.9960000000001</v>
      </c>
    </row>
    <row r="35" spans="2:11" ht="15.95" x14ac:dyDescent="0.2">
      <c r="B35" s="1" t="s">
        <v>9</v>
      </c>
      <c r="C35" s="3"/>
      <c r="D35" s="3"/>
      <c r="F35" s="3"/>
      <c r="G35" s="3"/>
      <c r="H35" s="3"/>
      <c r="I35" s="3"/>
      <c r="K35" s="3">
        <v>266.02499999999998</v>
      </c>
    </row>
    <row r="36" spans="2:11" ht="15.95" x14ac:dyDescent="0.2">
      <c r="B36" s="1" t="s">
        <v>10</v>
      </c>
      <c r="C36" s="3"/>
      <c r="D36" s="3"/>
      <c r="F36" s="3"/>
      <c r="G36" s="3"/>
      <c r="H36" s="3"/>
      <c r="I36" s="3"/>
      <c r="K36" s="3">
        <v>93.39</v>
      </c>
    </row>
    <row r="37" spans="2:11" ht="15.95" x14ac:dyDescent="0.2">
      <c r="B37" s="1" t="s">
        <v>11</v>
      </c>
      <c r="C37" s="3"/>
      <c r="D37" s="3"/>
      <c r="F37" s="3"/>
      <c r="G37" s="3"/>
      <c r="H37" s="3"/>
      <c r="I37" s="3"/>
      <c r="K37" s="3">
        <v>218.91399999999999</v>
      </c>
    </row>
    <row r="38" spans="2:11" ht="15.95" x14ac:dyDescent="0.2">
      <c r="B38" s="1" t="s">
        <v>12</v>
      </c>
      <c r="C38" s="3"/>
      <c r="D38" s="3"/>
      <c r="F38" s="3"/>
      <c r="G38" s="3"/>
      <c r="H38" s="3"/>
      <c r="I38" s="3"/>
      <c r="K38" s="3">
        <v>50.213999999999999</v>
      </c>
    </row>
    <row r="39" spans="2:11" x14ac:dyDescent="0.2">
      <c r="B39" s="1" t="s">
        <v>13</v>
      </c>
      <c r="C39" s="3"/>
      <c r="D39" s="3"/>
      <c r="F39" s="3"/>
      <c r="G39" s="3"/>
      <c r="H39" s="3"/>
      <c r="I39" s="3"/>
      <c r="K39" s="3">
        <v>34.807000000000002</v>
      </c>
    </row>
    <row r="40" spans="2:11" x14ac:dyDescent="0.2">
      <c r="B40" s="1" t="s">
        <v>14</v>
      </c>
      <c r="C40" s="3"/>
      <c r="D40" s="3"/>
      <c r="F40" s="3"/>
      <c r="G40" s="3"/>
      <c r="H40" s="3"/>
      <c r="I40" s="3"/>
      <c r="K40" s="3">
        <f>69.679+1.303</f>
        <v>70.981999999999999</v>
      </c>
    </row>
    <row r="41" spans="2:11" x14ac:dyDescent="0.2">
      <c r="B41" s="1" t="s">
        <v>15</v>
      </c>
      <c r="C41" s="3"/>
      <c r="D41" s="3"/>
      <c r="F41" s="3"/>
      <c r="G41" s="3"/>
      <c r="H41" s="3"/>
      <c r="I41" s="3"/>
      <c r="K41" s="3">
        <v>4.524</v>
      </c>
    </row>
    <row r="42" spans="2:11" x14ac:dyDescent="0.2">
      <c r="B42" s="1" t="s">
        <v>16</v>
      </c>
      <c r="C42" s="3"/>
      <c r="D42" s="3"/>
      <c r="F42" s="3"/>
      <c r="G42" s="3"/>
      <c r="H42" s="3"/>
      <c r="I42" s="3"/>
      <c r="K42" s="3">
        <v>221.577</v>
      </c>
    </row>
    <row r="43" spans="2:11" x14ac:dyDescent="0.2">
      <c r="B43" s="1" t="s">
        <v>17</v>
      </c>
      <c r="C43" s="3"/>
      <c r="D43" s="3"/>
      <c r="F43" s="3"/>
      <c r="G43" s="3"/>
      <c r="H43" s="3"/>
      <c r="I43" s="3"/>
      <c r="K43" s="3">
        <f>SUM(K34:K42)</f>
        <v>3034.4289999999992</v>
      </c>
    </row>
    <row r="45" spans="2:11" x14ac:dyDescent="0.2">
      <c r="B45" s="1" t="s">
        <v>18</v>
      </c>
      <c r="C45" s="3"/>
      <c r="D45" s="3"/>
      <c r="F45" s="3"/>
      <c r="G45" s="3"/>
      <c r="H45" s="3"/>
      <c r="I45" s="3"/>
      <c r="K45" s="3">
        <v>9.3490000000000002</v>
      </c>
    </row>
    <row r="46" spans="2:11" x14ac:dyDescent="0.2">
      <c r="B46" s="1" t="s">
        <v>19</v>
      </c>
      <c r="C46" s="3"/>
      <c r="D46" s="3"/>
      <c r="F46" s="3"/>
      <c r="G46" s="3"/>
      <c r="H46" s="3"/>
      <c r="I46" s="3"/>
      <c r="K46" s="3">
        <v>110.23399999999999</v>
      </c>
    </row>
    <row r="47" spans="2:11" x14ac:dyDescent="0.2">
      <c r="B47" s="1" t="s">
        <v>20</v>
      </c>
      <c r="C47" s="3"/>
      <c r="D47" s="3"/>
      <c r="F47" s="3"/>
      <c r="G47" s="3"/>
      <c r="H47" s="3"/>
      <c r="I47" s="3"/>
      <c r="K47" s="3">
        <f>9.881+28.417</f>
        <v>38.298000000000002</v>
      </c>
    </row>
    <row r="48" spans="2:11" x14ac:dyDescent="0.2">
      <c r="B48" s="1" t="s">
        <v>21</v>
      </c>
      <c r="C48" s="3"/>
      <c r="D48" s="3"/>
      <c r="F48" s="3"/>
      <c r="G48" s="3"/>
      <c r="H48" s="3"/>
      <c r="I48" s="3"/>
      <c r="K48" s="3">
        <v>84.11</v>
      </c>
    </row>
    <row r="49" spans="2:11" x14ac:dyDescent="0.2">
      <c r="B49" s="1" t="s">
        <v>22</v>
      </c>
      <c r="C49" s="3"/>
      <c r="D49" s="3"/>
      <c r="F49" s="3"/>
      <c r="G49" s="3"/>
      <c r="H49" s="3"/>
      <c r="I49" s="3"/>
      <c r="K49" s="3">
        <f>323.92+16.21</f>
        <v>340.13</v>
      </c>
    </row>
    <row r="50" spans="2:11" x14ac:dyDescent="0.2">
      <c r="B50" s="1" t="s">
        <v>23</v>
      </c>
      <c r="C50" s="3"/>
      <c r="D50" s="3"/>
      <c r="F50" s="3"/>
      <c r="G50" s="3"/>
      <c r="H50" s="3"/>
      <c r="I50" s="3"/>
      <c r="K50" s="3">
        <v>0.77</v>
      </c>
    </row>
    <row r="51" spans="2:11" x14ac:dyDescent="0.2">
      <c r="B51" s="1" t="s">
        <v>4</v>
      </c>
      <c r="C51" s="3"/>
      <c r="D51" s="3"/>
      <c r="F51" s="3"/>
      <c r="G51" s="3"/>
      <c r="H51" s="3"/>
      <c r="I51" s="3"/>
      <c r="K51" s="3">
        <v>1144.125</v>
      </c>
    </row>
    <row r="52" spans="2:11" x14ac:dyDescent="0.2">
      <c r="B52" s="1" t="s">
        <v>24</v>
      </c>
      <c r="C52" s="3"/>
      <c r="D52" s="3"/>
      <c r="F52" s="3"/>
      <c r="G52" s="3"/>
      <c r="H52" s="3"/>
      <c r="I52" s="3"/>
      <c r="K52" s="3">
        <v>38.156999999999996</v>
      </c>
    </row>
    <row r="53" spans="2:11" x14ac:dyDescent="0.2">
      <c r="B53" s="1" t="s">
        <v>25</v>
      </c>
      <c r="C53" s="3"/>
      <c r="D53" s="3"/>
      <c r="F53" s="3"/>
      <c r="G53" s="3"/>
      <c r="H53" s="3"/>
      <c r="I53" s="3"/>
      <c r="K53" s="3">
        <v>1269.2560000000001</v>
      </c>
    </row>
    <row r="54" spans="2:11" x14ac:dyDescent="0.2">
      <c r="B54" s="1" t="s">
        <v>26</v>
      </c>
      <c r="C54" s="3"/>
      <c r="D54" s="3"/>
      <c r="F54" s="3"/>
      <c r="G54" s="3"/>
      <c r="H54" s="3"/>
      <c r="I54" s="3"/>
      <c r="K54" s="3">
        <f>SUM(K45:K53)</f>
        <v>3034.4290000000001</v>
      </c>
    </row>
    <row r="56" spans="2:11" x14ac:dyDescent="0.2">
      <c r="B56" s="1" t="s">
        <v>48</v>
      </c>
      <c r="F56" s="3"/>
      <c r="K56" s="3">
        <f>K27</f>
        <v>-80.592999999999975</v>
      </c>
    </row>
    <row r="57" spans="2:11" x14ac:dyDescent="0.2">
      <c r="B57" s="1" t="s">
        <v>49</v>
      </c>
      <c r="F57" s="3"/>
      <c r="K57" s="3">
        <v>-80.593000000000004</v>
      </c>
    </row>
    <row r="58" spans="2:11" x14ac:dyDescent="0.2">
      <c r="B58" s="1" t="s">
        <v>46</v>
      </c>
      <c r="F58" s="3"/>
      <c r="K58" s="3">
        <v>4.8259999999999996</v>
      </c>
    </row>
    <row r="59" spans="2:11" x14ac:dyDescent="0.2">
      <c r="B59" s="1" t="s">
        <v>45</v>
      </c>
      <c r="F59" s="3"/>
      <c r="K59" s="3">
        <v>120.76300000000001</v>
      </c>
    </row>
    <row r="60" spans="2:11" x14ac:dyDescent="0.2">
      <c r="B60" s="1" t="s">
        <v>47</v>
      </c>
      <c r="F60" s="3"/>
      <c r="K60" s="3">
        <f>0.852+0.993+2.479-7.781</f>
        <v>-3.4569999999999999</v>
      </c>
    </row>
    <row r="61" spans="2:11" x14ac:dyDescent="0.2">
      <c r="B61" s="1" t="s">
        <v>52</v>
      </c>
      <c r="F61" s="3"/>
      <c r="K61" s="3">
        <v>7.0000000000000001E-3</v>
      </c>
    </row>
    <row r="62" spans="2:11" x14ac:dyDescent="0.2">
      <c r="B62" s="1" t="s">
        <v>53</v>
      </c>
      <c r="F62" s="3"/>
      <c r="K62" s="3">
        <f>0.115-0.479</f>
        <v>-0.36399999999999999</v>
      </c>
    </row>
    <row r="63" spans="2:11" x14ac:dyDescent="0.2">
      <c r="B63" s="1" t="s">
        <v>50</v>
      </c>
      <c r="F63" s="3"/>
      <c r="K63" s="3">
        <f>59.326+1.233-4.82+0.166-0.547+6.526-2.185-37.431+0.163</f>
        <v>22.431000000000001</v>
      </c>
    </row>
    <row r="64" spans="2:11" x14ac:dyDescent="0.2">
      <c r="B64" s="1" t="s">
        <v>44</v>
      </c>
      <c r="F64" s="3"/>
      <c r="K64" s="3">
        <f>SUM(K57:K63)</f>
        <v>63.613</v>
      </c>
    </row>
    <row r="66" spans="2:11" x14ac:dyDescent="0.2">
      <c r="B66" s="1" t="s">
        <v>54</v>
      </c>
      <c r="F66" s="3"/>
      <c r="K66" s="3">
        <v>-0.53900000000000003</v>
      </c>
    </row>
    <row r="67" spans="2:11" x14ac:dyDescent="0.2">
      <c r="B67" s="1" t="s">
        <v>55</v>
      </c>
      <c r="F67" s="3"/>
      <c r="K67" s="3">
        <f>125-172.604</f>
        <v>-47.604000000000013</v>
      </c>
    </row>
    <row r="68" spans="2:11" x14ac:dyDescent="0.2">
      <c r="B68" s="1" t="s">
        <v>56</v>
      </c>
      <c r="F68" s="3"/>
      <c r="K68" s="3">
        <f>SUM(K66:K67)</f>
        <v>-48.143000000000015</v>
      </c>
    </row>
    <row r="69" spans="2:11" x14ac:dyDescent="0.2">
      <c r="F69" s="3"/>
      <c r="K69" s="3"/>
    </row>
    <row r="70" spans="2:11" x14ac:dyDescent="0.2">
      <c r="B70" s="1" t="s">
        <v>57</v>
      </c>
      <c r="F70" s="3"/>
      <c r="K70" s="3">
        <v>0.95299999999999996</v>
      </c>
    </row>
    <row r="71" spans="2:11" x14ac:dyDescent="0.2">
      <c r="B71" s="1" t="s">
        <v>13</v>
      </c>
      <c r="F71" s="3"/>
      <c r="K71" s="3">
        <v>-2.093</v>
      </c>
    </row>
    <row r="72" spans="2:11" x14ac:dyDescent="0.2">
      <c r="B72" s="1" t="s">
        <v>58</v>
      </c>
      <c r="F72" s="3"/>
      <c r="K72" s="3">
        <f>SUM(K70:K71)</f>
        <v>-1.1400000000000001</v>
      </c>
    </row>
    <row r="73" spans="2:11" x14ac:dyDescent="0.2">
      <c r="B73" s="1" t="s">
        <v>51</v>
      </c>
      <c r="F73" s="3"/>
      <c r="K73" s="3">
        <v>-1.583</v>
      </c>
    </row>
    <row r="74" spans="2:11" x14ac:dyDescent="0.2">
      <c r="F74" s="3"/>
      <c r="K74" s="3">
        <f>K73+K72+K68+K64</f>
        <v>12.746999999999986</v>
      </c>
    </row>
    <row r="75" spans="2:11" x14ac:dyDescent="0.2">
      <c r="F75" s="3"/>
      <c r="K75" s="3"/>
    </row>
    <row r="76" spans="2:11" x14ac:dyDescent="0.2">
      <c r="B76" s="1" t="s">
        <v>68</v>
      </c>
      <c r="C76" s="3"/>
      <c r="D76" s="3"/>
      <c r="E76" s="3"/>
      <c r="F76" s="3"/>
      <c r="G76" s="3">
        <v>4527</v>
      </c>
      <c r="H76" s="3"/>
      <c r="I76" s="3"/>
      <c r="J76" s="3"/>
      <c r="K76" s="3">
        <v>5213</v>
      </c>
    </row>
    <row r="77" spans="2:11" x14ac:dyDescent="0.2">
      <c r="F77" s="5"/>
      <c r="K77" s="5">
        <f>+K76/G76-1</f>
        <v>0.15153523304616745</v>
      </c>
    </row>
    <row r="78" spans="2:11" x14ac:dyDescent="0.2">
      <c r="F78" s="5"/>
      <c r="K78" s="5"/>
    </row>
    <row r="79" spans="2:11" x14ac:dyDescent="0.2">
      <c r="B79" s="1" t="s">
        <v>32</v>
      </c>
      <c r="C79" s="3"/>
      <c r="D79" s="3"/>
      <c r="E79" s="3"/>
      <c r="F79" s="3"/>
      <c r="G79" s="3">
        <v>2157</v>
      </c>
      <c r="H79" s="3"/>
      <c r="I79" s="3"/>
      <c r="J79" s="3"/>
      <c r="K79" s="3">
        <v>2470</v>
      </c>
    </row>
  </sheetData>
  <hyperlinks>
    <hyperlink ref="A1" location="Main!A1" display="Main" xr:uid="{C133F01A-E3DB-8640-9562-7A3F4F520D71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2024-06-10T20:01:43Z</dcterms:created>
  <dcterms:modified xsi:type="dcterms:W3CDTF">2024-09-20T05:12:32Z</dcterms:modified>
</cp:coreProperties>
</file>