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0C11ED78-D97E-4445-83B2-7299143BBA73}" xr6:coauthVersionLast="47" xr6:coauthVersionMax="47" xr10:uidLastSave="{00000000-0000-0000-0000-000000000000}"/>
  <bookViews>
    <workbookView xWindow="-30030" yWindow="2505" windowWidth="28305" windowHeight="17085" firstSheet="4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0" l="1"/>
  <c r="H15" i="10"/>
  <c r="E15" i="10" s="1"/>
  <c r="G15" i="10" s="1"/>
  <c r="F17" i="10" l="1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8" i="1" l="1"/>
  <c r="H28" i="1"/>
  <c r="E28" i="1" s="1"/>
  <c r="F41" i="10"/>
  <c r="H41" i="10"/>
  <c r="E41" i="10" s="1"/>
  <c r="K5" i="1"/>
  <c r="L5" i="1" s="1"/>
  <c r="H5" i="1"/>
  <c r="F5" i="1"/>
  <c r="G41" i="10" l="1"/>
  <c r="G28" i="1"/>
  <c r="H10" i="10"/>
  <c r="F10" i="10" l="1"/>
  <c r="E11" i="1" l="1"/>
  <c r="F8" i="11"/>
  <c r="H8" i="11"/>
  <c r="E8" i="11" s="1"/>
  <c r="F7" i="10"/>
  <c r="H7" i="10"/>
  <c r="E7" i="10" s="1"/>
  <c r="E10" i="10"/>
  <c r="G8" i="11" l="1"/>
  <c r="G7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E5" i="5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<sst xmlns="http://schemas.openxmlformats.org/spreadsheetml/2006/main" count="1016" uniqueCount="633">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</sst>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\x"/>
    <numFmt numFmtId="165" formatCode="[$¥-411]#,##0"/>
    <numFmt numFmtId="166" formatCode="0.0%"/>
  </numFmts>
  <fonts count="9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1" fillId="0" borderId="0" applyNumberFormat="0" applyFill="0" applyBorder="0" applyAlignment="0" applyProtection="0"/>
  </cellStyleXfs>
  <cellXfs count="229">
    <xf numFmtId="0" fontId="0" fillId="0" borderId="0" xfId="0"/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2" fillId="0" borderId="0" xfId="1" applyFont="1"/>
    <xf numFmtId="0" fontId="89" fillId="0" borderId="0" xfId="0" applyFont="1"/>
    <xf numFmtId="3" fontId="89" fillId="0" borderId="0" xfId="0" applyNumberFormat="1" applyFont="1" applyAlignment="1">
      <alignment horizontal="right"/>
    </xf>
    <xf numFmtId="0" fontId="88" fillId="0" borderId="0" xfId="0" applyFont="1"/>
    <xf numFmtId="3" fontId="93" fillId="0" borderId="0" xfId="0" applyNumberFormat="1" applyFont="1" applyAlignment="1">
      <alignment horizontal="right"/>
    </xf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3" xfId="0" applyFont="1" applyBorder="1"/>
    <xf numFmtId="0" fontId="84" fillId="0" borderId="4" xfId="0" applyFont="1" applyBorder="1"/>
    <xf numFmtId="2" fontId="84" fillId="0" borderId="4" xfId="0" applyNumberFormat="1" applyFont="1" applyBorder="1" applyAlignment="1">
      <alignment horizontal="right"/>
    </xf>
    <xf numFmtId="3" fontId="84" fillId="0" borderId="4" xfId="0" applyNumberFormat="1" applyFont="1" applyBorder="1" applyAlignment="1">
      <alignment horizontal="right"/>
    </xf>
    <xf numFmtId="0" fontId="84" fillId="0" borderId="4" xfId="0" applyFont="1" applyBorder="1" applyAlignment="1">
      <alignment horizontal="right"/>
    </xf>
    <xf numFmtId="0" fontId="84" fillId="0" borderId="4" xfId="0" applyFont="1" applyBorder="1" applyAlignment="1">
      <alignment horizontal="center"/>
    </xf>
    <xf numFmtId="0" fontId="84" fillId="0" borderId="5" xfId="0" applyFont="1" applyBorder="1" applyAlignment="1">
      <alignment horizontal="center"/>
    </xf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4" fillId="0" borderId="0" xfId="0" applyFont="1" applyAlignment="1">
      <alignment horizontal="center"/>
    </xf>
    <xf numFmtId="0" fontId="84" fillId="0" borderId="1" xfId="0" applyFont="1" applyBorder="1" applyAlignment="1">
      <alignment horizontal="center"/>
    </xf>
    <xf numFmtId="0" fontId="84" fillId="0" borderId="2" xfId="0" applyFont="1" applyBorder="1" applyAlignment="1">
      <alignment horizontal="center"/>
    </xf>
    <xf numFmtId="4" fontId="84" fillId="0" borderId="0" xfId="0" applyNumberFormat="1" applyFont="1" applyAlignment="1">
      <alignment horizontal="center"/>
    </xf>
    <xf numFmtId="9" fontId="84" fillId="0" borderId="0" xfId="0" applyNumberFormat="1" applyFont="1" applyAlignment="1">
      <alignment horizontal="center"/>
    </xf>
    <xf numFmtId="164" fontId="84" fillId="0" borderId="1" xfId="0" applyNumberFormat="1" applyFont="1" applyBorder="1" applyAlignment="1">
      <alignment horizontal="center"/>
    </xf>
    <xf numFmtId="164" fontId="84" fillId="0" borderId="0" xfId="0" applyNumberFormat="1" applyFont="1" applyAlignment="1">
      <alignment horizontal="center"/>
    </xf>
    <xf numFmtId="164" fontId="84" fillId="0" borderId="2" xfId="0" applyNumberFormat="1" applyFont="1" applyBorder="1" applyAlignment="1">
      <alignment horizontal="center"/>
    </xf>
    <xf numFmtId="4" fontId="84" fillId="0" borderId="1" xfId="0" applyNumberFormat="1" applyFont="1" applyBorder="1" applyAlignment="1">
      <alignment horizontal="center"/>
    </xf>
    <xf numFmtId="4" fontId="84" fillId="0" borderId="2" xfId="0" applyNumberFormat="1" applyFont="1" applyBorder="1" applyAlignment="1">
      <alignment horizontal="center"/>
    </xf>
    <xf numFmtId="0" fontId="83" fillId="0" borderId="0" xfId="0" applyFont="1" applyAlignment="1">
      <alignment horizontal="right"/>
    </xf>
    <xf numFmtId="0" fontId="82" fillId="0" borderId="0" xfId="0" applyFont="1" applyAlignment="1">
      <alignment horizontal="right"/>
    </xf>
    <xf numFmtId="9" fontId="82" fillId="0" borderId="0" xfId="0" applyNumberFormat="1" applyFont="1" applyAlignment="1">
      <alignment horizontal="center"/>
    </xf>
    <xf numFmtId="164" fontId="84" fillId="0" borderId="6" xfId="0" applyNumberFormat="1" applyFont="1" applyBorder="1" applyAlignment="1">
      <alignment horizontal="center"/>
    </xf>
    <xf numFmtId="0" fontId="81" fillId="0" borderId="0" xfId="0" applyFont="1" applyAlignment="1">
      <alignment horizontal="right"/>
    </xf>
    <xf numFmtId="0" fontId="80" fillId="0" borderId="0" xfId="0" applyFont="1" applyAlignment="1">
      <alignment horizontal="right"/>
    </xf>
    <xf numFmtId="0" fontId="79" fillId="0" borderId="0" xfId="0" applyFont="1"/>
    <xf numFmtId="4" fontId="84" fillId="0" borderId="0" xfId="0" applyNumberFormat="1" applyFont="1" applyAlignment="1">
      <alignment horizontal="right"/>
    </xf>
    <xf numFmtId="0" fontId="78" fillId="0" borderId="4" xfId="0" applyFont="1" applyBorder="1" applyAlignment="1">
      <alignment horizontal="right"/>
    </xf>
    <xf numFmtId="14" fontId="84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/>
    <xf numFmtId="0" fontId="77" fillId="0" borderId="0" xfId="0" applyFont="1"/>
    <xf numFmtId="0" fontId="77" fillId="0" borderId="3" xfId="0" applyFont="1" applyBorder="1" applyAlignment="1">
      <alignment horizontal="center"/>
    </xf>
    <xf numFmtId="0" fontId="77" fillId="0" borderId="6" xfId="0" applyFont="1" applyBorder="1" applyAlignment="1">
      <alignment horizontal="center"/>
    </xf>
    <xf numFmtId="0" fontId="77" fillId="0" borderId="4" xfId="0" applyFont="1" applyBorder="1" applyAlignment="1">
      <alignment horizontal="center"/>
    </xf>
    <xf numFmtId="0" fontId="84" fillId="0" borderId="5" xfId="0" applyFont="1" applyBorder="1"/>
    <xf numFmtId="3" fontId="87" fillId="0" borderId="0" xfId="0" applyNumberFormat="1" applyFont="1"/>
    <xf numFmtId="0" fontId="76" fillId="0" borderId="0" xfId="0" applyFont="1"/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4" fillId="0" borderId="0" xfId="0" applyFont="1"/>
    <xf numFmtId="3" fontId="90" fillId="0" borderId="0" xfId="0" applyNumberFormat="1" applyFont="1"/>
    <xf numFmtId="3" fontId="93" fillId="0" borderId="0" xfId="0" applyNumberFormat="1" applyFont="1"/>
    <xf numFmtId="3" fontId="74" fillId="0" borderId="0" xfId="0" applyNumberFormat="1" applyFont="1"/>
    <xf numFmtId="4" fontId="90" fillId="0" borderId="0" xfId="0" applyNumberFormat="1" applyFont="1" applyAlignment="1">
      <alignment horizontal="right"/>
    </xf>
    <xf numFmtId="4" fontId="93" fillId="0" borderId="0" xfId="0" applyNumberFormat="1" applyFont="1" applyAlignment="1">
      <alignment horizontal="right"/>
    </xf>
    <xf numFmtId="0" fontId="73" fillId="0" borderId="0" xfId="0" applyFont="1"/>
    <xf numFmtId="0" fontId="72" fillId="0" borderId="0" xfId="0" applyFont="1"/>
    <xf numFmtId="0" fontId="94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14" fontId="87" fillId="0" borderId="0" xfId="0" applyNumberFormat="1" applyFont="1"/>
    <xf numFmtId="0" fontId="87" fillId="0" borderId="0" xfId="0" applyFont="1" applyAlignment="1">
      <alignment horizontal="right"/>
    </xf>
    <xf numFmtId="4" fontId="87" fillId="0" borderId="0" xfId="0" applyNumberFormat="1" applyFont="1" applyAlignment="1">
      <alignment horizontal="right"/>
    </xf>
    <xf numFmtId="3" fontId="87" fillId="0" borderId="0" xfId="0" applyNumberFormat="1" applyFont="1" applyAlignment="1">
      <alignment horizontal="right"/>
    </xf>
    <xf numFmtId="3" fontId="70" fillId="0" borderId="0" xfId="0" applyNumberFormat="1" applyFont="1"/>
    <xf numFmtId="0" fontId="70" fillId="0" borderId="0" xfId="0" applyFont="1"/>
    <xf numFmtId="0" fontId="70" fillId="0" borderId="3" xfId="0" applyFont="1" applyBorder="1"/>
    <xf numFmtId="0" fontId="70" fillId="0" borderId="4" xfId="0" applyFont="1" applyBorder="1"/>
    <xf numFmtId="2" fontId="70" fillId="0" borderId="4" xfId="0" applyNumberFormat="1" applyFont="1" applyBorder="1" applyAlignment="1">
      <alignment horizontal="right"/>
    </xf>
    <xf numFmtId="3" fontId="70" fillId="0" borderId="4" xfId="0" applyNumberFormat="1" applyFont="1" applyBorder="1" applyAlignment="1">
      <alignment horizontal="right"/>
    </xf>
    <xf numFmtId="0" fontId="70" fillId="0" borderId="4" xfId="0" applyFont="1" applyBorder="1" applyAlignment="1">
      <alignment horizontal="right"/>
    </xf>
    <xf numFmtId="0" fontId="70" fillId="0" borderId="4" xfId="0" applyFont="1" applyBorder="1" applyAlignment="1">
      <alignment horizontal="center"/>
    </xf>
    <xf numFmtId="0" fontId="70" fillId="0" borderId="5" xfId="0" applyFont="1" applyBorder="1" applyAlignment="1">
      <alignment horizontal="center"/>
    </xf>
    <xf numFmtId="0" fontId="70" fillId="0" borderId="3" xfId="0" applyFont="1" applyBorder="1" applyAlignment="1">
      <alignment horizontal="center"/>
    </xf>
    <xf numFmtId="0" fontId="70" fillId="0" borderId="6" xfId="0" applyFont="1" applyBorder="1" applyAlignment="1">
      <alignment horizontal="center"/>
    </xf>
    <xf numFmtId="0" fontId="69" fillId="0" borderId="0" xfId="0" applyFont="1"/>
    <xf numFmtId="3" fontId="69" fillId="0" borderId="0" xfId="0" applyNumberFormat="1" applyFont="1"/>
    <xf numFmtId="3" fontId="68" fillId="0" borderId="0" xfId="0" applyNumberFormat="1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3" fontId="62" fillId="0" borderId="0" xfId="0" applyNumberFormat="1" applyFont="1"/>
    <xf numFmtId="3" fontId="61" fillId="0" borderId="0" xfId="0" applyNumberFormat="1" applyFont="1"/>
    <xf numFmtId="0" fontId="60" fillId="0" borderId="0" xfId="0" applyFont="1"/>
    <xf numFmtId="0" fontId="95" fillId="0" borderId="0" xfId="0" applyFont="1"/>
    <xf numFmtId="0" fontId="59" fillId="0" borderId="0" xfId="0" applyFont="1"/>
    <xf numFmtId="0" fontId="96" fillId="0" borderId="0" xfId="1" applyFont="1"/>
    <xf numFmtId="0" fontId="58" fillId="0" borderId="0" xfId="0" applyFont="1"/>
    <xf numFmtId="3" fontId="58" fillId="0" borderId="0" xfId="0" applyNumberFormat="1" applyFont="1"/>
    <xf numFmtId="0" fontId="57" fillId="0" borderId="0" xfId="0" applyFont="1" applyAlignment="1">
      <alignment horizontal="right"/>
    </xf>
    <xf numFmtId="0" fontId="56" fillId="0" borderId="0" xfId="0" applyFont="1"/>
    <xf numFmtId="0" fontId="56" fillId="0" borderId="0" xfId="0" applyFont="1" applyAlignment="1">
      <alignment horizontal="right"/>
    </xf>
    <xf numFmtId="14" fontId="70" fillId="0" borderId="0" xfId="0" applyNumberFormat="1" applyFont="1"/>
    <xf numFmtId="3" fontId="55" fillId="0" borderId="0" xfId="0" applyNumberFormat="1" applyFont="1"/>
    <xf numFmtId="0" fontId="54" fillId="0" borderId="0" xfId="0" applyFont="1"/>
    <xf numFmtId="3" fontId="54" fillId="0" borderId="0" xfId="0" applyNumberFormat="1" applyFont="1"/>
    <xf numFmtId="0" fontId="53" fillId="0" borderId="0" xfId="0" applyFont="1"/>
    <xf numFmtId="0" fontId="52" fillId="0" borderId="0" xfId="0" applyFont="1"/>
    <xf numFmtId="3" fontId="51" fillId="0" borderId="0" xfId="0" applyNumberFormat="1" applyFont="1"/>
    <xf numFmtId="0" fontId="50" fillId="0" borderId="0" xfId="0" applyFont="1"/>
    <xf numFmtId="0" fontId="49" fillId="0" borderId="0" xfId="0" applyFont="1"/>
    <xf numFmtId="3" fontId="48" fillId="0" borderId="0" xfId="0" applyNumberFormat="1" applyFont="1"/>
    <xf numFmtId="0" fontId="47" fillId="0" borderId="0" xfId="0" applyFont="1"/>
    <xf numFmtId="0" fontId="92" fillId="0" borderId="1" xfId="1" applyFont="1" applyBorder="1"/>
    <xf numFmtId="9" fontId="84" fillId="0" borderId="2" xfId="0" applyNumberFormat="1" applyFont="1" applyBorder="1" applyAlignment="1">
      <alignment horizontal="center"/>
    </xf>
    <xf numFmtId="0" fontId="60" fillId="0" borderId="0" xfId="0" applyFont="1" applyAlignment="1">
      <alignment horizontal="right"/>
    </xf>
    <xf numFmtId="0" fontId="52" fillId="0" borderId="1" xfId="0" applyFont="1" applyBorder="1"/>
    <xf numFmtId="0" fontId="81" fillId="0" borderId="0" xfId="0" applyFont="1"/>
    <xf numFmtId="0" fontId="49" fillId="0" borderId="1" xfId="0" applyFont="1" applyBorder="1"/>
    <xf numFmtId="0" fontId="84" fillId="0" borderId="1" xfId="0" applyFont="1" applyBorder="1"/>
    <xf numFmtId="0" fontId="82" fillId="0" borderId="1" xfId="0" applyFont="1" applyBorder="1"/>
    <xf numFmtId="0" fontId="82" fillId="0" borderId="0" xfId="0" applyFont="1"/>
    <xf numFmtId="0" fontId="77" fillId="0" borderId="1" xfId="0" applyFont="1" applyBorder="1"/>
    <xf numFmtId="2" fontId="84" fillId="0" borderId="6" xfId="0" applyNumberFormat="1" applyFont="1" applyBorder="1" applyAlignment="1">
      <alignment horizontal="right"/>
    </xf>
    <xf numFmtId="3" fontId="84" fillId="0" borderId="6" xfId="0" applyNumberFormat="1" applyFont="1" applyBorder="1" applyAlignment="1">
      <alignment horizontal="right"/>
    </xf>
    <xf numFmtId="0" fontId="84" fillId="0" borderId="6" xfId="0" applyFont="1" applyBorder="1" applyAlignment="1">
      <alignment horizontal="right"/>
    </xf>
    <xf numFmtId="0" fontId="84" fillId="0" borderId="6" xfId="0" applyFont="1" applyBorder="1" applyAlignment="1">
      <alignment horizontal="center"/>
    </xf>
    <xf numFmtId="0" fontId="84" fillId="0" borderId="8" xfId="0" applyFont="1" applyBorder="1" applyAlignment="1">
      <alignment horizontal="center"/>
    </xf>
    <xf numFmtId="0" fontId="47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92" fillId="0" borderId="0" xfId="1" applyFont="1" applyBorder="1"/>
    <xf numFmtId="0" fontId="38" fillId="0" borderId="0" xfId="0" applyFont="1"/>
    <xf numFmtId="0" fontId="37" fillId="0" borderId="0" xfId="0" applyFont="1" applyAlignment="1">
      <alignment horizontal="right"/>
    </xf>
    <xf numFmtId="0" fontId="36" fillId="0" borderId="0" xfId="0" applyFont="1"/>
    <xf numFmtId="0" fontId="36" fillId="0" borderId="0" xfId="0" applyFont="1" applyAlignment="1">
      <alignment horizontal="right"/>
    </xf>
    <xf numFmtId="3" fontId="36" fillId="0" borderId="0" xfId="0" applyNumberFormat="1" applyFont="1" applyAlignment="1">
      <alignment horizontal="right"/>
    </xf>
    <xf numFmtId="0" fontId="35" fillId="0" borderId="0" xfId="0" applyFont="1"/>
    <xf numFmtId="14" fontId="35" fillId="0" borderId="0" xfId="0" applyNumberFormat="1" applyFont="1" applyAlignment="1">
      <alignment horizontal="right"/>
    </xf>
    <xf numFmtId="0" fontId="34" fillId="0" borderId="0" xfId="0" applyFont="1" applyAlignment="1">
      <alignment horizontal="right"/>
    </xf>
    <xf numFmtId="14" fontId="90" fillId="0" borderId="0" xfId="0" applyNumberFormat="1" applyFont="1"/>
    <xf numFmtId="0" fontId="33" fillId="0" borderId="0" xfId="0" applyFont="1"/>
    <xf numFmtId="165" fontId="84" fillId="0" borderId="0" xfId="0" applyNumberFormat="1" applyFont="1" applyAlignment="1">
      <alignment horizontal="right"/>
    </xf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4" fontId="70" fillId="0" borderId="0" xfId="0" applyNumberFormat="1" applyFont="1"/>
    <xf numFmtId="0" fontId="29" fillId="0" borderId="0" xfId="0" applyFont="1"/>
    <xf numFmtId="0" fontId="28" fillId="0" borderId="1" xfId="0" applyFont="1" applyBorder="1"/>
    <xf numFmtId="0" fontId="28" fillId="0" borderId="0" xfId="0" applyFont="1"/>
    <xf numFmtId="0" fontId="27" fillId="0" borderId="0" xfId="0" applyFont="1"/>
    <xf numFmtId="3" fontId="97" fillId="0" borderId="0" xfId="0" applyNumberFormat="1" applyFont="1"/>
    <xf numFmtId="4" fontId="98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14" fontId="27" fillId="0" borderId="0" xfId="0" applyNumberFormat="1" applyFont="1" applyAlignment="1">
      <alignment horizontal="right"/>
    </xf>
    <xf numFmtId="3" fontId="72" fillId="0" borderId="0" xfId="0" applyNumberFormat="1" applyFont="1"/>
    <xf numFmtId="0" fontId="26" fillId="0" borderId="0" xfId="0" applyFont="1"/>
    <xf numFmtId="0" fontId="25" fillId="0" borderId="0" xfId="0" applyFont="1"/>
    <xf numFmtId="3" fontId="25" fillId="0" borderId="0" xfId="0" applyNumberFormat="1" applyFont="1"/>
    <xf numFmtId="3" fontId="25" fillId="2" borderId="0" xfId="0" applyNumberFormat="1" applyFont="1" applyFill="1"/>
    <xf numFmtId="0" fontId="24" fillId="0" borderId="0" xfId="0" applyFont="1" applyAlignment="1">
      <alignment horizontal="right"/>
    </xf>
    <xf numFmtId="0" fontId="24" fillId="0" borderId="0" xfId="0" applyFont="1"/>
    <xf numFmtId="3" fontId="24" fillId="0" borderId="0" xfId="0" applyNumberFormat="1" applyFont="1"/>
    <xf numFmtId="3" fontId="92" fillId="0" borderId="0" xfId="1" applyNumberFormat="1" applyFont="1"/>
    <xf numFmtId="3" fontId="23" fillId="0" borderId="0" xfId="0" applyNumberFormat="1" applyFont="1" applyAlignment="1">
      <alignment horizontal="right"/>
    </xf>
    <xf numFmtId="0" fontId="22" fillId="0" borderId="0" xfId="0" applyFont="1"/>
    <xf numFmtId="4" fontId="84" fillId="0" borderId="0" xfId="0" applyNumberFormat="1" applyFont="1"/>
    <xf numFmtId="4" fontId="90" fillId="0" borderId="0" xfId="0" applyNumberFormat="1" applyFont="1"/>
    <xf numFmtId="0" fontId="21" fillId="0" borderId="1" xfId="0" applyFont="1" applyBorder="1"/>
    <xf numFmtId="0" fontId="21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95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2" fontId="14" fillId="0" borderId="0" xfId="0" applyNumberFormat="1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/>
    <xf numFmtId="3" fontId="13" fillId="0" borderId="0" xfId="0" applyNumberFormat="1" applyFont="1"/>
    <xf numFmtId="0" fontId="13" fillId="0" borderId="1" xfId="0" applyFont="1" applyBorder="1"/>
    <xf numFmtId="0" fontId="13" fillId="0" borderId="3" xfId="0" applyFont="1" applyBorder="1"/>
    <xf numFmtId="0" fontId="13" fillId="0" borderId="4" xfId="0" applyFont="1" applyBorder="1"/>
    <xf numFmtId="2" fontId="13" fillId="0" borderId="4" xfId="0" applyNumberFormat="1" applyFont="1" applyBorder="1" applyAlignment="1">
      <alignment horizontal="right"/>
    </xf>
    <xf numFmtId="3" fontId="13" fillId="0" borderId="4" xfId="0" applyNumberFormat="1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2" fontId="13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2" fillId="0" borderId="0" xfId="0" applyFont="1"/>
    <xf numFmtId="0" fontId="12" fillId="0" borderId="1" xfId="0" applyFont="1" applyBorder="1"/>
    <xf numFmtId="0" fontId="11" fillId="0" borderId="0" xfId="0" applyFont="1"/>
    <xf numFmtId="0" fontId="11" fillId="0" borderId="7" xfId="0" applyFont="1" applyBorder="1"/>
    <xf numFmtId="0" fontId="11" fillId="0" borderId="6" xfId="0" applyFont="1" applyBorder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6" fontId="87" fillId="0" borderId="0" xfId="0" applyNumberFormat="1" applyFont="1" applyAlignment="1">
      <alignment horizontal="center"/>
    </xf>
    <xf numFmtId="166" fontId="87" fillId="0" borderId="0" xfId="0" applyNumberFormat="1" applyFont="1"/>
    <xf numFmtId="166" fontId="84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63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1" bestFit="1" customWidth="1"/>
    <col min="2" max="2" width="18.28515625" style="181" bestFit="1" customWidth="1"/>
    <col min="3" max="16384" width="9.140625" style="181"/>
  </cols>
  <sheetData>
    <row r="1" spans="1:4" x14ac:dyDescent="0.2">
      <c r="A1" s="181" t="s">
        <v>142</v>
      </c>
    </row>
    <row r="2" spans="1:4" x14ac:dyDescent="0.2">
      <c r="D2" s="181" t="s">
        <v>453</v>
      </c>
    </row>
    <row r="3" spans="1:4" x14ac:dyDescent="0.2">
      <c r="B3" s="181" t="s">
        <v>457</v>
      </c>
      <c r="C3" s="181" t="s">
        <v>256</v>
      </c>
    </row>
    <row r="4" spans="1:4" x14ac:dyDescent="0.2">
      <c r="B4" s="181" t="s">
        <v>458</v>
      </c>
      <c r="C4" s="181" t="s">
        <v>459</v>
      </c>
    </row>
    <row r="5" spans="1:4" x14ac:dyDescent="0.2">
      <c r="B5" s="181" t="s">
        <v>417</v>
      </c>
      <c r="C5" s="181" t="s">
        <v>13</v>
      </c>
    </row>
    <row r="6" spans="1:4" x14ac:dyDescent="0.2">
      <c r="B6" s="181" t="s">
        <v>460</v>
      </c>
      <c r="C6" s="181" t="s">
        <v>13</v>
      </c>
    </row>
    <row r="7" spans="1:4" x14ac:dyDescent="0.2">
      <c r="B7" s="181" t="s">
        <v>461</v>
      </c>
      <c r="C7" s="181" t="s">
        <v>13</v>
      </c>
    </row>
    <row r="8" spans="1:4" x14ac:dyDescent="0.2">
      <c r="B8" s="181" t="s">
        <v>462</v>
      </c>
      <c r="C8" s="181" t="s">
        <v>463</v>
      </c>
      <c r="D8" s="181">
        <v>1999</v>
      </c>
    </row>
    <row r="9" spans="1:4" x14ac:dyDescent="0.2">
      <c r="B9" s="181" t="s">
        <v>464</v>
      </c>
      <c r="C9" s="181" t="s">
        <v>7</v>
      </c>
    </row>
    <row r="10" spans="1:4" x14ac:dyDescent="0.2">
      <c r="B10" s="185" t="s">
        <v>485</v>
      </c>
      <c r="C10" s="185" t="s">
        <v>256</v>
      </c>
      <c r="D10" s="181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87" bestFit="1" customWidth="1"/>
    <col min="2" max="16384" width="8.85546875" style="187"/>
  </cols>
  <sheetData>
    <row r="1" spans="1:4" x14ac:dyDescent="0.2">
      <c r="A1" s="5" t="s">
        <v>142</v>
      </c>
    </row>
    <row r="2" spans="1:4" x14ac:dyDescent="0.2">
      <c r="B2" s="187" t="s">
        <v>224</v>
      </c>
      <c r="C2" s="187" t="s">
        <v>488</v>
      </c>
      <c r="D2" s="187" t="s">
        <v>489</v>
      </c>
    </row>
    <row r="3" spans="1:4" x14ac:dyDescent="0.2">
      <c r="B3" s="187" t="s">
        <v>486</v>
      </c>
      <c r="C3" s="187" t="s">
        <v>487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339</v>
      </c>
      <c r="C3" s="132" t="s">
        <v>340</v>
      </c>
    </row>
    <row r="4" spans="1:3" x14ac:dyDescent="0.2">
      <c r="B4" s="132" t="s">
        <v>341</v>
      </c>
      <c r="C4" s="132" t="s">
        <v>342</v>
      </c>
    </row>
    <row r="5" spans="1:3" x14ac:dyDescent="0.2">
      <c r="B5" s="132" t="s">
        <v>343</v>
      </c>
    </row>
    <row r="6" spans="1:3" x14ac:dyDescent="0.2">
      <c r="B6" s="132" t="s">
        <v>336</v>
      </c>
    </row>
    <row r="7" spans="1:3" x14ac:dyDescent="0.2">
      <c r="B7" s="132" t="s">
        <v>334</v>
      </c>
    </row>
    <row r="8" spans="1:3" x14ac:dyDescent="0.2">
      <c r="B8" s="132" t="s">
        <v>338</v>
      </c>
    </row>
    <row r="9" spans="1:3" x14ac:dyDescent="0.2">
      <c r="B9" s="132" t="s">
        <v>335</v>
      </c>
    </row>
    <row r="10" spans="1:3" x14ac:dyDescent="0.2">
      <c r="B10" s="132" t="s">
        <v>344</v>
      </c>
    </row>
    <row r="11" spans="1:3" x14ac:dyDescent="0.2">
      <c r="B11" s="132" t="s">
        <v>345</v>
      </c>
    </row>
    <row r="12" spans="1:3" x14ac:dyDescent="0.2">
      <c r="B12" s="132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4" bestFit="1" customWidth="1"/>
    <col min="2" max="2" width="12.7109375" style="164" customWidth="1"/>
    <col min="3" max="16384" width="9.140625" style="164"/>
  </cols>
  <sheetData>
    <row r="1" spans="1:15" x14ac:dyDescent="0.2">
      <c r="A1" s="5" t="s">
        <v>142</v>
      </c>
    </row>
    <row r="2" spans="1:15" x14ac:dyDescent="0.2">
      <c r="B2" s="164" t="s">
        <v>0</v>
      </c>
      <c r="C2" s="164">
        <v>2010</v>
      </c>
      <c r="D2" s="164">
        <f>C2+1</f>
        <v>2011</v>
      </c>
      <c r="E2" s="164">
        <f t="shared" ref="E2:O2" si="0">D2+1</f>
        <v>2012</v>
      </c>
      <c r="F2" s="164">
        <f t="shared" si="0"/>
        <v>2013</v>
      </c>
      <c r="G2" s="164">
        <f t="shared" si="0"/>
        <v>2014</v>
      </c>
      <c r="H2" s="164">
        <f t="shared" si="0"/>
        <v>2015</v>
      </c>
      <c r="I2" s="164">
        <f t="shared" si="0"/>
        <v>2016</v>
      </c>
      <c r="J2" s="164">
        <f t="shared" si="0"/>
        <v>2017</v>
      </c>
      <c r="K2" s="164">
        <f t="shared" si="0"/>
        <v>2018</v>
      </c>
      <c r="L2" s="164">
        <f t="shared" si="0"/>
        <v>2019</v>
      </c>
      <c r="M2" s="164">
        <f t="shared" si="0"/>
        <v>2020</v>
      </c>
      <c r="N2" s="164">
        <f t="shared" si="0"/>
        <v>2021</v>
      </c>
      <c r="O2" s="164">
        <f t="shared" si="0"/>
        <v>2022</v>
      </c>
    </row>
    <row r="3" spans="1:15" x14ac:dyDescent="0.2">
      <c r="B3" s="168" t="s">
        <v>420</v>
      </c>
      <c r="C3" s="165">
        <f>SUM(C5:C25)</f>
        <v>62484</v>
      </c>
      <c r="D3" s="165">
        <f t="shared" ref="D3:O3" si="1">SUM(D5:D25)</f>
        <v>69943</v>
      </c>
      <c r="E3" s="165">
        <f t="shared" si="1"/>
        <v>119762</v>
      </c>
      <c r="F3" s="165">
        <f t="shared" si="1"/>
        <v>141240</v>
      </c>
      <c r="G3" s="165">
        <f t="shared" si="1"/>
        <v>169944</v>
      </c>
      <c r="H3" s="165">
        <f t="shared" si="1"/>
        <v>194377</v>
      </c>
      <c r="I3" s="165">
        <f t="shared" si="1"/>
        <v>253177</v>
      </c>
      <c r="J3" s="165">
        <f t="shared" si="1"/>
        <v>305432</v>
      </c>
      <c r="K3" s="165">
        <f t="shared" si="1"/>
        <v>371389</v>
      </c>
      <c r="L3" s="165">
        <f t="shared" si="1"/>
        <v>436330</v>
      </c>
      <c r="M3" s="165">
        <f t="shared" si="1"/>
        <v>503965</v>
      </c>
      <c r="N3" s="165">
        <f t="shared" si="1"/>
        <v>718643</v>
      </c>
      <c r="O3" s="169">
        <f t="shared" si="1"/>
        <v>825015.8</v>
      </c>
    </row>
    <row r="5" spans="1:15" x14ac:dyDescent="0.2">
      <c r="B5" s="164" t="s">
        <v>9</v>
      </c>
      <c r="E5" s="165">
        <v>46039</v>
      </c>
      <c r="F5" s="165">
        <v>55519</v>
      </c>
      <c r="G5" s="165">
        <v>66001</v>
      </c>
      <c r="H5" s="165">
        <v>74989</v>
      </c>
      <c r="I5" s="165">
        <v>90272</v>
      </c>
      <c r="J5" s="165">
        <v>110855</v>
      </c>
      <c r="K5" s="165">
        <v>136819</v>
      </c>
      <c r="L5" s="165">
        <v>161857</v>
      </c>
      <c r="M5" s="165">
        <v>182527</v>
      </c>
      <c r="N5" s="165">
        <v>257637</v>
      </c>
      <c r="O5" s="165">
        <v>282836</v>
      </c>
    </row>
    <row r="6" spans="1:15" x14ac:dyDescent="0.2">
      <c r="B6" s="164" t="s">
        <v>7</v>
      </c>
      <c r="C6" s="165">
        <v>62484</v>
      </c>
      <c r="D6" s="165">
        <v>69943</v>
      </c>
      <c r="E6" s="165">
        <v>73723</v>
      </c>
      <c r="F6" s="165">
        <v>77849</v>
      </c>
      <c r="G6" s="165">
        <v>86833</v>
      </c>
      <c r="H6" s="165">
        <v>93580</v>
      </c>
      <c r="I6" s="165">
        <v>85320</v>
      </c>
      <c r="J6" s="165">
        <v>96571</v>
      </c>
      <c r="K6" s="165">
        <v>110360</v>
      </c>
      <c r="L6" s="165">
        <v>125843</v>
      </c>
      <c r="M6" s="165">
        <v>143015</v>
      </c>
      <c r="N6" s="165">
        <v>184903</v>
      </c>
      <c r="O6" s="165">
        <v>204094</v>
      </c>
    </row>
    <row r="7" spans="1:15" x14ac:dyDescent="0.2">
      <c r="B7" s="164" t="s">
        <v>13</v>
      </c>
      <c r="F7" s="165">
        <v>7872</v>
      </c>
      <c r="G7" s="165">
        <v>12466</v>
      </c>
      <c r="H7" s="165">
        <v>17928</v>
      </c>
      <c r="I7" s="165">
        <v>27638</v>
      </c>
      <c r="J7" s="165">
        <v>40653</v>
      </c>
      <c r="K7" s="165">
        <v>55838</v>
      </c>
      <c r="L7" s="165">
        <v>70697</v>
      </c>
      <c r="M7" s="165">
        <v>85965</v>
      </c>
      <c r="N7" s="165">
        <v>117929</v>
      </c>
      <c r="O7" s="165">
        <v>116609</v>
      </c>
    </row>
    <row r="8" spans="1:15" x14ac:dyDescent="0.2">
      <c r="B8" s="164" t="s">
        <v>407</v>
      </c>
      <c r="G8" s="165">
        <v>4644</v>
      </c>
      <c r="H8" s="165">
        <v>7880</v>
      </c>
      <c r="I8" s="165">
        <v>12219</v>
      </c>
      <c r="J8" s="165">
        <v>17459</v>
      </c>
      <c r="K8" s="165">
        <v>25655</v>
      </c>
      <c r="L8" s="165">
        <v>35026</v>
      </c>
      <c r="M8" s="165">
        <v>45370</v>
      </c>
      <c r="N8" s="165">
        <v>62202</v>
      </c>
      <c r="O8" s="165">
        <v>80096</v>
      </c>
    </row>
    <row r="9" spans="1:15" x14ac:dyDescent="0.2">
      <c r="B9" s="164" t="s">
        <v>23</v>
      </c>
      <c r="I9" s="165">
        <v>37728</v>
      </c>
      <c r="J9" s="165">
        <v>39831</v>
      </c>
      <c r="K9" s="165">
        <v>39506</v>
      </c>
      <c r="L9" s="165">
        <v>39068</v>
      </c>
      <c r="M9" s="165">
        <v>40479</v>
      </c>
      <c r="N9" s="165">
        <v>42440</v>
      </c>
      <c r="O9" s="165">
        <v>46073</v>
      </c>
    </row>
    <row r="10" spans="1:15" x14ac:dyDescent="0.2">
      <c r="B10" s="164" t="s">
        <v>25</v>
      </c>
      <c r="N10" s="165">
        <v>27843</v>
      </c>
      <c r="O10" s="166">
        <f>N10*1.1</f>
        <v>30627.300000000003</v>
      </c>
    </row>
    <row r="11" spans="1:15" x14ac:dyDescent="0.2">
      <c r="B11" s="164" t="s">
        <v>21</v>
      </c>
      <c r="O11" s="166">
        <v>30294</v>
      </c>
    </row>
    <row r="12" spans="1:15" x14ac:dyDescent="0.2">
      <c r="B12" s="164" t="s">
        <v>19</v>
      </c>
      <c r="N12" s="165">
        <v>15785</v>
      </c>
      <c r="O12" s="166">
        <f>N12*1.1</f>
        <v>17363.5</v>
      </c>
    </row>
    <row r="13" spans="1:15" x14ac:dyDescent="0.2">
      <c r="B13" s="164" t="s">
        <v>408</v>
      </c>
      <c r="J13" s="165">
        <v>63</v>
      </c>
      <c r="K13" s="165">
        <v>150</v>
      </c>
      <c r="L13" s="165">
        <v>350</v>
      </c>
      <c r="M13" s="165">
        <v>2640</v>
      </c>
      <c r="N13" s="165">
        <v>4697</v>
      </c>
      <c r="O13" s="165">
        <v>9401</v>
      </c>
    </row>
    <row r="14" spans="1:15" x14ac:dyDescent="0.2">
      <c r="B14" s="164" t="s">
        <v>256</v>
      </c>
    </row>
    <row r="15" spans="1:15" x14ac:dyDescent="0.2">
      <c r="B15" s="164" t="s">
        <v>44</v>
      </c>
    </row>
    <row r="16" spans="1:15" x14ac:dyDescent="0.2">
      <c r="B16" s="164" t="s">
        <v>172</v>
      </c>
    </row>
    <row r="17" spans="2:15" x14ac:dyDescent="0.2">
      <c r="B17" s="164" t="s">
        <v>29</v>
      </c>
    </row>
    <row r="18" spans="2:15" x14ac:dyDescent="0.2">
      <c r="B18" s="164" t="s">
        <v>409</v>
      </c>
    </row>
    <row r="19" spans="2:15" x14ac:dyDescent="0.2">
      <c r="B19" s="168" t="s">
        <v>174</v>
      </c>
      <c r="K19" s="165">
        <v>3061</v>
      </c>
      <c r="L19" s="165">
        <v>3489</v>
      </c>
      <c r="M19" s="165">
        <v>3969</v>
      </c>
      <c r="N19" s="165">
        <v>5107</v>
      </c>
      <c r="O19" s="165">
        <v>6622</v>
      </c>
    </row>
    <row r="20" spans="2:15" x14ac:dyDescent="0.2">
      <c r="B20" s="164" t="s">
        <v>33</v>
      </c>
    </row>
    <row r="21" spans="2:15" x14ac:dyDescent="0.2">
      <c r="B21" s="164" t="s">
        <v>393</v>
      </c>
      <c r="N21" s="165">
        <v>100</v>
      </c>
      <c r="O21" s="165">
        <v>1000</v>
      </c>
    </row>
    <row r="22" spans="2:15" x14ac:dyDescent="0.2">
      <c r="B22" s="164" t="s">
        <v>40</v>
      </c>
    </row>
    <row r="23" spans="2:15" x14ac:dyDescent="0.2">
      <c r="B23" s="164" t="s">
        <v>50</v>
      </c>
    </row>
    <row r="24" spans="2:15" x14ac:dyDescent="0.2">
      <c r="B24" s="164" t="s">
        <v>52</v>
      </c>
    </row>
    <row r="25" spans="2:15" x14ac:dyDescent="0.2">
      <c r="B25" s="164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8" t="s">
        <v>418</v>
      </c>
    </row>
    <row r="3" spans="1:3" x14ac:dyDescent="0.2">
      <c r="A3" s="5"/>
      <c r="B3" s="168" t="s">
        <v>414</v>
      </c>
    </row>
    <row r="4" spans="1:3" x14ac:dyDescent="0.2">
      <c r="A4" s="5"/>
      <c r="B4" s="168" t="s">
        <v>417</v>
      </c>
    </row>
    <row r="5" spans="1:3" x14ac:dyDescent="0.2">
      <c r="A5" s="5"/>
      <c r="B5" s="168" t="s">
        <v>415</v>
      </c>
    </row>
    <row r="6" spans="1:3" x14ac:dyDescent="0.2">
      <c r="A6" s="5"/>
      <c r="B6" s="168" t="s">
        <v>419</v>
      </c>
    </row>
    <row r="7" spans="1:3" x14ac:dyDescent="0.2">
      <c r="A7" s="5"/>
      <c r="B7" s="168" t="s">
        <v>416</v>
      </c>
    </row>
    <row r="8" spans="1:3" x14ac:dyDescent="0.2">
      <c r="A8" s="5"/>
      <c r="B8" s="168"/>
    </row>
    <row r="9" spans="1:3" x14ac:dyDescent="0.2">
      <c r="A9" s="5"/>
      <c r="B9" s="168"/>
    </row>
    <row r="10" spans="1:3" x14ac:dyDescent="0.2">
      <c r="A10" s="5"/>
      <c r="B10" s="132" t="s">
        <v>350</v>
      </c>
    </row>
    <row r="11" spans="1:3" x14ac:dyDescent="0.2">
      <c r="B11" s="132" t="s">
        <v>346</v>
      </c>
    </row>
    <row r="12" spans="1:3" x14ac:dyDescent="0.2">
      <c r="B12" s="132" t="s">
        <v>347</v>
      </c>
      <c r="C12" s="132" t="s">
        <v>348</v>
      </c>
    </row>
    <row r="13" spans="1:3" x14ac:dyDescent="0.2">
      <c r="B13" s="132" t="s">
        <v>349</v>
      </c>
    </row>
    <row r="14" spans="1:3" x14ac:dyDescent="0.2">
      <c r="B14" s="164" t="s">
        <v>410</v>
      </c>
      <c r="C14" s="164" t="s">
        <v>411</v>
      </c>
    </row>
    <row r="15" spans="1:3" x14ac:dyDescent="0.2">
      <c r="B15" s="164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1"/>
  <sheetViews>
    <sheetView zoomScale="190" zoomScaleNormal="190" zoomScaleSheetLayoutView="100" workbookViewId="0">
      <pane xSplit="3" ySplit="3" topLeftCell="D5" activePane="bottomRight" state="frozen"/>
      <selection pane="topRight" activeCell="D1" sqref="D1"/>
      <selection pane="bottomLeft" activeCell="A30" sqref="A30"/>
      <selection pane="bottomRight" activeCell="J28" sqref="J28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-5.1926717358372121E-2</v>
      </c>
      <c r="P2" s="29">
        <f>AVERAGE(P4:P5)</f>
        <v>37.817206550368532</v>
      </c>
      <c r="Q2" s="37">
        <f>AVERAGE(Q4:Q5)</f>
        <v>33.844136225257074</v>
      </c>
      <c r="R2" s="37">
        <f>AVERAGE(R4:R5)</f>
        <v>28.374823421076066</v>
      </c>
      <c r="S2" s="30">
        <f>AVERAGE(S4:S5)</f>
        <v>25.617699482931371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42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7" t="s">
        <v>229</v>
      </c>
      <c r="Q3" s="48" t="s">
        <v>230</v>
      </c>
      <c r="R3" s="48" t="s">
        <v>231</v>
      </c>
      <c r="S3" s="19">
        <v>2025</v>
      </c>
      <c r="T3" s="47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87" t="s">
        <v>253</v>
      </c>
      <c r="B4" s="111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86"/>
      <c r="J4" s="161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2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210" t="s">
        <v>619</v>
      </c>
      <c r="J5" s="43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12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87" t="s">
        <v>253</v>
      </c>
      <c r="B6" s="111" t="s">
        <v>174</v>
      </c>
      <c r="C6" s="20" t="s">
        <v>175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7" t="s">
        <v>382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85" t="s">
        <v>484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313</v>
      </c>
      <c r="C9" s="108" t="s">
        <v>314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87" t="s">
        <v>253</v>
      </c>
      <c r="B10" s="175" t="s">
        <v>424</v>
      </c>
      <c r="C10" s="176" t="s">
        <v>425</v>
      </c>
      <c r="D10" s="21">
        <v>547.96</v>
      </c>
      <c r="E10" s="22">
        <v>58644</v>
      </c>
      <c r="O10" s="26"/>
    </row>
    <row r="11" spans="1:24" x14ac:dyDescent="0.2">
      <c r="A11" s="187" t="s">
        <v>253</v>
      </c>
      <c r="B11" s="175" t="s">
        <v>426</v>
      </c>
      <c r="C11" s="176" t="s">
        <v>427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87" t="s">
        <v>253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87" t="s">
        <v>253</v>
      </c>
      <c r="B14" s="175" t="s">
        <v>445</v>
      </c>
      <c r="C14" s="176" t="s">
        <v>446</v>
      </c>
      <c r="D14" s="21">
        <v>34.99</v>
      </c>
      <c r="E14" s="22">
        <v>18901</v>
      </c>
      <c r="O14" s="26"/>
    </row>
    <row r="15" spans="1:24" x14ac:dyDescent="0.2">
      <c r="A15" s="187" t="s">
        <v>253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87" t="s">
        <v>253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87" t="s">
        <v>253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87" t="s">
        <v>253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87" t="s">
        <v>253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87" t="s">
        <v>253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87" t="s">
        <v>253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87"/>
      <c r="B28" s="111" t="s">
        <v>335</v>
      </c>
      <c r="C28" s="213" t="s">
        <v>621</v>
      </c>
      <c r="D28" s="21">
        <v>13.99</v>
      </c>
      <c r="E28" s="22">
        <f>+D28*H28</f>
        <v>1249.307</v>
      </c>
      <c r="F28" s="22">
        <f>+[5]Main!$K$5-[5]Main!$K$6</f>
        <v>357.65600000000001</v>
      </c>
      <c r="G28" s="22">
        <f>+E28-F28</f>
        <v>891.65100000000007</v>
      </c>
      <c r="H28" s="22">
        <f>+[5]Main!$K$3</f>
        <v>89.3</v>
      </c>
      <c r="I28" s="214" t="s">
        <v>619</v>
      </c>
      <c r="J28" s="43">
        <v>45546</v>
      </c>
      <c r="O28" s="26"/>
    </row>
    <row r="29" spans="1:24" x14ac:dyDescent="0.2">
      <c r="A29" s="187" t="s">
        <v>253</v>
      </c>
      <c r="B29" s="189" t="s">
        <v>505</v>
      </c>
      <c r="C29" s="187" t="s">
        <v>506</v>
      </c>
      <c r="O29" s="26"/>
    </row>
    <row r="30" spans="1:24" x14ac:dyDescent="0.2">
      <c r="A30" s="187" t="s">
        <v>253</v>
      </c>
      <c r="B30" s="117" t="s">
        <v>138</v>
      </c>
      <c r="C30" s="20" t="s">
        <v>139</v>
      </c>
      <c r="D30" s="21">
        <v>21.19</v>
      </c>
      <c r="E30" s="22">
        <v>2965</v>
      </c>
      <c r="O30" s="26"/>
    </row>
    <row r="31" spans="1:24" x14ac:dyDescent="0.2">
      <c r="B31" s="118" t="s">
        <v>215</v>
      </c>
      <c r="C31" s="119" t="s">
        <v>216</v>
      </c>
      <c r="D31" s="21">
        <v>13.95</v>
      </c>
      <c r="E31" s="22">
        <v>2030</v>
      </c>
      <c r="O31" s="26"/>
    </row>
    <row r="32" spans="1:24" x14ac:dyDescent="0.2">
      <c r="B32" s="118" t="s">
        <v>217</v>
      </c>
      <c r="C32" s="119" t="s">
        <v>218</v>
      </c>
      <c r="D32" s="21">
        <v>19.95</v>
      </c>
      <c r="E32" s="22">
        <v>2560</v>
      </c>
      <c r="O32" s="26"/>
    </row>
    <row r="33" spans="1:15" x14ac:dyDescent="0.2">
      <c r="B33" s="120" t="s">
        <v>226</v>
      </c>
      <c r="C33" s="46" t="s">
        <v>227</v>
      </c>
      <c r="O33" s="26"/>
    </row>
    <row r="34" spans="1:15" x14ac:dyDescent="0.2">
      <c r="B34" s="155" t="s">
        <v>395</v>
      </c>
      <c r="O34" s="26"/>
    </row>
    <row r="35" spans="1:15" x14ac:dyDescent="0.2">
      <c r="A35" s="187" t="s">
        <v>253</v>
      </c>
      <c r="B35" s="189" t="s">
        <v>495</v>
      </c>
      <c r="C35" s="187" t="s">
        <v>496</v>
      </c>
      <c r="O35" s="26"/>
    </row>
    <row r="36" spans="1:15" x14ac:dyDescent="0.2">
      <c r="A36" s="187" t="s">
        <v>253</v>
      </c>
      <c r="B36" s="189" t="s">
        <v>430</v>
      </c>
      <c r="C36" s="187" t="s">
        <v>431</v>
      </c>
      <c r="O36" s="26"/>
    </row>
    <row r="37" spans="1:15" x14ac:dyDescent="0.2">
      <c r="A37" s="187" t="s">
        <v>253</v>
      </c>
      <c r="B37" s="189" t="s">
        <v>528</v>
      </c>
      <c r="C37" s="187" t="s">
        <v>529</v>
      </c>
      <c r="O37" s="26"/>
    </row>
    <row r="38" spans="1:15" x14ac:dyDescent="0.2">
      <c r="A38" s="187" t="s">
        <v>253</v>
      </c>
      <c r="B38" s="189" t="s">
        <v>532</v>
      </c>
      <c r="C38" s="187" t="s">
        <v>533</v>
      </c>
      <c r="O38" s="26"/>
    </row>
    <row r="39" spans="1:15" x14ac:dyDescent="0.2">
      <c r="A39" s="187" t="s">
        <v>253</v>
      </c>
      <c r="B39" s="189" t="s">
        <v>540</v>
      </c>
      <c r="C39" s="187" t="s">
        <v>541</v>
      </c>
      <c r="O39" s="26"/>
    </row>
    <row r="40" spans="1:15" x14ac:dyDescent="0.2">
      <c r="A40" s="201" t="s">
        <v>253</v>
      </c>
      <c r="B40" s="202" t="s">
        <v>548</v>
      </c>
      <c r="C40" s="201" t="s">
        <v>549</v>
      </c>
      <c r="O40" s="26"/>
    </row>
    <row r="41" spans="1:15" x14ac:dyDescent="0.2">
      <c r="A41" s="203" t="s">
        <v>253</v>
      </c>
      <c r="B41" s="204" t="s">
        <v>588</v>
      </c>
      <c r="C41" s="205" t="s">
        <v>589</v>
      </c>
      <c r="D41" s="121"/>
      <c r="E41" s="122"/>
      <c r="F41" s="123"/>
      <c r="G41" s="123"/>
      <c r="H41" s="123"/>
      <c r="I41" s="123"/>
      <c r="J41" s="123"/>
      <c r="K41" s="124"/>
      <c r="L41" s="124"/>
      <c r="M41" s="124"/>
      <c r="N41" s="124"/>
      <c r="O41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8" r:id="rId5" xr:uid="{AF3EBCC3-F32C-4B1E-8C8A-0ED2650C9EB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  <c r="E1" s="223" t="s">
        <v>253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213</v>
      </c>
      <c r="I2" s="76" t="s">
        <v>6</v>
      </c>
      <c r="J2" s="76" t="s">
        <v>224</v>
      </c>
      <c r="K2" s="77" t="s">
        <v>208</v>
      </c>
      <c r="L2" s="77" t="s">
        <v>212</v>
      </c>
      <c r="M2" s="77" t="s">
        <v>209</v>
      </c>
      <c r="N2" s="77" t="s">
        <v>210</v>
      </c>
      <c r="O2" s="78" t="s">
        <v>211</v>
      </c>
      <c r="P2" s="79" t="s">
        <v>229</v>
      </c>
      <c r="Q2" s="80" t="s">
        <v>230</v>
      </c>
      <c r="R2" s="80" t="s">
        <v>231</v>
      </c>
      <c r="S2" s="78">
        <v>2025</v>
      </c>
      <c r="T2" s="79" t="s">
        <v>228</v>
      </c>
      <c r="U2" s="77">
        <v>2023</v>
      </c>
      <c r="V2" s="77">
        <v>2024</v>
      </c>
      <c r="W2" s="78">
        <v>2025</v>
      </c>
      <c r="X2" s="71" t="s">
        <v>214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189.57</v>
      </c>
      <c r="E3" s="22">
        <f>+D3*[6]Main!$K$3</f>
        <v>1972784.3590615501</v>
      </c>
      <c r="F3" s="22">
        <f>[6]Main!$K$5-[6]Main!$K$6</f>
        <v>27440</v>
      </c>
      <c r="G3" s="22">
        <f>+E3-F3</f>
        <v>1945344.3590615501</v>
      </c>
      <c r="H3" s="22">
        <f>+[6]Main!$K$3</f>
        <v>10406.627415000001</v>
      </c>
      <c r="I3" s="207" t="s">
        <v>616</v>
      </c>
      <c r="J3" s="43">
        <v>45467</v>
      </c>
      <c r="K3" s="27">
        <f>+[6]Model!$BZ$49</f>
        <v>139.74223695214539</v>
      </c>
      <c r="L3" s="28">
        <f>K3/D3-1</f>
        <v>-0.26284624702144121</v>
      </c>
      <c r="M3" s="36">
        <f>+[6]Model!$BZ$45</f>
        <v>0.08</v>
      </c>
      <c r="N3" s="28">
        <f>+[6]Model!$BZ$47</f>
        <v>0</v>
      </c>
      <c r="O3" s="112">
        <f>+[6]Model!$BZ$46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87" t="s">
        <v>253</v>
      </c>
      <c r="B4" s="5" t="s">
        <v>23</v>
      </c>
      <c r="C4" s="20" t="s">
        <v>24</v>
      </c>
      <c r="D4" s="21">
        <v>167.48</v>
      </c>
      <c r="E4" s="22">
        <f>+D4*[7]Main!$G$3</f>
        <v>474638.31999999995</v>
      </c>
      <c r="F4" s="22">
        <f>+[7]Main!$G$5-[7]Main!$G$6</f>
        <v>-76208</v>
      </c>
      <c r="G4" s="22">
        <f>+E4-F4</f>
        <v>550846.31999999995</v>
      </c>
      <c r="H4" s="22">
        <f>+[7]Main!$G$3</f>
        <v>2834</v>
      </c>
      <c r="I4" s="214" t="s">
        <v>619</v>
      </c>
      <c r="J4" s="43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87" t="s">
        <v>253</v>
      </c>
      <c r="B5" s="5" t="s">
        <v>25</v>
      </c>
      <c r="C5" s="20" t="s">
        <v>25</v>
      </c>
      <c r="D5" s="21">
        <v>227.79</v>
      </c>
      <c r="E5" s="22">
        <f>+D5*[8]Main!$L$3</f>
        <v>268336.62</v>
      </c>
      <c r="F5" s="22">
        <f>+[8]Main!$L$5-[8]Main!$L$6</f>
        <v>8195</v>
      </c>
      <c r="G5" s="22">
        <f>E5-F5</f>
        <v>260141.62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87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224" t="s">
        <v>619</v>
      </c>
      <c r="J6" s="43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81"/>
      <c r="B7" s="5" t="s">
        <v>256</v>
      </c>
      <c r="C7" s="81" t="s">
        <v>256</v>
      </c>
      <c r="D7" s="153">
        <v>213.6</v>
      </c>
      <c r="E7" s="70">
        <f>D7*H7</f>
        <v>193958.50043040002</v>
      </c>
      <c r="F7" s="70">
        <f>[9]Main!$M$5-[9]Main!$M$6</f>
        <v>-36234</v>
      </c>
      <c r="G7" s="22">
        <f>E7-F7</f>
        <v>230192.50043040002</v>
      </c>
      <c r="H7" s="70">
        <f>[9]Main!$M$3</f>
        <v>908.04541400000005</v>
      </c>
      <c r="I7" s="177" t="s">
        <v>413</v>
      </c>
      <c r="J7" s="100">
        <v>45056</v>
      </c>
      <c r="X7" s="71">
        <v>1911</v>
      </c>
    </row>
    <row r="8" spans="1:24" s="20" customFormat="1" x14ac:dyDescent="0.2">
      <c r="A8" s="187" t="s">
        <v>253</v>
      </c>
      <c r="B8" s="5" t="s">
        <v>29</v>
      </c>
      <c r="C8" s="20" t="s">
        <v>30</v>
      </c>
      <c r="D8" s="21">
        <v>919.25</v>
      </c>
      <c r="E8" s="22">
        <f>+D8*[11]Main!$L$3</f>
        <v>183850</v>
      </c>
      <c r="F8" s="22">
        <f>+[11]Main!$L$5-[11]Main!$L$6</f>
        <v>3926</v>
      </c>
      <c r="G8" s="22">
        <f t="shared" ref="G8" si="0">E8-F8</f>
        <v>179924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87" t="s">
        <v>253</v>
      </c>
      <c r="B9" s="5" t="s">
        <v>40</v>
      </c>
      <c r="C9" s="20" t="s">
        <v>41</v>
      </c>
      <c r="D9" s="21">
        <v>161.19</v>
      </c>
      <c r="E9" s="22">
        <f>+D9*[12]Main!$L$3</f>
        <v>40897.610370000002</v>
      </c>
      <c r="F9" s="22">
        <f>+[12]Main!$L$5-[12]Main!$L$6</f>
        <v>432.39900000000011</v>
      </c>
      <c r="G9" s="22">
        <f t="shared" ref="G9:G14" si="1">E9-F9</f>
        <v>40465.211370000005</v>
      </c>
      <c r="H9" s="22">
        <f>+[12]Main!$L$3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87" t="s">
        <v>253</v>
      </c>
      <c r="B10" s="135" t="s">
        <v>148</v>
      </c>
      <c r="C10" s="20" t="s">
        <v>149</v>
      </c>
      <c r="D10" s="21">
        <v>36.33</v>
      </c>
      <c r="E10" s="22">
        <f>D10*[13]Main!$L$3</f>
        <v>87195.887309999991</v>
      </c>
      <c r="F10" s="22">
        <f>[13]Main!$L$5-[13]Main!$L$6</f>
        <v>2585</v>
      </c>
      <c r="G10" s="22">
        <f>E10-F10</f>
        <v>84610.887309999991</v>
      </c>
      <c r="H10" s="22">
        <f>+[13]Main!$L$3</f>
        <v>2400.107</v>
      </c>
      <c r="I10" s="206" t="s">
        <v>616</v>
      </c>
      <c r="J10" s="100">
        <v>45446</v>
      </c>
    </row>
    <row r="11" spans="1:24" x14ac:dyDescent="0.2">
      <c r="A11" s="187" t="s">
        <v>253</v>
      </c>
      <c r="B11" s="5" t="s">
        <v>50</v>
      </c>
      <c r="C11" s="20" t="s">
        <v>51</v>
      </c>
      <c r="D11" s="21">
        <v>247.25</v>
      </c>
      <c r="E11" s="22">
        <f>+D11*H11</f>
        <v>62307</v>
      </c>
      <c r="F11" s="22">
        <f>+[14]Main!$P$5-[14]Main!$P$6</f>
        <v>2134</v>
      </c>
      <c r="G11" s="22">
        <f t="shared" si="1"/>
        <v>60173</v>
      </c>
      <c r="H11" s="23">
        <f>+[14]Main!$P$3</f>
        <v>252</v>
      </c>
      <c r="I11" s="148" t="s">
        <v>382</v>
      </c>
      <c r="J11" s="43">
        <v>45006</v>
      </c>
      <c r="X11" s="71">
        <v>2005</v>
      </c>
    </row>
    <row r="12" spans="1:24" x14ac:dyDescent="0.2">
      <c r="A12" s="187" t="s">
        <v>253</v>
      </c>
      <c r="B12" s="5" t="s">
        <v>44</v>
      </c>
      <c r="C12" s="20" t="s">
        <v>45</v>
      </c>
      <c r="D12" s="21">
        <v>114.02</v>
      </c>
      <c r="E12" s="22">
        <f>+D12*[15]Main!$M$3</f>
        <v>35843.441220000001</v>
      </c>
      <c r="F12" s="22">
        <f>+[15]Main!$M$5-[15]Main!$M$6</f>
        <v>5027.4579999999996</v>
      </c>
      <c r="G12" s="22">
        <f t="shared" si="1"/>
        <v>30815.983220000002</v>
      </c>
      <c r="H12" s="22">
        <f>+[15]Main!$M$3</f>
        <v>314.36099999999999</v>
      </c>
      <c r="I12" s="35" t="s">
        <v>14</v>
      </c>
      <c r="X12" s="71">
        <v>2012</v>
      </c>
    </row>
    <row r="13" spans="1:24" x14ac:dyDescent="0.2">
      <c r="A13" s="187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87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70">
        <f>+[17]Main!$O$5-[17]Main!$O$6</f>
        <v>970</v>
      </c>
      <c r="G14" s="22">
        <f t="shared" si="1"/>
        <v>36895.572005250004</v>
      </c>
      <c r="H14" s="70">
        <f>+[17]Main!$O$3</f>
        <v>337.15227500000003</v>
      </c>
      <c r="I14" s="99" t="s">
        <v>200</v>
      </c>
      <c r="J14" s="100">
        <v>45514</v>
      </c>
      <c r="X14" s="71">
        <v>2010</v>
      </c>
    </row>
    <row r="15" spans="1:24" s="20" customFormat="1" x14ac:dyDescent="0.2">
      <c r="A15" s="187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+[43]Main!$J$5-[43]Main!$J$6</f>
        <v>930</v>
      </c>
      <c r="G15" s="22">
        <f>+E15-F15</f>
        <v>19424.8178625</v>
      </c>
      <c r="H15" s="22">
        <f>+[43]Main!$J$3</f>
        <v>73.350695000000002</v>
      </c>
      <c r="I15" s="224" t="s">
        <v>616</v>
      </c>
      <c r="J15" s="43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87" t="s">
        <v>253</v>
      </c>
      <c r="B16" s="135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+[18]Main!$K$5-[18]Main!$K$6</f>
        <v>1165</v>
      </c>
      <c r="G16" s="22">
        <f>+E16-F16</f>
        <v>13807.145328000002</v>
      </c>
      <c r="H16" s="22">
        <f>+[18]Main!$K$3</f>
        <v>168.22635200000002</v>
      </c>
      <c r="I16" s="97" t="s">
        <v>200</v>
      </c>
      <c r="J16" s="43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87" t="s">
        <v>253</v>
      </c>
      <c r="B17" s="5" t="s">
        <v>296</v>
      </c>
      <c r="C17" s="102" t="s">
        <v>176</v>
      </c>
      <c r="D17" s="21">
        <v>66.94</v>
      </c>
      <c r="E17" s="22">
        <f>+D17*H17</f>
        <v>20603.4100521</v>
      </c>
      <c r="F17" s="22">
        <f>+[42]Main!$J$5-[42]Main!$J$6</f>
        <v>7958.5609999999997</v>
      </c>
      <c r="G17" s="22">
        <f>E17-F17</f>
        <v>12644.8490521</v>
      </c>
      <c r="H17" s="22">
        <f>+[42]Main!$J$3</f>
        <v>307.78921500000001</v>
      </c>
      <c r="I17" s="224" t="s">
        <v>619</v>
      </c>
      <c r="J17" s="43">
        <v>45555</v>
      </c>
      <c r="X17" s="71">
        <v>2011</v>
      </c>
    </row>
    <row r="18" spans="1:24" s="20" customFormat="1" x14ac:dyDescent="0.2">
      <c r="A18" s="187" t="s">
        <v>253</v>
      </c>
      <c r="B18" s="225" t="s">
        <v>68</v>
      </c>
      <c r="C18" s="226" t="s">
        <v>69</v>
      </c>
      <c r="D18" s="227">
        <v>472.5</v>
      </c>
      <c r="E18" s="228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87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87" t="s">
        <v>253</v>
      </c>
      <c r="B20" s="156" t="s">
        <v>396</v>
      </c>
      <c r="C20" s="187" t="s">
        <v>504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87" t="s">
        <v>253</v>
      </c>
      <c r="B21" s="128" t="s">
        <v>329</v>
      </c>
      <c r="C21" s="134" t="s">
        <v>376</v>
      </c>
      <c r="D21" s="71">
        <v>25.54</v>
      </c>
      <c r="E21" s="70">
        <v>4800</v>
      </c>
      <c r="X21" s="71">
        <v>2012</v>
      </c>
    </row>
    <row r="22" spans="1:24" x14ac:dyDescent="0.2">
      <c r="A22" s="187" t="s">
        <v>253</v>
      </c>
      <c r="B22" s="152" t="s">
        <v>389</v>
      </c>
      <c r="C22" s="152" t="s">
        <v>390</v>
      </c>
      <c r="D22" s="71">
        <v>10.88</v>
      </c>
      <c r="E22" s="70">
        <v>3000</v>
      </c>
    </row>
    <row r="23" spans="1:24" x14ac:dyDescent="0.2">
      <c r="B23" s="117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87" t="s">
        <v>253</v>
      </c>
      <c r="B24" s="117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87" t="s">
        <v>253</v>
      </c>
      <c r="B25" s="117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87" t="s">
        <v>253</v>
      </c>
      <c r="B26" s="117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87" t="s">
        <v>253</v>
      </c>
      <c r="B27" s="117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87" t="s">
        <v>253</v>
      </c>
      <c r="B28" s="176" t="s">
        <v>432</v>
      </c>
      <c r="C28" s="176" t="s">
        <v>433</v>
      </c>
      <c r="D28" s="21"/>
      <c r="E28" s="22"/>
      <c r="F28" s="22"/>
      <c r="G28" s="22"/>
      <c r="H28" s="22"/>
      <c r="I28" s="23"/>
      <c r="J28" s="100"/>
    </row>
    <row r="29" spans="1:24" x14ac:dyDescent="0.2">
      <c r="A29" s="187" t="s">
        <v>253</v>
      </c>
      <c r="B29" s="176" t="s">
        <v>430</v>
      </c>
      <c r="C29" s="176" t="s">
        <v>431</v>
      </c>
      <c r="D29" s="21"/>
      <c r="E29" s="22"/>
      <c r="F29" s="70"/>
      <c r="G29" s="22"/>
      <c r="H29" s="70"/>
      <c r="I29" s="99"/>
      <c r="J29" s="100"/>
    </row>
    <row r="30" spans="1:24" x14ac:dyDescent="0.2">
      <c r="A30" s="187" t="s">
        <v>253</v>
      </c>
      <c r="B30" s="189" t="s">
        <v>509</v>
      </c>
      <c r="C30" s="187" t="s">
        <v>510</v>
      </c>
      <c r="D30" s="21"/>
      <c r="E30" s="22"/>
    </row>
    <row r="31" spans="1:24" x14ac:dyDescent="0.2">
      <c r="A31" s="187" t="s">
        <v>253</v>
      </c>
      <c r="B31" s="189" t="s">
        <v>502</v>
      </c>
      <c r="C31" s="187" t="s">
        <v>503</v>
      </c>
      <c r="D31" s="21"/>
      <c r="E31" s="22"/>
    </row>
    <row r="32" spans="1:24" x14ac:dyDescent="0.2">
      <c r="A32" s="187" t="s">
        <v>253</v>
      </c>
      <c r="B32" s="189" t="s">
        <v>511</v>
      </c>
      <c r="C32" s="187" t="s">
        <v>512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87" t="s">
        <v>253</v>
      </c>
      <c r="B34" s="176" t="s">
        <v>438</v>
      </c>
      <c r="C34" s="176" t="s">
        <v>439</v>
      </c>
      <c r="D34" s="21"/>
      <c r="E34" s="22"/>
    </row>
    <row r="35" spans="1:24" x14ac:dyDescent="0.2">
      <c r="A35" s="203" t="s">
        <v>253</v>
      </c>
      <c r="B35" s="176" t="s">
        <v>440</v>
      </c>
      <c r="C35" s="176" t="s">
        <v>441</v>
      </c>
      <c r="D35" s="21"/>
      <c r="E35" s="22"/>
    </row>
    <row r="36" spans="1:24" x14ac:dyDescent="0.2">
      <c r="A36" s="187" t="s">
        <v>253</v>
      </c>
      <c r="B36" s="176" t="s">
        <v>442</v>
      </c>
      <c r="C36" s="176" t="s">
        <v>89</v>
      </c>
      <c r="D36" s="21"/>
      <c r="E36" s="22"/>
    </row>
    <row r="37" spans="1:24" x14ac:dyDescent="0.2">
      <c r="A37" s="187" t="s">
        <v>253</v>
      </c>
      <c r="B37" s="117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87" t="s">
        <v>253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87" t="s">
        <v>253</v>
      </c>
      <c r="B39" s="187" t="s">
        <v>493</v>
      </c>
      <c r="C39" s="187" t="s">
        <v>494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87" t="s">
        <v>253</v>
      </c>
      <c r="B40" s="187" t="s">
        <v>497</v>
      </c>
      <c r="C40" s="187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87"/>
      <c r="B41" s="211" t="s">
        <v>620</v>
      </c>
      <c r="C41" s="211" t="s">
        <v>620</v>
      </c>
      <c r="D41" s="21">
        <v>13.22</v>
      </c>
      <c r="E41" s="22">
        <f>+D41*H41</f>
        <v>5412.6671779000008</v>
      </c>
      <c r="F41" s="22">
        <f>+[19]Main!$J$5-[19]Main!$J$6</f>
        <v>4999</v>
      </c>
      <c r="G41" s="22">
        <f>+E41-F41</f>
        <v>413.66717790000075</v>
      </c>
      <c r="H41" s="22">
        <f>+[19]Main!$J$3</f>
        <v>409.43019500000003</v>
      </c>
      <c r="I41" s="212" t="s">
        <v>619</v>
      </c>
      <c r="J41" s="43">
        <v>45540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87" t="s">
        <v>253</v>
      </c>
      <c r="B42" s="187" t="s">
        <v>498</v>
      </c>
      <c r="C42" s="187" t="s">
        <v>499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87" t="s">
        <v>253</v>
      </c>
      <c r="B43" s="187" t="s">
        <v>501</v>
      </c>
      <c r="C43" s="187" t="s">
        <v>500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87" t="s">
        <v>253</v>
      </c>
      <c r="B44" s="187" t="s">
        <v>515</v>
      </c>
      <c r="C44" s="187" t="s">
        <v>516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87" t="s">
        <v>253</v>
      </c>
      <c r="B45" s="187" t="s">
        <v>518</v>
      </c>
      <c r="C45" s="187" t="s">
        <v>519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87" t="s">
        <v>253</v>
      </c>
      <c r="B46" s="187" t="s">
        <v>524</v>
      </c>
      <c r="C46" s="187" t="s">
        <v>525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87" t="s">
        <v>253</v>
      </c>
      <c r="B47" s="187" t="s">
        <v>526</v>
      </c>
      <c r="C47" s="187" t="s">
        <v>527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87" t="s">
        <v>253</v>
      </c>
      <c r="B48" s="187" t="s">
        <v>530</v>
      </c>
      <c r="C48" s="187" t="s">
        <v>531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87" t="s">
        <v>253</v>
      </c>
      <c r="B49" s="187" t="s">
        <v>544</v>
      </c>
      <c r="C49" s="187" t="s">
        <v>545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1" t="s">
        <v>253</v>
      </c>
      <c r="B50" s="201" t="s">
        <v>550</v>
      </c>
      <c r="C50" s="201" t="s">
        <v>551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1" t="s">
        <v>253</v>
      </c>
      <c r="B51" s="201" t="s">
        <v>552</v>
      </c>
      <c r="C51" s="201" t="s">
        <v>553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3" t="s">
        <v>253</v>
      </c>
      <c r="B52" s="203" t="s">
        <v>566</v>
      </c>
      <c r="C52" s="203" t="s">
        <v>567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3" t="s">
        <v>253</v>
      </c>
      <c r="B53" s="203" t="s">
        <v>568</v>
      </c>
      <c r="C53" s="203" t="s">
        <v>569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3" t="s">
        <v>253</v>
      </c>
      <c r="B54" s="203" t="s">
        <v>570</v>
      </c>
      <c r="C54" s="203" t="s">
        <v>571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3" t="s">
        <v>253</v>
      </c>
      <c r="B55" s="203" t="s">
        <v>572</v>
      </c>
      <c r="C55" s="203" t="s">
        <v>573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3" t="s">
        <v>253</v>
      </c>
      <c r="B56" s="203" t="s">
        <v>578</v>
      </c>
      <c r="C56" s="203" t="s">
        <v>579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3" t="s">
        <v>253</v>
      </c>
      <c r="B57" s="203" t="s">
        <v>580</v>
      </c>
      <c r="C57" s="203" t="s">
        <v>581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3" t="s">
        <v>253</v>
      </c>
      <c r="B58" s="203" t="s">
        <v>582</v>
      </c>
      <c r="C58" s="203" t="s">
        <v>583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3" t="s">
        <v>253</v>
      </c>
      <c r="B59" s="203" t="s">
        <v>584</v>
      </c>
      <c r="C59" s="203" t="s">
        <v>585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3" t="s">
        <v>253</v>
      </c>
      <c r="B60" s="203" t="s">
        <v>586</v>
      </c>
      <c r="C60" s="203" t="s">
        <v>587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3" t="s">
        <v>253</v>
      </c>
      <c r="B61" s="203" t="s">
        <v>592</v>
      </c>
      <c r="C61" s="203" t="s">
        <v>593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3" t="s">
        <v>253</v>
      </c>
      <c r="B62" s="203" t="s">
        <v>594</v>
      </c>
      <c r="C62" s="203" t="s">
        <v>595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3"/>
      <c r="B63" s="222" t="s">
        <v>625</v>
      </c>
      <c r="C63" s="222" t="s">
        <v>626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3" t="s">
        <v>253</v>
      </c>
      <c r="B64" s="203" t="s">
        <v>596</v>
      </c>
      <c r="C64" s="203" t="s">
        <v>597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3" t="s">
        <v>253</v>
      </c>
      <c r="B65" s="203" t="s">
        <v>606</v>
      </c>
      <c r="C65" s="203" t="s">
        <v>607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3" t="s">
        <v>253</v>
      </c>
      <c r="B66" s="203" t="s">
        <v>610</v>
      </c>
      <c r="C66" s="203" t="s">
        <v>611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3" t="s">
        <v>253</v>
      </c>
      <c r="B67" s="203" t="s">
        <v>612</v>
      </c>
      <c r="C67" s="203" t="s">
        <v>613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3" t="s">
        <v>253</v>
      </c>
      <c r="B68" s="203" t="s">
        <v>614</v>
      </c>
      <c r="C68" s="203" t="s">
        <v>615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201"/>
      <c r="B69" s="201"/>
      <c r="C69" s="201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92" t="s">
        <v>248</v>
      </c>
      <c r="I70" s="157" t="s">
        <v>214</v>
      </c>
    </row>
    <row r="71" spans="1:23" x14ac:dyDescent="0.2">
      <c r="B71" s="157" t="s">
        <v>397</v>
      </c>
      <c r="E71" s="71">
        <v>30000</v>
      </c>
      <c r="I71" s="180" t="s">
        <v>456</v>
      </c>
    </row>
    <row r="72" spans="1:23" x14ac:dyDescent="0.2">
      <c r="B72" s="157" t="s">
        <v>398</v>
      </c>
      <c r="E72" s="71">
        <v>10000</v>
      </c>
      <c r="F72" s="157" t="s">
        <v>400</v>
      </c>
      <c r="G72" s="157" t="s">
        <v>399</v>
      </c>
      <c r="H72" s="157" t="s">
        <v>401</v>
      </c>
      <c r="I72" s="71">
        <v>2013</v>
      </c>
    </row>
    <row r="73" spans="1:23" x14ac:dyDescent="0.2">
      <c r="B73" s="157" t="s">
        <v>120</v>
      </c>
      <c r="E73" s="71">
        <v>10000</v>
      </c>
      <c r="F73" s="157"/>
      <c r="G73" s="157"/>
      <c r="H73" s="157"/>
    </row>
    <row r="74" spans="1:23" x14ac:dyDescent="0.2">
      <c r="B74" s="176" t="s">
        <v>98</v>
      </c>
      <c r="E74" s="71">
        <v>12000</v>
      </c>
    </row>
    <row r="75" spans="1:23" x14ac:dyDescent="0.2">
      <c r="B75" s="91" t="s">
        <v>276</v>
      </c>
      <c r="E75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</hyperlinks>
  <pageMargins left="0.7" right="0.7" top="0.75" bottom="0.75" header="0.3" footer="0.3"/>
  <pageSetup orientation="portrait" horizontalDpi="1200" verticalDpi="1200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J41" sqref="J41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8" t="s">
        <v>230</v>
      </c>
      <c r="R2" s="48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72" t="s">
        <v>421</v>
      </c>
      <c r="Z2" s="172" t="s">
        <v>422</v>
      </c>
    </row>
    <row r="3" spans="1:26" s="20" customFormat="1" x14ac:dyDescent="0.2">
      <c r="A3" s="71"/>
      <c r="B3" s="5" t="s">
        <v>13</v>
      </c>
      <c r="C3" s="20" t="s">
        <v>195</v>
      </c>
      <c r="D3" s="21">
        <v>400</v>
      </c>
      <c r="E3" s="22">
        <f>+D3*[20]Main!$M$3</f>
        <v>1060619.4696</v>
      </c>
      <c r="F3" s="22">
        <f>+[20]Main!$M$5-[20]Main!$M$6</f>
        <v>38382</v>
      </c>
      <c r="G3" s="22">
        <f t="shared" ref="G3:G4" si="0">+E3-F3</f>
        <v>1022237.4696</v>
      </c>
      <c r="H3" s="22">
        <f>+[20]Main!$M$3</f>
        <v>2651.5486740000001</v>
      </c>
      <c r="I3" s="206" t="s">
        <v>616</v>
      </c>
      <c r="J3" s="43">
        <v>45409</v>
      </c>
      <c r="K3" s="27"/>
      <c r="L3" s="28">
        <f>K3/D3-1</f>
        <v>-1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3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3" t="s">
        <v>200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281</v>
      </c>
      <c r="C5" s="93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330</v>
      </c>
      <c r="C6" s="130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299</v>
      </c>
      <c r="C7" s="104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377</v>
      </c>
      <c r="C8" s="136" t="s">
        <v>378</v>
      </c>
      <c r="D8" s="21">
        <v>12</v>
      </c>
      <c r="E8" s="22">
        <f>+D8*H8</f>
        <v>19357.212852000001</v>
      </c>
      <c r="F8" s="140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39" t="s">
        <v>200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3">
        <f>G8/Y8</f>
        <v>49.784172938666664</v>
      </c>
    </row>
    <row r="9" spans="1:26" s="20" customFormat="1" x14ac:dyDescent="0.2">
      <c r="B9" s="93" t="s">
        <v>279</v>
      </c>
      <c r="C9" s="93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283</v>
      </c>
      <c r="C10" s="93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2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319</v>
      </c>
      <c r="C12" s="127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360</v>
      </c>
      <c r="C14" s="219" t="s">
        <v>624</v>
      </c>
      <c r="D14" s="21">
        <v>12.27</v>
      </c>
      <c r="E14" s="22">
        <f>+D14*H14</f>
        <v>2159.42446578</v>
      </c>
      <c r="F14" s="221">
        <f>+[23]Main!$K$5-[23]Main!$K$6</f>
        <v>-240.45199999999997</v>
      </c>
      <c r="G14" s="22">
        <f>+E14-F14</f>
        <v>2399.8764657799998</v>
      </c>
      <c r="H14" s="22">
        <f>+[23]Main!$K$3</f>
        <v>175.99221399999999</v>
      </c>
      <c r="I14" s="220" t="s">
        <v>619</v>
      </c>
      <c r="J14" s="43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78" t="s">
        <v>322</v>
      </c>
      <c r="E15" s="162">
        <v>10000</v>
      </c>
    </row>
    <row r="16" spans="1:26" s="20" customFormat="1" x14ac:dyDescent="0.2">
      <c r="B16" s="213" t="s">
        <v>622</v>
      </c>
      <c r="C16" s="127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213" t="s">
        <v>623</v>
      </c>
      <c r="C17" s="127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27" t="s">
        <v>324</v>
      </c>
      <c r="C18" s="127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63" t="s">
        <v>248</v>
      </c>
      <c r="F20" s="179" t="s">
        <v>214</v>
      </c>
    </row>
    <row r="21" spans="2:23" x14ac:dyDescent="0.2">
      <c r="B21" s="93" t="s">
        <v>278</v>
      </c>
      <c r="E21" s="162">
        <v>400000</v>
      </c>
    </row>
    <row r="22" spans="2:23" x14ac:dyDescent="0.2">
      <c r="B22" s="62" t="s">
        <v>247</v>
      </c>
      <c r="E22" s="162">
        <v>30000</v>
      </c>
    </row>
    <row r="23" spans="2:23" x14ac:dyDescent="0.2">
      <c r="B23" s="223" t="s">
        <v>629</v>
      </c>
      <c r="C23" s="223" t="s">
        <v>628</v>
      </c>
      <c r="D23" s="21">
        <v>44.5</v>
      </c>
      <c r="E23" s="22">
        <v>34050</v>
      </c>
    </row>
    <row r="24" spans="2:23" x14ac:dyDescent="0.2">
      <c r="B24" s="127" t="s">
        <v>318</v>
      </c>
      <c r="E24" s="162">
        <v>14500</v>
      </c>
      <c r="F24" s="62">
        <v>2015</v>
      </c>
      <c r="H24" s="178" t="s">
        <v>451</v>
      </c>
    </row>
    <row r="25" spans="2:23" x14ac:dyDescent="0.2">
      <c r="B25" s="178" t="s">
        <v>449</v>
      </c>
      <c r="E25" s="162"/>
      <c r="F25" s="62">
        <v>2021</v>
      </c>
      <c r="H25" s="223" t="s">
        <v>630</v>
      </c>
    </row>
    <row r="26" spans="2:23" x14ac:dyDescent="0.2">
      <c r="B26" s="178" t="s">
        <v>450</v>
      </c>
      <c r="E26" s="62">
        <v>1000</v>
      </c>
      <c r="H26" s="178" t="s">
        <v>452</v>
      </c>
    </row>
    <row r="27" spans="2:23" x14ac:dyDescent="0.2">
      <c r="B27" s="62" t="s">
        <v>246</v>
      </c>
      <c r="E27" s="62">
        <v>200</v>
      </c>
    </row>
    <row r="28" spans="2:23" x14ac:dyDescent="0.2">
      <c r="B28" s="127" t="s">
        <v>321</v>
      </c>
    </row>
    <row r="29" spans="2:23" x14ac:dyDescent="0.2">
      <c r="B29" s="127" t="s">
        <v>323</v>
      </c>
    </row>
    <row r="30" spans="2:23" x14ac:dyDescent="0.2">
      <c r="B30" s="127" t="s">
        <v>326</v>
      </c>
    </row>
    <row r="31" spans="2:23" x14ac:dyDescent="0.2">
      <c r="B31" s="127" t="s">
        <v>327</v>
      </c>
    </row>
    <row r="32" spans="2:23" x14ac:dyDescent="0.2">
      <c r="B32" s="127" t="s">
        <v>328</v>
      </c>
    </row>
    <row r="33" spans="2:2" x14ac:dyDescent="0.2">
      <c r="B33" s="133" t="s">
        <v>352</v>
      </c>
    </row>
    <row r="34" spans="2:2" x14ac:dyDescent="0.2">
      <c r="B34" s="62" t="s">
        <v>245</v>
      </c>
    </row>
    <row r="35" spans="2:2" x14ac:dyDescent="0.2">
      <c r="B35" s="133" t="s">
        <v>353</v>
      </c>
    </row>
    <row r="36" spans="2:2" x14ac:dyDescent="0.2">
      <c r="B36" s="163" t="s">
        <v>406</v>
      </c>
    </row>
    <row r="37" spans="2:2" x14ac:dyDescent="0.2">
      <c r="B37" s="133" t="s">
        <v>354</v>
      </c>
    </row>
    <row r="38" spans="2:2" x14ac:dyDescent="0.2">
      <c r="B38" s="133" t="s">
        <v>355</v>
      </c>
    </row>
    <row r="39" spans="2:2" x14ac:dyDescent="0.2">
      <c r="B39" s="133" t="s">
        <v>296</v>
      </c>
    </row>
    <row r="40" spans="2:2" x14ac:dyDescent="0.2">
      <c r="B40" s="133" t="s">
        <v>356</v>
      </c>
    </row>
    <row r="41" spans="2:2" x14ac:dyDescent="0.2">
      <c r="B41" s="133" t="s">
        <v>357</v>
      </c>
    </row>
    <row r="42" spans="2:2" x14ac:dyDescent="0.2">
      <c r="B42" s="133" t="s">
        <v>358</v>
      </c>
    </row>
    <row r="43" spans="2:2" x14ac:dyDescent="0.2">
      <c r="B43" s="133" t="s">
        <v>359</v>
      </c>
    </row>
    <row r="44" spans="2:2" x14ac:dyDescent="0.2">
      <c r="B44" s="133" t="s">
        <v>361</v>
      </c>
    </row>
    <row r="45" spans="2:2" x14ac:dyDescent="0.2">
      <c r="B45" s="133" t="s">
        <v>362</v>
      </c>
    </row>
    <row r="46" spans="2:2" x14ac:dyDescent="0.2">
      <c r="B46" s="133" t="s">
        <v>363</v>
      </c>
    </row>
    <row r="47" spans="2:2" x14ac:dyDescent="0.2">
      <c r="B47" s="133" t="s">
        <v>364</v>
      </c>
    </row>
    <row r="48" spans="2:2" x14ac:dyDescent="0.2">
      <c r="B48" s="133" t="s">
        <v>365</v>
      </c>
    </row>
    <row r="49" spans="2:2" x14ac:dyDescent="0.2">
      <c r="B49" s="133" t="s">
        <v>366</v>
      </c>
    </row>
    <row r="50" spans="2:2" x14ac:dyDescent="0.2">
      <c r="B50" s="133" t="s">
        <v>367</v>
      </c>
    </row>
    <row r="51" spans="2:2" x14ac:dyDescent="0.2">
      <c r="B51" s="133" t="s">
        <v>368</v>
      </c>
    </row>
    <row r="52" spans="2:2" x14ac:dyDescent="0.2">
      <c r="B52" s="133" t="s">
        <v>369</v>
      </c>
    </row>
    <row r="53" spans="2:2" x14ac:dyDescent="0.2">
      <c r="B53" s="133" t="s">
        <v>370</v>
      </c>
    </row>
    <row r="54" spans="2:2" x14ac:dyDescent="0.2">
      <c r="B54" s="133" t="s">
        <v>371</v>
      </c>
    </row>
    <row r="55" spans="2:2" x14ac:dyDescent="0.2">
      <c r="B55" s="133" t="s">
        <v>372</v>
      </c>
    </row>
    <row r="56" spans="2:2" x14ac:dyDescent="0.2">
      <c r="B56" s="133" t="s">
        <v>373</v>
      </c>
    </row>
    <row r="57" spans="2:2" x14ac:dyDescent="0.2">
      <c r="B57" s="223" t="s">
        <v>627</v>
      </c>
    </row>
    <row r="58" spans="2:2" x14ac:dyDescent="0.2">
      <c r="B58" s="223" t="s">
        <v>631</v>
      </c>
    </row>
    <row r="59" spans="2:2" x14ac:dyDescent="0.2">
      <c r="B59" s="223" t="s">
        <v>632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49" t="s">
        <v>0</v>
      </c>
      <c r="C2" s="149" t="s">
        <v>1</v>
      </c>
      <c r="D2" s="150" t="s">
        <v>2</v>
      </c>
      <c r="E2" s="151" t="s">
        <v>3</v>
      </c>
      <c r="F2" s="150" t="s">
        <v>387</v>
      </c>
      <c r="G2" s="150" t="s">
        <v>5</v>
      </c>
      <c r="H2" s="150" t="s">
        <v>213</v>
      </c>
      <c r="I2" s="150" t="s">
        <v>388</v>
      </c>
      <c r="J2" s="150" t="s">
        <v>224</v>
      </c>
    </row>
    <row r="3" spans="1:24" s="20" customFormat="1" x14ac:dyDescent="0.2">
      <c r="A3" s="187" t="s">
        <v>253</v>
      </c>
      <c r="B3" s="5" t="s">
        <v>179</v>
      </c>
      <c r="C3" s="20" t="s">
        <v>180</v>
      </c>
      <c r="D3" s="21">
        <v>375.71</v>
      </c>
      <c r="E3" s="22">
        <f>+D3*H3</f>
        <v>57472.452251789997</v>
      </c>
      <c r="F3" s="22">
        <f>+[24]Main!$N$5-[24]Main!$N$6</f>
        <v>1696.7459999999999</v>
      </c>
      <c r="G3" s="22">
        <f t="shared" ref="G3:G8" si="0">E3-F3</f>
        <v>55775.706251789998</v>
      </c>
      <c r="H3" s="22">
        <f>+[24]Main!$N$3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87" t="s">
        <v>253</v>
      </c>
      <c r="B4" s="5" t="s">
        <v>177</v>
      </c>
      <c r="C4" s="20" t="s">
        <v>178</v>
      </c>
      <c r="D4" s="21">
        <v>39.74</v>
      </c>
      <c r="E4" s="22">
        <f>+D4*[25]Main!$L$3*EUR</f>
        <v>53089.738980000009</v>
      </c>
      <c r="F4" s="22">
        <f>+([25]Main!$L$5-[25]Main!$L$6)*EUR</f>
        <v>-490.25400000000008</v>
      </c>
      <c r="G4" s="22">
        <f t="shared" si="0"/>
        <v>53579.99298000001</v>
      </c>
      <c r="H4" s="22"/>
      <c r="I4" s="23" t="s">
        <v>200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87" t="s">
        <v>253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+[26]Main!$K$5-[26]Main!$K$6</f>
        <v>741.35200000000009</v>
      </c>
      <c r="G5" s="22">
        <f t="shared" si="0"/>
        <v>50843.144</v>
      </c>
      <c r="H5" s="22">
        <f>+[26]Main!$K$3</f>
        <v>277.33600000000001</v>
      </c>
      <c r="I5" s="39" t="s">
        <v>221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87" t="s">
        <v>253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+[27]Main!$L$5-[27]Main!$L$6</f>
        <v>-1005</v>
      </c>
      <c r="G6" s="22">
        <f t="shared" si="0"/>
        <v>45269.86632465</v>
      </c>
      <c r="H6" s="22">
        <f>+[27]Main!$L$3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87" t="s">
        <v>253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+[28]Main!$M$5-[28]Main!$M$6</f>
        <v>-235.76700000000005</v>
      </c>
      <c r="G7" s="22">
        <f t="shared" si="0"/>
        <v>20837.083825649999</v>
      </c>
      <c r="H7" s="22">
        <f>+[28]Main!$M$3</f>
        <v>87.068664999999996</v>
      </c>
      <c r="I7" s="54" t="s">
        <v>200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219</v>
      </c>
      <c r="C8" s="115" t="s">
        <v>220</v>
      </c>
      <c r="D8" s="184">
        <v>122.15</v>
      </c>
      <c r="E8" s="22">
        <f>D8*H8/SEK</f>
        <v>31958.952028771135</v>
      </c>
      <c r="F8" s="22">
        <f>([29]Main!$L$5-[29]Main!$L$6)*EUR</f>
        <v>-3389.8630000000003</v>
      </c>
      <c r="G8" s="22">
        <f t="shared" si="0"/>
        <v>35348.815028771132</v>
      </c>
      <c r="H8" s="22">
        <f>[29]Main!$L$3</f>
        <v>2706.2939999999999</v>
      </c>
      <c r="I8" s="177" t="s">
        <v>382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87" t="s">
        <v>253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222</v>
      </c>
      <c r="C10" s="40" t="s">
        <v>223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316</v>
      </c>
      <c r="C11" s="134" t="s">
        <v>374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317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87" t="s">
        <v>253</v>
      </c>
      <c r="B13" s="187" t="s">
        <v>492</v>
      </c>
      <c r="C13" s="176" t="s">
        <v>107</v>
      </c>
    </row>
    <row r="14" spans="1:24" x14ac:dyDescent="0.2">
      <c r="A14" s="187" t="s">
        <v>253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3" t="s">
        <v>253</v>
      </c>
      <c r="B15" s="176" t="s">
        <v>444</v>
      </c>
      <c r="C15" s="176" t="s">
        <v>443</v>
      </c>
    </row>
    <row r="16" spans="1:24" x14ac:dyDescent="0.2">
      <c r="A16" s="187" t="s">
        <v>253</v>
      </c>
      <c r="B16" s="187" t="s">
        <v>520</v>
      </c>
      <c r="C16" s="187" t="s">
        <v>521</v>
      </c>
    </row>
    <row r="17" spans="1:5" x14ac:dyDescent="0.2">
      <c r="A17" s="187" t="s">
        <v>253</v>
      </c>
      <c r="B17" s="187" t="s">
        <v>538</v>
      </c>
      <c r="C17" s="187" t="s">
        <v>539</v>
      </c>
    </row>
    <row r="18" spans="1:5" x14ac:dyDescent="0.2">
      <c r="A18" s="203" t="s">
        <v>253</v>
      </c>
      <c r="B18" s="203" t="s">
        <v>554</v>
      </c>
      <c r="C18" s="203" t="s">
        <v>555</v>
      </c>
    </row>
    <row r="19" spans="1:5" x14ac:dyDescent="0.2">
      <c r="A19" s="203" t="s">
        <v>253</v>
      </c>
      <c r="B19" s="203" t="s">
        <v>558</v>
      </c>
      <c r="C19" s="203" t="s">
        <v>559</v>
      </c>
    </row>
    <row r="20" spans="1:5" x14ac:dyDescent="0.2">
      <c r="A20" s="203" t="s">
        <v>253</v>
      </c>
      <c r="B20" s="203" t="s">
        <v>562</v>
      </c>
      <c r="C20" s="203" t="s">
        <v>563</v>
      </c>
    </row>
    <row r="22" spans="1:5" x14ac:dyDescent="0.2">
      <c r="B22" s="92" t="s">
        <v>248</v>
      </c>
    </row>
    <row r="23" spans="1:5" x14ac:dyDescent="0.2">
      <c r="B23" s="157" t="s">
        <v>405</v>
      </c>
      <c r="C23" s="71"/>
      <c r="D23" s="71"/>
      <c r="E23" s="71">
        <v>2400</v>
      </c>
    </row>
    <row r="24" spans="1:5" x14ac:dyDescent="0.2">
      <c r="B24" s="149" t="s">
        <v>384</v>
      </c>
      <c r="E24" s="110">
        <v>1500</v>
      </c>
    </row>
    <row r="25" spans="1:5" x14ac:dyDescent="0.2">
      <c r="B25" s="149" t="s">
        <v>386</v>
      </c>
      <c r="E25" s="110">
        <v>1000</v>
      </c>
    </row>
    <row r="26" spans="1:5" x14ac:dyDescent="0.2">
      <c r="B26" s="157" t="s">
        <v>404</v>
      </c>
      <c r="E26" s="110">
        <v>1000</v>
      </c>
    </row>
    <row r="27" spans="1:5" x14ac:dyDescent="0.2">
      <c r="B27" s="134" t="s">
        <v>375</v>
      </c>
    </row>
    <row r="28" spans="1:5" x14ac:dyDescent="0.2">
      <c r="B28" s="149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9" t="s">
        <v>230</v>
      </c>
      <c r="R2" s="49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50" t="s">
        <v>214</v>
      </c>
      <c r="Y2" s="172" t="s">
        <v>423</v>
      </c>
    </row>
    <row r="3" spans="1:27" x14ac:dyDescent="0.2">
      <c r="A3" s="187" t="s">
        <v>253</v>
      </c>
      <c r="B3" s="5" t="s">
        <v>7</v>
      </c>
      <c r="C3" s="20" t="s">
        <v>8</v>
      </c>
      <c r="D3" s="21">
        <v>426.78</v>
      </c>
      <c r="E3" s="22">
        <f>D3*[1]Main!$L$3</f>
        <v>3171161.5738126198</v>
      </c>
      <c r="F3" s="22">
        <f>[1]Main!$L$5-[1]Main!$L$6</f>
        <v>20165</v>
      </c>
      <c r="G3" s="22">
        <f>+E3-F3</f>
        <v>3150996.5738126198</v>
      </c>
      <c r="H3" s="22">
        <f>+[1]Main!$L$3</f>
        <v>7430.4362289999999</v>
      </c>
      <c r="I3" s="23" t="s">
        <v>14</v>
      </c>
      <c r="J3" s="66">
        <v>45152</v>
      </c>
      <c r="M3" s="215">
        <f>+[1]Model!$BP$48</f>
        <v>7.0000000000000007E-2</v>
      </c>
      <c r="AA3" s="182" t="s">
        <v>469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  <c r="M4" s="216"/>
    </row>
    <row r="5" spans="1:27" s="20" customFormat="1" x14ac:dyDescent="0.2">
      <c r="A5" s="187" t="s">
        <v>253</v>
      </c>
      <c r="B5" s="5" t="s">
        <v>19</v>
      </c>
      <c r="C5" s="20" t="s">
        <v>20</v>
      </c>
      <c r="D5" s="21">
        <v>532</v>
      </c>
      <c r="E5" s="22">
        <f>+D5*[30]Main!$N$4</f>
        <v>238336</v>
      </c>
      <c r="F5" s="22">
        <f>+[30]Main!$N$6-[30]Main!$N$7</f>
        <v>1888</v>
      </c>
      <c r="G5" s="22">
        <f t="shared" ref="G5:G8" si="0">+E5-F5</f>
        <v>236448</v>
      </c>
      <c r="H5" s="22">
        <f>+[30]Main!$N$4</f>
        <v>448</v>
      </c>
      <c r="I5" s="218" t="s">
        <v>619</v>
      </c>
      <c r="J5" s="43">
        <v>45548</v>
      </c>
      <c r="K5" s="24"/>
      <c r="L5" s="24"/>
      <c r="M5" s="217">
        <f>+[30]Model!$AP$36</f>
        <v>0.08</v>
      </c>
      <c r="N5" s="28">
        <f>+[30]Model!$AP$34</f>
        <v>0.01</v>
      </c>
      <c r="O5" s="28">
        <f>+[30]Model!$AP$35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259</v>
      </c>
      <c r="C6" s="81" t="s">
        <v>260</v>
      </c>
      <c r="D6" s="146">
        <v>12025</v>
      </c>
      <c r="E6" s="22">
        <f>D6*H6/JPY</f>
        <v>108755.68776016941</v>
      </c>
      <c r="F6" s="22">
        <f>([31]Main!$O$7-[31]Main!$O$8)/JPY</f>
        <v>3147.411085956328</v>
      </c>
      <c r="G6" s="22">
        <f t="shared" si="0"/>
        <v>105608.27667421309</v>
      </c>
      <c r="H6" s="22">
        <f>[31]Main!$O$4</f>
        <v>1238.413</v>
      </c>
      <c r="I6" s="147" t="s">
        <v>382</v>
      </c>
      <c r="J6" s="43">
        <v>44994</v>
      </c>
      <c r="K6" s="24"/>
      <c r="L6" s="24"/>
      <c r="M6" s="21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5"/>
      <c r="B7" s="5" t="s">
        <v>259</v>
      </c>
      <c r="C7" s="145" t="s">
        <v>383</v>
      </c>
      <c r="D7" s="21">
        <v>87.8</v>
      </c>
      <c r="E7" s="22">
        <f>D7*H7</f>
        <v>108732.6614</v>
      </c>
      <c r="F7" s="22">
        <f>([31]Main!$O$7-[31]Main!$O$8)/JPY</f>
        <v>3147.411085956328</v>
      </c>
      <c r="G7" s="22">
        <f t="shared" si="0"/>
        <v>105585.25031404367</v>
      </c>
      <c r="H7" s="22">
        <f>[31]Main!$O$4</f>
        <v>1238.413</v>
      </c>
      <c r="I7" s="147" t="s">
        <v>382</v>
      </c>
      <c r="J7" s="43">
        <v>44994</v>
      </c>
      <c r="K7" s="24"/>
      <c r="L7" s="24"/>
      <c r="M7" s="21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263</v>
      </c>
      <c r="C8" s="84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169</v>
      </c>
      <c r="C9" s="10" t="s">
        <v>170</v>
      </c>
      <c r="D9" s="10">
        <v>73.88</v>
      </c>
      <c r="E9" s="51">
        <f>+D9*H9</f>
        <v>57820.358567719995</v>
      </c>
      <c r="F9" s="51">
        <f>+[32]Main!$J$5-[32]Main!$J$6</f>
        <v>7078</v>
      </c>
      <c r="G9" s="22">
        <f t="shared" ref="G9" si="1">+E9-F9</f>
        <v>50742.358567719995</v>
      </c>
      <c r="H9" s="51">
        <f>+[32]Main!$J$3</f>
        <v>782.62531899999999</v>
      </c>
      <c r="I9" s="137" t="s">
        <v>351</v>
      </c>
      <c r="J9" s="66">
        <v>44946</v>
      </c>
    </row>
    <row r="10" spans="1:27" x14ac:dyDescent="0.2">
      <c r="A10" s="85"/>
      <c r="B10" s="10" t="s">
        <v>171</v>
      </c>
      <c r="C10" s="46" t="s">
        <v>232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267</v>
      </c>
      <c r="C11" s="86" t="s">
        <v>268</v>
      </c>
      <c r="D11" s="51"/>
      <c r="E11" s="51"/>
    </row>
    <row r="12" spans="1:27" x14ac:dyDescent="0.2">
      <c r="A12" s="95"/>
      <c r="B12" s="95" t="s">
        <v>285</v>
      </c>
      <c r="C12" s="95" t="s">
        <v>286</v>
      </c>
      <c r="D12" s="51"/>
      <c r="E12" s="51"/>
    </row>
    <row r="13" spans="1:27" x14ac:dyDescent="0.2">
      <c r="A13" s="95"/>
      <c r="B13" s="5" t="s">
        <v>165</v>
      </c>
      <c r="C13" s="10" t="s">
        <v>166</v>
      </c>
      <c r="D13" s="10">
        <v>130.47999999999999</v>
      </c>
      <c r="E13" s="51">
        <f>+D13*H13</f>
        <v>36664.879999999997</v>
      </c>
      <c r="F13" s="51">
        <f>+[33]Main!$N$5-[33]Main!$N$6</f>
        <v>538</v>
      </c>
      <c r="G13" s="51">
        <f>+E13-F13</f>
        <v>36126.879999999997</v>
      </c>
      <c r="H13" s="10">
        <f>+[33]Main!$N$3</f>
        <v>281</v>
      </c>
      <c r="I13" s="65" t="s">
        <v>200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[34]Main!$L$5-[34]Main!$L$6</f>
        <v>1988</v>
      </c>
      <c r="G14" s="3">
        <f>+E14-F14</f>
        <v>20861.913459200001</v>
      </c>
      <c r="H14" s="3">
        <f>[34]Main!$L$3</f>
        <v>605.13542000000007</v>
      </c>
      <c r="I14" s="4" t="s">
        <v>382</v>
      </c>
      <c r="J14" s="144">
        <v>44987</v>
      </c>
      <c r="X14" s="1">
        <v>2004</v>
      </c>
      <c r="Y14" s="1">
        <v>56</v>
      </c>
      <c r="Z14" s="174">
        <f>G14/Y14</f>
        <v>372.53416891428571</v>
      </c>
    </row>
    <row r="15" spans="1:27" s="1" customFormat="1" x14ac:dyDescent="0.2">
      <c r="B15" s="131" t="s">
        <v>332</v>
      </c>
      <c r="C15" s="1" t="s">
        <v>333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51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470</v>
      </c>
      <c r="C18" s="1" t="s">
        <v>471</v>
      </c>
      <c r="D18" s="2"/>
      <c r="E18" s="3"/>
      <c r="F18" s="4"/>
      <c r="G18" s="4"/>
      <c r="H18" s="4"/>
    </row>
    <row r="19" spans="1:26" s="1" customFormat="1" x14ac:dyDescent="0.2">
      <c r="B19" s="1" t="s">
        <v>476</v>
      </c>
      <c r="D19" s="2"/>
      <c r="E19" s="3"/>
      <c r="F19" s="4"/>
      <c r="G19" s="4"/>
      <c r="H19" s="4"/>
    </row>
    <row r="20" spans="1:26" s="1" customFormat="1" x14ac:dyDescent="0.2">
      <c r="B20" s="1" t="s">
        <v>478</v>
      </c>
      <c r="C20" s="1" t="s">
        <v>479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+D22*[35]Main!$K$3</f>
        <v>20147.20788088</v>
      </c>
      <c r="F22" s="22">
        <f>+[35]Main!$K$5-[35]Main!$K$6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3" t="s">
        <v>482</v>
      </c>
      <c r="C24" s="183" t="s">
        <v>483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4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249</v>
      </c>
    </row>
    <row r="31" spans="1:26" x14ac:dyDescent="0.2">
      <c r="B31" s="157" t="s">
        <v>402</v>
      </c>
    </row>
    <row r="32" spans="1:26" x14ac:dyDescent="0.2">
      <c r="B32" s="182" t="s">
        <v>466</v>
      </c>
    </row>
    <row r="33" spans="2:10" x14ac:dyDescent="0.2">
      <c r="B33" s="178" t="s">
        <v>447</v>
      </c>
      <c r="E33" s="10">
        <v>100</v>
      </c>
      <c r="H33" s="178" t="s">
        <v>448</v>
      </c>
    </row>
    <row r="34" spans="2:10" x14ac:dyDescent="0.2">
      <c r="B34" s="182" t="s">
        <v>467</v>
      </c>
      <c r="H34" s="178"/>
      <c r="J34" s="182" t="s">
        <v>468</v>
      </c>
    </row>
    <row r="35" spans="2:10" x14ac:dyDescent="0.2">
      <c r="B35" s="182" t="s">
        <v>472</v>
      </c>
      <c r="H35" s="178"/>
      <c r="J35" s="182"/>
    </row>
    <row r="36" spans="2:10" x14ac:dyDescent="0.2">
      <c r="B36" s="182" t="s">
        <v>473</v>
      </c>
      <c r="H36" s="178"/>
      <c r="J36" s="182"/>
    </row>
    <row r="37" spans="2:10" x14ac:dyDescent="0.2">
      <c r="B37" s="182" t="s">
        <v>474</v>
      </c>
    </row>
    <row r="38" spans="2:10" x14ac:dyDescent="0.2">
      <c r="B38" s="182" t="s">
        <v>480</v>
      </c>
      <c r="J38" s="182" t="s">
        <v>481</v>
      </c>
    </row>
    <row r="39" spans="2:10" x14ac:dyDescent="0.2">
      <c r="B39" s="182" t="s">
        <v>475</v>
      </c>
    </row>
    <row r="40" spans="2:10" x14ac:dyDescent="0.2">
      <c r="B40" s="182" t="s">
        <v>477</v>
      </c>
    </row>
    <row r="41" spans="2:10" x14ac:dyDescent="0.2">
      <c r="B41" s="182"/>
    </row>
    <row r="42" spans="2:10" x14ac:dyDescent="0.2">
      <c r="B42" s="182" t="s">
        <v>465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9" t="s">
        <v>230</v>
      </c>
      <c r="R2" s="49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50" t="s">
        <v>214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315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257</v>
      </c>
      <c r="C5" s="82" t="s">
        <v>258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261</v>
      </c>
      <c r="C6" s="83" t="s">
        <v>262</v>
      </c>
      <c r="D6" s="68"/>
      <c r="E6" s="69"/>
      <c r="F6" s="69"/>
      <c r="G6" s="69"/>
      <c r="H6" s="69"/>
      <c r="I6" s="69"/>
    </row>
    <row r="7" spans="1:24" s="20" customFormat="1" x14ac:dyDescent="0.2">
      <c r="A7" s="187" t="s">
        <v>253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[36]Main!$L$5-[36]Main!$L$6</f>
        <v>-2851</v>
      </c>
      <c r="G7" s="22">
        <f>E7-F7</f>
        <v>119466.20633988002</v>
      </c>
      <c r="H7" s="22">
        <f>+[36]Main!$L$3</f>
        <v>281.86987900000003</v>
      </c>
      <c r="I7" s="126" t="s">
        <v>200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0" t="s">
        <v>31</v>
      </c>
      <c r="C8" s="56" t="s">
        <v>32</v>
      </c>
      <c r="D8" s="59">
        <v>65</v>
      </c>
      <c r="E8" s="3">
        <f>D8*H8</f>
        <v>74360</v>
      </c>
      <c r="F8" s="69">
        <f>[37]Main!$M$5-[37]Main!$M$6</f>
        <v>5469</v>
      </c>
      <c r="G8" s="22">
        <f>E8-F8</f>
        <v>68891</v>
      </c>
      <c r="H8" s="69">
        <f>[37]Main!$M$3</f>
        <v>1144</v>
      </c>
      <c r="I8" s="171" t="s">
        <v>382</v>
      </c>
      <c r="J8" s="43">
        <v>45069</v>
      </c>
    </row>
    <row r="9" spans="1:24" x14ac:dyDescent="0.2">
      <c r="A9" s="85"/>
      <c r="B9" s="85" t="s">
        <v>265</v>
      </c>
      <c r="C9" s="85" t="s">
        <v>266</v>
      </c>
    </row>
    <row r="10" spans="1:24" x14ac:dyDescent="0.2">
      <c r="A10" s="86"/>
      <c r="B10" s="86" t="s">
        <v>269</v>
      </c>
      <c r="C10" s="86" t="s">
        <v>270</v>
      </c>
    </row>
    <row r="11" spans="1:24" s="51" customFormat="1" x14ac:dyDescent="0.2">
      <c r="A11" s="89"/>
      <c r="B11" s="58" t="s">
        <v>243</v>
      </c>
      <c r="C11" s="51" t="s">
        <v>161</v>
      </c>
      <c r="D11" s="68">
        <v>64.25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271</v>
      </c>
      <c r="C12" s="89" t="s">
        <v>272</v>
      </c>
      <c r="D12" s="68"/>
      <c r="E12" s="69"/>
      <c r="F12" s="69"/>
      <c r="G12" s="69"/>
      <c r="H12" s="69"/>
      <c r="I12" s="69"/>
    </row>
    <row r="13" spans="1:24" s="51" customFormat="1" x14ac:dyDescent="0.2">
      <c r="A13" s="90"/>
      <c r="B13" s="90" t="s">
        <v>273</v>
      </c>
      <c r="C13" s="90" t="s">
        <v>274</v>
      </c>
      <c r="D13" s="68"/>
      <c r="E13" s="69"/>
      <c r="F13" s="69"/>
      <c r="G13" s="69"/>
      <c r="H13" s="69"/>
      <c r="I13" s="69"/>
    </row>
    <row r="14" spans="1:24" s="51" customFormat="1" x14ac:dyDescent="0.2">
      <c r="A14" s="96"/>
      <c r="B14" s="96" t="s">
        <v>289</v>
      </c>
      <c r="C14" s="96" t="s">
        <v>289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290</v>
      </c>
      <c r="C15" s="96" t="s">
        <v>291</v>
      </c>
      <c r="D15" s="68"/>
      <c r="E15" s="69"/>
      <c r="F15" s="69"/>
      <c r="G15" s="69"/>
      <c r="H15" s="69"/>
      <c r="I15" s="69"/>
    </row>
    <row r="16" spans="1:24" s="51" customFormat="1" x14ac:dyDescent="0.2">
      <c r="A16" s="101"/>
      <c r="B16" s="101" t="s">
        <v>294</v>
      </c>
      <c r="C16" s="101" t="s">
        <v>295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3"/>
      <c r="B17" s="103" t="s">
        <v>297</v>
      </c>
      <c r="C17" s="103" t="s">
        <v>298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6"/>
      <c r="B18" s="106" t="s">
        <v>307</v>
      </c>
      <c r="C18" s="106" t="s">
        <v>308</v>
      </c>
      <c r="D18" s="68"/>
      <c r="E18" s="69"/>
      <c r="F18" s="69"/>
      <c r="G18" s="69"/>
      <c r="H18" s="69"/>
      <c r="I18" s="69"/>
    </row>
    <row r="19" spans="1:23" s="51" customFormat="1" x14ac:dyDescent="0.2">
      <c r="B19" s="56" t="s">
        <v>70</v>
      </c>
      <c r="C19" s="56" t="s">
        <v>71</v>
      </c>
      <c r="D19" s="59">
        <v>68.930000000000007</v>
      </c>
      <c r="E19" s="3">
        <v>18053</v>
      </c>
      <c r="F19" s="69"/>
      <c r="G19" s="69"/>
      <c r="H19" s="69"/>
      <c r="I19" s="69"/>
    </row>
    <row r="20" spans="1:23" s="51" customFormat="1" x14ac:dyDescent="0.2">
      <c r="A20" s="188" t="s">
        <v>253</v>
      </c>
      <c r="B20" s="51" t="s">
        <v>82</v>
      </c>
      <c r="C20" s="51" t="s">
        <v>83</v>
      </c>
      <c r="D20" s="68">
        <v>58.75</v>
      </c>
      <c r="E20" s="69">
        <v>14980</v>
      </c>
      <c r="F20" s="69"/>
      <c r="G20" s="69"/>
      <c r="H20" s="69"/>
      <c r="I20" s="69"/>
    </row>
    <row r="21" spans="1:23" s="51" customFormat="1" x14ac:dyDescent="0.2">
      <c r="A21" s="188" t="s">
        <v>253</v>
      </c>
      <c r="B21" s="56" t="s">
        <v>103</v>
      </c>
      <c r="C21" s="56" t="s">
        <v>104</v>
      </c>
      <c r="D21" s="59">
        <v>184.44</v>
      </c>
      <c r="E21" s="3">
        <v>10400</v>
      </c>
      <c r="F21" s="69"/>
      <c r="G21" s="69"/>
      <c r="H21" s="69"/>
      <c r="I21" s="69"/>
    </row>
    <row r="22" spans="1:23" s="20" customFormat="1" x14ac:dyDescent="0.2">
      <c r="A22" s="105"/>
      <c r="B22" s="114" t="s">
        <v>301</v>
      </c>
      <c r="C22" s="105" t="s">
        <v>302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87" t="s">
        <v>253</v>
      </c>
      <c r="B23" s="117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87" t="s">
        <v>253</v>
      </c>
      <c r="B24" s="176" t="s">
        <v>428</v>
      </c>
      <c r="C24" s="176" t="s">
        <v>429</v>
      </c>
    </row>
    <row r="25" spans="1:23" x14ac:dyDescent="0.2">
      <c r="A25" s="203" t="s">
        <v>253</v>
      </c>
      <c r="B25" s="176" t="s">
        <v>434</v>
      </c>
      <c r="C25" s="176" t="s">
        <v>435</v>
      </c>
    </row>
    <row r="26" spans="1:23" x14ac:dyDescent="0.2">
      <c r="A26" s="187" t="s">
        <v>253</v>
      </c>
      <c r="B26" s="187" t="s">
        <v>490</v>
      </c>
      <c r="C26" s="187" t="s">
        <v>491</v>
      </c>
    </row>
    <row r="27" spans="1:23" x14ac:dyDescent="0.2">
      <c r="A27" s="187" t="s">
        <v>253</v>
      </c>
      <c r="B27" s="187" t="s">
        <v>522</v>
      </c>
      <c r="C27" s="187" t="s">
        <v>523</v>
      </c>
    </row>
    <row r="28" spans="1:23" x14ac:dyDescent="0.2">
      <c r="A28" s="201" t="s">
        <v>253</v>
      </c>
      <c r="B28" s="201" t="s">
        <v>546</v>
      </c>
      <c r="C28" s="201" t="s">
        <v>547</v>
      </c>
    </row>
    <row r="29" spans="1:23" x14ac:dyDescent="0.2">
      <c r="A29" s="203" t="s">
        <v>253</v>
      </c>
      <c r="B29" s="203" t="s">
        <v>576</v>
      </c>
      <c r="C29" s="203" t="s">
        <v>577</v>
      </c>
    </row>
    <row r="30" spans="1:23" x14ac:dyDescent="0.2">
      <c r="A30" s="203" t="s">
        <v>253</v>
      </c>
      <c r="B30" s="203" t="s">
        <v>590</v>
      </c>
      <c r="C30" s="203" t="s">
        <v>591</v>
      </c>
    </row>
    <row r="31" spans="1:23" x14ac:dyDescent="0.2">
      <c r="A31" s="203" t="s">
        <v>253</v>
      </c>
      <c r="B31" s="203" t="s">
        <v>598</v>
      </c>
      <c r="C31" s="203" t="s">
        <v>599</v>
      </c>
    </row>
    <row r="32" spans="1:23" x14ac:dyDescent="0.2">
      <c r="A32" s="203" t="s">
        <v>253</v>
      </c>
      <c r="B32" s="203" t="s">
        <v>600</v>
      </c>
      <c r="C32" s="203" t="s">
        <v>601</v>
      </c>
    </row>
    <row r="33" spans="1:9" x14ac:dyDescent="0.2">
      <c r="A33" s="203" t="s">
        <v>253</v>
      </c>
      <c r="B33" s="203" t="s">
        <v>602</v>
      </c>
      <c r="C33" s="203" t="s">
        <v>603</v>
      </c>
    </row>
    <row r="34" spans="1:9" x14ac:dyDescent="0.2">
      <c r="A34" s="203" t="s">
        <v>253</v>
      </c>
      <c r="B34" s="203" t="s">
        <v>608</v>
      </c>
      <c r="C34" s="203" t="s">
        <v>609</v>
      </c>
    </row>
    <row r="36" spans="1:9" s="51" customFormat="1" x14ac:dyDescent="0.2">
      <c r="B36" s="57" t="s">
        <v>33</v>
      </c>
      <c r="C36" s="57" t="s">
        <v>150</v>
      </c>
      <c r="D36" s="60">
        <v>0</v>
      </c>
      <c r="E36" s="9">
        <v>100000</v>
      </c>
      <c r="F36" s="69"/>
      <c r="G36" s="69"/>
      <c r="H36" s="69"/>
      <c r="I36" s="69"/>
    </row>
    <row r="37" spans="1:9" x14ac:dyDescent="0.2">
      <c r="B37" s="158" t="s">
        <v>58</v>
      </c>
      <c r="C37" s="158"/>
      <c r="D37" s="159">
        <v>0</v>
      </c>
      <c r="E37" s="160">
        <v>26000</v>
      </c>
    </row>
    <row r="38" spans="1:9" x14ac:dyDescent="0.2">
      <c r="B38" s="56" t="s">
        <v>86</v>
      </c>
      <c r="C38" s="56"/>
      <c r="D38" s="60">
        <v>0</v>
      </c>
      <c r="E38" s="3">
        <v>15000</v>
      </c>
    </row>
    <row r="39" spans="1:9" x14ac:dyDescent="0.2">
      <c r="B39" s="55" t="s">
        <v>242</v>
      </c>
      <c r="D39" s="60">
        <v>0</v>
      </c>
      <c r="E39" s="67">
        <v>75</v>
      </c>
    </row>
    <row r="40" spans="1:9" x14ac:dyDescent="0.2">
      <c r="B40" s="61" t="s">
        <v>244</v>
      </c>
      <c r="D40" s="60">
        <v>0</v>
      </c>
    </row>
    <row r="41" spans="1:9" x14ac:dyDescent="0.2">
      <c r="B41" s="91" t="s">
        <v>275</v>
      </c>
      <c r="E41" s="67">
        <v>424</v>
      </c>
    </row>
    <row r="42" spans="1:9" x14ac:dyDescent="0.2">
      <c r="B42" s="91" t="s">
        <v>277</v>
      </c>
      <c r="E42" s="67">
        <v>159.5</v>
      </c>
    </row>
    <row r="43" spans="1:9" x14ac:dyDescent="0.2">
      <c r="B43" s="157" t="s">
        <v>403</v>
      </c>
    </row>
    <row r="44" spans="1:9" x14ac:dyDescent="0.2">
      <c r="B44" s="157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87" bestFit="1" customWidth="1"/>
    <col min="2" max="2" width="11.42578125" style="187" bestFit="1" customWidth="1"/>
    <col min="3" max="16384" width="9.140625" style="187"/>
  </cols>
  <sheetData>
    <row r="1" spans="1:24" x14ac:dyDescent="0.2">
      <c r="A1" s="187" t="s">
        <v>142</v>
      </c>
    </row>
    <row r="2" spans="1:24" x14ac:dyDescent="0.2">
      <c r="B2" s="190" t="s">
        <v>0</v>
      </c>
      <c r="C2" s="191" t="s">
        <v>1</v>
      </c>
      <c r="D2" s="192" t="s">
        <v>2</v>
      </c>
      <c r="E2" s="193" t="s">
        <v>3</v>
      </c>
      <c r="F2" s="194" t="s">
        <v>4</v>
      </c>
      <c r="G2" s="194" t="s">
        <v>5</v>
      </c>
      <c r="H2" s="194" t="s">
        <v>213</v>
      </c>
      <c r="I2" s="194" t="s">
        <v>6</v>
      </c>
      <c r="J2" s="194" t="s">
        <v>224</v>
      </c>
      <c r="K2" s="195" t="s">
        <v>208</v>
      </c>
      <c r="L2" s="195" t="s">
        <v>212</v>
      </c>
      <c r="M2" s="195" t="s">
        <v>209</v>
      </c>
      <c r="N2" s="195" t="s">
        <v>210</v>
      </c>
      <c r="O2" s="196" t="s">
        <v>211</v>
      </c>
      <c r="P2" s="197" t="s">
        <v>229</v>
      </c>
      <c r="Q2" s="198" t="s">
        <v>230</v>
      </c>
      <c r="R2" s="198" t="s">
        <v>231</v>
      </c>
      <c r="S2" s="196">
        <v>2025</v>
      </c>
      <c r="T2" s="197" t="s">
        <v>228</v>
      </c>
      <c r="U2" s="195">
        <v>2023</v>
      </c>
      <c r="V2" s="195">
        <v>2024</v>
      </c>
      <c r="W2" s="196">
        <v>2025</v>
      </c>
      <c r="X2" s="187" t="s">
        <v>214</v>
      </c>
    </row>
    <row r="3" spans="1:24" x14ac:dyDescent="0.2">
      <c r="B3" s="189" t="s">
        <v>143</v>
      </c>
      <c r="C3" s="187" t="s">
        <v>144</v>
      </c>
      <c r="D3" s="199">
        <v>26.99</v>
      </c>
      <c r="E3" s="200">
        <v>1400</v>
      </c>
    </row>
    <row r="4" spans="1:24" x14ac:dyDescent="0.2">
      <c r="A4" s="187" t="s">
        <v>253</v>
      </c>
      <c r="B4" s="189" t="s">
        <v>534</v>
      </c>
      <c r="C4" s="187" t="s">
        <v>535</v>
      </c>
      <c r="D4" s="199"/>
      <c r="E4" s="200"/>
    </row>
    <row r="5" spans="1:24" x14ac:dyDescent="0.2">
      <c r="A5" s="187" t="s">
        <v>253</v>
      </c>
      <c r="B5" s="155" t="s">
        <v>394</v>
      </c>
      <c r="C5" s="187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213</v>
      </c>
      <c r="I2" s="76" t="s">
        <v>6</v>
      </c>
      <c r="J2" s="76" t="s">
        <v>224</v>
      </c>
      <c r="K2" s="77" t="s">
        <v>208</v>
      </c>
      <c r="L2" s="77" t="s">
        <v>212</v>
      </c>
      <c r="M2" s="77" t="s">
        <v>209</v>
      </c>
      <c r="N2" s="77" t="s">
        <v>210</v>
      </c>
      <c r="O2" s="78" t="s">
        <v>211</v>
      </c>
      <c r="P2" s="79" t="s">
        <v>229</v>
      </c>
      <c r="Q2" s="80" t="s">
        <v>230</v>
      </c>
      <c r="R2" s="80" t="s">
        <v>231</v>
      </c>
      <c r="S2" s="78">
        <v>2025</v>
      </c>
      <c r="T2" s="79" t="s">
        <v>228</v>
      </c>
      <c r="U2" s="77">
        <v>2023</v>
      </c>
      <c r="V2" s="77">
        <v>2024</v>
      </c>
      <c r="W2" s="78">
        <v>2025</v>
      </c>
      <c r="X2" s="71" t="s">
        <v>214</v>
      </c>
    </row>
    <row r="3" spans="1:24" x14ac:dyDescent="0.2">
      <c r="A3" s="208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51">
        <f>+[6]Main!$K$3</f>
        <v>10406.627415000001</v>
      </c>
      <c r="I3" s="4" t="s">
        <v>616</v>
      </c>
      <c r="J3" s="66">
        <v>45506</v>
      </c>
    </row>
    <row r="4" spans="1:24" s="20" customFormat="1" x14ac:dyDescent="0.2">
      <c r="A4" s="208" t="s">
        <v>253</v>
      </c>
      <c r="B4" s="5" t="s">
        <v>17</v>
      </c>
      <c r="C4" s="20" t="s">
        <v>18</v>
      </c>
      <c r="D4" s="21">
        <v>115.9</v>
      </c>
      <c r="E4" s="22">
        <f>D4*[38]Main!$L$3</f>
        <v>310046.98749999999</v>
      </c>
      <c r="F4" s="22" cm="1">
        <f t="array" ref="F4">([38]Main!$L$5-[38]Main!$L$6)/RMB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08" t="s">
        <v>253</v>
      </c>
      <c r="B5" s="5" t="s">
        <v>17</v>
      </c>
      <c r="C5" s="1" t="s">
        <v>18</v>
      </c>
      <c r="D5" s="2">
        <v>115.9</v>
      </c>
      <c r="E5" s="3">
        <f>D5*[38]Main!$L$3</f>
        <v>310046.98749999999</v>
      </c>
      <c r="F5" s="3" cm="1">
        <f t="array" ref="F5">([38]Main!$L$5-[38]Main!$L$6)/RMB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254</v>
      </c>
      <c r="C7" s="81" t="s">
        <v>255</v>
      </c>
    </row>
    <row r="8" spans="1:24" x14ac:dyDescent="0.2">
      <c r="A8" s="208" t="s">
        <v>253</v>
      </c>
      <c r="B8" s="11" t="s">
        <v>198</v>
      </c>
      <c r="C8" s="11" t="s">
        <v>199</v>
      </c>
    </row>
    <row r="9" spans="1:24" x14ac:dyDescent="0.2">
      <c r="A9" s="208" t="s">
        <v>253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+[39]Main!$L$5-[39]Main!$L$6</f>
        <v>7643.4470000000001</v>
      </c>
      <c r="G9" s="22">
        <f>E9-F9</f>
        <v>66071.040644859997</v>
      </c>
      <c r="H9" s="51">
        <f>+[39]Main!$L$3</f>
        <v>633.17718300000001</v>
      </c>
      <c r="I9" s="143" t="s">
        <v>351</v>
      </c>
      <c r="J9" s="66">
        <v>44971</v>
      </c>
    </row>
    <row r="10" spans="1:24" x14ac:dyDescent="0.2">
      <c r="A10" s="208" t="s">
        <v>253</v>
      </c>
      <c r="B10" s="11" t="s">
        <v>196</v>
      </c>
      <c r="C10" s="11" t="s">
        <v>197</v>
      </c>
    </row>
    <row r="11" spans="1:24" x14ac:dyDescent="0.2">
      <c r="A11" s="95"/>
      <c r="B11" s="95" t="s">
        <v>285</v>
      </c>
      <c r="C11" s="95" t="s">
        <v>286</v>
      </c>
    </row>
    <row r="12" spans="1:24" x14ac:dyDescent="0.2">
      <c r="A12" s="208" t="s">
        <v>253</v>
      </c>
      <c r="B12" s="10" t="s">
        <v>42</v>
      </c>
      <c r="C12" s="10" t="s">
        <v>43</v>
      </c>
    </row>
    <row r="13" spans="1:24" s="20" customFormat="1" x14ac:dyDescent="0.2">
      <c r="A13" s="187" t="s">
        <v>253</v>
      </c>
      <c r="B13" s="5" t="s">
        <v>36</v>
      </c>
      <c r="C13" s="20" t="s">
        <v>37</v>
      </c>
      <c r="D13" s="21">
        <v>36.71</v>
      </c>
      <c r="E13" s="22">
        <f>+D13*[40]Main!$M$3</f>
        <v>46254.6</v>
      </c>
      <c r="F13" s="22">
        <f>+[40]Main!$M$5-[40]Main!$M$6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287</v>
      </c>
      <c r="C14" s="95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303</v>
      </c>
      <c r="C16" s="105" t="s">
        <v>304</v>
      </c>
    </row>
    <row r="17" spans="1:23" x14ac:dyDescent="0.2">
      <c r="A17" s="105"/>
      <c r="B17" s="105" t="s">
        <v>305</v>
      </c>
      <c r="C17" s="105" t="s">
        <v>306</v>
      </c>
    </row>
    <row r="18" spans="1:23" x14ac:dyDescent="0.2">
      <c r="A18" s="107"/>
      <c r="B18" s="107" t="s">
        <v>309</v>
      </c>
      <c r="C18" s="107" t="s">
        <v>310</v>
      </c>
    </row>
    <row r="19" spans="1:23" x14ac:dyDescent="0.2">
      <c r="A19" s="108"/>
      <c r="B19" s="108" t="s">
        <v>311</v>
      </c>
      <c r="C19" s="108" t="s">
        <v>312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38" t="s">
        <v>380</v>
      </c>
      <c r="D24" s="10">
        <v>8.86</v>
      </c>
      <c r="E24" s="51">
        <f>+D24*H24</f>
        <v>963.51364147999993</v>
      </c>
      <c r="F24" s="51">
        <f>+[41]Main!$K$5-[41]Main!$K$6</f>
        <v>-1163.2909999999999</v>
      </c>
      <c r="G24" s="51">
        <f>+E24-F24</f>
        <v>2126.8046414800001</v>
      </c>
      <c r="H24" s="51">
        <f>+[41]Main!$K$3</f>
        <v>108.748718</v>
      </c>
      <c r="I24" s="142" t="s">
        <v>351</v>
      </c>
      <c r="J24" s="66">
        <v>44965</v>
      </c>
    </row>
    <row r="25" spans="1:23" x14ac:dyDescent="0.2">
      <c r="B25" s="141" t="s">
        <v>381</v>
      </c>
    </row>
    <row r="26" spans="1:23" x14ac:dyDescent="0.2">
      <c r="B26" s="187" t="s">
        <v>513</v>
      </c>
      <c r="C26" s="187" t="s">
        <v>514</v>
      </c>
    </row>
    <row r="27" spans="1:23" x14ac:dyDescent="0.2">
      <c r="B27" s="203" t="s">
        <v>556</v>
      </c>
      <c r="C27" s="203" t="s">
        <v>557</v>
      </c>
    </row>
    <row r="28" spans="1:23" x14ac:dyDescent="0.2">
      <c r="B28" s="203" t="s">
        <v>564</v>
      </c>
      <c r="C28" s="203" t="s">
        <v>565</v>
      </c>
    </row>
    <row r="29" spans="1:23" x14ac:dyDescent="0.2">
      <c r="B29" s="209" t="s">
        <v>618</v>
      </c>
      <c r="C29" s="209" t="s">
        <v>617</v>
      </c>
    </row>
    <row r="30" spans="1:23" x14ac:dyDescent="0.2">
      <c r="B30" s="203"/>
      <c r="C30" s="203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0" t="s">
        <v>454</v>
      </c>
      <c r="L35" s="180" t="s">
        <v>455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253</v>
      </c>
      <c r="B3" s="10" t="s">
        <v>151</v>
      </c>
      <c r="C3" s="10" t="s">
        <v>152</v>
      </c>
    </row>
    <row r="4" spans="1:8" x14ac:dyDescent="0.2">
      <c r="A4" s="187" t="s">
        <v>253</v>
      </c>
      <c r="B4" s="10" t="s">
        <v>156</v>
      </c>
      <c r="C4" s="10" t="s">
        <v>155</v>
      </c>
    </row>
    <row r="5" spans="1:8" x14ac:dyDescent="0.2">
      <c r="A5" s="187" t="s">
        <v>253</v>
      </c>
      <c r="B5" s="10" t="s">
        <v>153</v>
      </c>
      <c r="C5" s="10" t="s">
        <v>154</v>
      </c>
    </row>
    <row r="6" spans="1:8" x14ac:dyDescent="0.2">
      <c r="A6" s="98"/>
      <c r="B6" s="98" t="s">
        <v>292</v>
      </c>
      <c r="C6" s="98" t="s">
        <v>293</v>
      </c>
    </row>
    <row r="7" spans="1:8" x14ac:dyDescent="0.2">
      <c r="A7" s="187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8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87" t="s">
        <v>253</v>
      </c>
      <c r="B9" s="10" t="s">
        <v>189</v>
      </c>
      <c r="C9" s="10" t="s">
        <v>190</v>
      </c>
    </row>
    <row r="10" spans="1:8" x14ac:dyDescent="0.2">
      <c r="A10" s="187" t="s">
        <v>253</v>
      </c>
      <c r="B10" s="176" t="s">
        <v>436</v>
      </c>
      <c r="C10" s="176" t="s">
        <v>437</v>
      </c>
    </row>
    <row r="11" spans="1:8" x14ac:dyDescent="0.2">
      <c r="A11" s="187" t="s">
        <v>253</v>
      </c>
      <c r="B11" s="187" t="s">
        <v>94</v>
      </c>
      <c r="C11" s="187" t="s">
        <v>95</v>
      </c>
    </row>
    <row r="12" spans="1:8" x14ac:dyDescent="0.2">
      <c r="A12" s="187" t="s">
        <v>253</v>
      </c>
      <c r="B12" s="187" t="s">
        <v>507</v>
      </c>
      <c r="C12" s="187" t="s">
        <v>508</v>
      </c>
    </row>
    <row r="13" spans="1:8" x14ac:dyDescent="0.2">
      <c r="A13" s="187" t="s">
        <v>253</v>
      </c>
      <c r="B13" s="187" t="s">
        <v>536</v>
      </c>
      <c r="C13" s="187" t="s">
        <v>537</v>
      </c>
    </row>
    <row r="14" spans="1:8" x14ac:dyDescent="0.2">
      <c r="A14" s="187" t="s">
        <v>253</v>
      </c>
      <c r="B14" s="187" t="s">
        <v>542</v>
      </c>
      <c r="C14" s="187" t="s">
        <v>543</v>
      </c>
    </row>
    <row r="15" spans="1:8" x14ac:dyDescent="0.2">
      <c r="A15" s="203" t="s">
        <v>253</v>
      </c>
      <c r="B15" s="203" t="s">
        <v>560</v>
      </c>
      <c r="C15" s="203" t="s">
        <v>561</v>
      </c>
    </row>
    <row r="16" spans="1:8" x14ac:dyDescent="0.2">
      <c r="A16" s="203" t="s">
        <v>253</v>
      </c>
      <c r="B16" s="203" t="s">
        <v>574</v>
      </c>
      <c r="C16" s="203" t="s">
        <v>575</v>
      </c>
    </row>
    <row r="17" spans="1:3" x14ac:dyDescent="0.2">
      <c r="A17" s="203" t="s">
        <v>253</v>
      </c>
      <c r="B17" s="203" t="s">
        <v>604</v>
      </c>
      <c r="C17" s="203" t="s">
        <v>605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207</v>
      </c>
      <c r="C4" s="45">
        <v>1.01</v>
      </c>
    </row>
    <row r="5" spans="1:3" x14ac:dyDescent="0.2">
      <c r="B5" s="45" t="s">
        <v>225</v>
      </c>
      <c r="C5" s="45">
        <v>10.3437</v>
      </c>
    </row>
    <row r="6" spans="1:3" x14ac:dyDescent="0.2">
      <c r="B6" s="46" t="s">
        <v>233</v>
      </c>
      <c r="C6" s="45">
        <v>136.93</v>
      </c>
    </row>
    <row r="7" spans="1:3" x14ac:dyDescent="0.2">
      <c r="B7" s="46" t="s">
        <v>234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6" t="s">
        <v>214</v>
      </c>
      <c r="F2" s="46" t="s">
        <v>236</v>
      </c>
      <c r="G2" s="52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6" t="s">
        <v>235</v>
      </c>
      <c r="D9" s="46" t="s">
        <v>204</v>
      </c>
      <c r="E9" s="6">
        <v>2021</v>
      </c>
      <c r="F9" s="46" t="s">
        <v>237</v>
      </c>
      <c r="G9" s="52" t="s">
        <v>241</v>
      </c>
    </row>
    <row r="10" spans="1:7" x14ac:dyDescent="0.2">
      <c r="B10" s="52" t="s">
        <v>238</v>
      </c>
      <c r="D10" s="52" t="s">
        <v>239</v>
      </c>
      <c r="E10" s="6">
        <v>2021</v>
      </c>
      <c r="G10" s="52" t="s">
        <v>241</v>
      </c>
    </row>
    <row r="11" spans="1:7" x14ac:dyDescent="0.2">
      <c r="B11" s="154" t="s">
        <v>391</v>
      </c>
      <c r="D11" s="154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2024-09-20T05:17:37Z</dcterms:modified>
  <cp:category/>
  <cp:contentStatus/>
</cp:coreProperties>
</file>