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E307181-13A6-4206-92C1-8551CA574F29}" xr6:coauthVersionLast="47" xr6:coauthVersionMax="47" xr10:uidLastSave="{00000000-0000-0000-0000-000000000000}"/>
  <bookViews>
    <workbookView xWindow="-50880" yWindow="0" windowWidth="29955" windowHeight="2070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5" i="1" l="1"/>
  <c r="B325" i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76" i="1" l="1"/>
  <c r="B77" i="1"/>
  <c r="B78" i="1" s="1"/>
  <c r="B79" i="1" s="1"/>
  <c r="B80" i="1" s="1"/>
  <c r="B81" i="1" s="1"/>
  <c r="B82" i="1" s="1"/>
  <c r="B83" i="1" s="1"/>
  <c r="G77" i="1"/>
  <c r="J77" i="1"/>
  <c r="F77" i="1" s="1"/>
  <c r="G67" i="1"/>
  <c r="J67" i="1"/>
  <c r="G71" i="1"/>
  <c r="J71" i="1"/>
  <c r="F71" i="1" s="1"/>
  <c r="H77" i="1" l="1"/>
  <c r="H71" i="1"/>
  <c r="F67" i="1" l="1"/>
  <c r="H67" i="1" s="1"/>
  <c r="G122" i="1" l="1"/>
  <c r="F122" i="1"/>
  <c r="H122" i="1" l="1"/>
  <c r="G310" i="1" l="1"/>
  <c r="J310" i="1"/>
  <c r="F310" i="1" s="1"/>
  <c r="H310" i="1" s="1"/>
  <c r="G63" i="1" l="1"/>
  <c r="J63" i="1"/>
  <c r="F63" i="1" s="1"/>
  <c r="I97" i="1"/>
  <c r="K97" i="1"/>
  <c r="H63" i="1" l="1"/>
  <c r="G98" i="1"/>
  <c r="J98" i="1"/>
  <c r="F98" i="1" s="1"/>
  <c r="H317" i="1"/>
  <c r="H98" i="1" l="1"/>
  <c r="G124" i="1"/>
  <c r="J124" i="1"/>
  <c r="F124" i="1" s="1"/>
  <c r="H124" i="1" s="1"/>
  <c r="G55" i="1"/>
  <c r="J55" i="1"/>
  <c r="F55" i="1" s="1"/>
  <c r="H55" i="1" l="1"/>
  <c r="G211" i="1"/>
  <c r="J211" i="1"/>
  <c r="F211" i="1" s="1"/>
  <c r="H211" i="1" l="1"/>
  <c r="G308" i="1" l="1"/>
  <c r="J308" i="1"/>
  <c r="F308" i="1" s="1"/>
  <c r="H308" i="1" s="1"/>
  <c r="G81" i="1"/>
  <c r="J81" i="1" l="1"/>
  <c r="F81" i="1" s="1"/>
  <c r="H81" i="1" s="1"/>
  <c r="G199" i="1"/>
  <c r="J199" i="1"/>
  <c r="F199" i="1" s="1"/>
  <c r="H199" i="1" l="1"/>
  <c r="G305" i="1" l="1"/>
  <c r="J305" i="1"/>
  <c r="F305" i="1" s="1"/>
  <c r="G78" i="1"/>
  <c r="J78" i="1"/>
  <c r="F78" i="1" s="1"/>
  <c r="H305" i="1" l="1"/>
  <c r="H78" i="1"/>
  <c r="G201" i="1"/>
  <c r="J201" i="1"/>
  <c r="F201" i="1" s="1"/>
  <c r="H201" i="1" l="1"/>
  <c r="G307" i="1" l="1"/>
  <c r="J307" i="1"/>
  <c r="F307" i="1" s="1"/>
  <c r="H307" i="1" l="1"/>
  <c r="G87" i="1"/>
  <c r="J87" i="1"/>
  <c r="F87" i="1" s="1"/>
  <c r="H87" i="1" l="1"/>
  <c r="J125" i="1" l="1"/>
  <c r="F125" i="1" s="1"/>
  <c r="G125" i="1"/>
  <c r="H125" i="1" l="1"/>
  <c r="J89" i="1"/>
  <c r="F89" i="1" s="1"/>
  <c r="G89" i="1"/>
  <c r="G234" i="1"/>
  <c r="J234" i="1"/>
  <c r="F234" i="1" s="1"/>
  <c r="H89" i="1" l="1"/>
  <c r="H234" i="1"/>
  <c r="P5" i="1"/>
  <c r="O5" i="1"/>
  <c r="L5" i="1"/>
  <c r="M5" i="1" s="1"/>
  <c r="G75" i="1" l="1"/>
  <c r="J75" i="1"/>
  <c r="F75" i="1" s="1"/>
  <c r="H75" i="1" l="1"/>
  <c r="G207" i="1"/>
  <c r="J207" i="1"/>
  <c r="F207" i="1" s="1"/>
  <c r="G306" i="1"/>
  <c r="J306" i="1"/>
  <c r="F306" i="1" s="1"/>
  <c r="H207" i="1" l="1"/>
  <c r="H306" i="1"/>
  <c r="G93" i="1"/>
  <c r="J93" i="1"/>
  <c r="F93" i="1" s="1"/>
  <c r="G72" i="1"/>
  <c r="J72" i="1"/>
  <c r="F72" i="1" s="1"/>
  <c r="H93" i="1" l="1"/>
  <c r="H72" i="1"/>
  <c r="G62" i="1" l="1"/>
  <c r="J62" i="1"/>
  <c r="F62" i="1" s="1"/>
  <c r="G54" i="1"/>
  <c r="J54" i="1"/>
  <c r="F54" i="1" s="1"/>
  <c r="H62" i="1" l="1"/>
  <c r="H54" i="1"/>
  <c r="G96" i="1"/>
  <c r="J96" i="1" l="1"/>
  <c r="F96" i="1" s="1"/>
  <c r="H96" i="1" s="1"/>
  <c r="G92" i="1"/>
  <c r="J92" i="1"/>
  <c r="F92" i="1" s="1"/>
  <c r="G66" i="1"/>
  <c r="J66" i="1"/>
  <c r="F66" i="1" s="1"/>
  <c r="G35" i="1"/>
  <c r="J35" i="1"/>
  <c r="F35" i="1" s="1"/>
  <c r="G56" i="1"/>
  <c r="J56" i="1"/>
  <c r="F56" i="1" s="1"/>
  <c r="G57" i="1"/>
  <c r="J57" i="1"/>
  <c r="F57" i="1" s="1"/>
  <c r="G90" i="1"/>
  <c r="J90" i="1"/>
  <c r="F90" i="1" s="1"/>
  <c r="G73" i="1"/>
  <c r="J73" i="1"/>
  <c r="F73" i="1" s="1"/>
  <c r="H92" i="1" l="1"/>
  <c r="H66" i="1"/>
  <c r="H35" i="1"/>
  <c r="H73" i="1"/>
  <c r="H56" i="1"/>
  <c r="H57" i="1"/>
  <c r="H90" i="1"/>
  <c r="J82" i="1" l="1"/>
  <c r="F82" i="1" s="1"/>
  <c r="G51" i="1" l="1"/>
  <c r="J60" i="1" l="1"/>
  <c r="F60" i="1" s="1"/>
  <c r="G60" i="1"/>
  <c r="G44" i="1" l="1"/>
  <c r="G34" i="1" l="1"/>
  <c r="J34" i="1"/>
  <c r="F34" i="1" s="1"/>
  <c r="G50" i="1"/>
  <c r="G59" i="1"/>
  <c r="H34" i="1" l="1"/>
  <c r="G46" i="1"/>
  <c r="G86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7" i="1" l="1"/>
  <c r="J197" i="1"/>
  <c r="F197" i="1" s="1"/>
  <c r="H197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2" i="1" l="1"/>
  <c r="F412" i="1" s="1"/>
  <c r="G412" i="1"/>
  <c r="H412" i="1" l="1"/>
  <c r="J85" i="1"/>
  <c r="F85" i="1" s="1"/>
  <c r="G85" i="1"/>
  <c r="H85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1" i="1" l="1"/>
  <c r="F129" i="1" l="1"/>
  <c r="G84" i="1"/>
  <c r="J84" i="1"/>
  <c r="F84" i="1" s="1"/>
  <c r="G27" i="1"/>
  <c r="H84" i="1" l="1"/>
  <c r="G126" i="1"/>
  <c r="J126" i="1"/>
  <c r="F126" i="1" s="1"/>
  <c r="G123" i="1"/>
  <c r="J123" i="1"/>
  <c r="F123" i="1" s="1"/>
  <c r="H126" i="1" l="1"/>
  <c r="H123" i="1"/>
  <c r="J121" i="1"/>
  <c r="F121" i="1" s="1"/>
  <c r="G121" i="1"/>
  <c r="F12" i="5" a="1"/>
  <c r="F12" i="5" s="1"/>
  <c r="G304" i="1"/>
  <c r="J304" i="1"/>
  <c r="F304" i="1" s="1"/>
  <c r="G309" i="1"/>
  <c r="J309" i="1"/>
  <c r="E309" i="1"/>
  <c r="H121" i="1" l="1"/>
  <c r="F309" i="1"/>
  <c r="H309" i="1" s="1"/>
  <c r="H304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8" i="1" l="1"/>
  <c r="J68" i="1"/>
  <c r="F68" i="1" s="1"/>
  <c r="H68" i="1" l="1"/>
  <c r="J127" i="1"/>
  <c r="F127" i="1" s="1"/>
  <c r="G127" i="1"/>
  <c r="H127" i="1" l="1"/>
  <c r="G88" i="1"/>
  <c r="J88" i="1"/>
  <c r="F88" i="1" s="1"/>
  <c r="H88" i="1" l="1"/>
  <c r="J76" i="1"/>
  <c r="F76" i="1" s="1"/>
  <c r="G64" i="1" l="1"/>
  <c r="J64" i="1"/>
  <c r="F64" i="1" s="1"/>
  <c r="H64" i="1" l="1"/>
  <c r="G26" i="1"/>
  <c r="F26" i="1"/>
  <c r="H26" i="1" l="1"/>
  <c r="J59" i="1"/>
  <c r="F59" i="1" s="1"/>
  <c r="H59" i="1" s="1"/>
  <c r="J50" i="1"/>
  <c r="F50" i="1" s="1"/>
  <c r="G74" i="1"/>
  <c r="J74" i="1"/>
  <c r="F74" i="1" s="1"/>
  <c r="H50" i="1" l="1"/>
  <c r="H74" i="1"/>
  <c r="K13" i="1"/>
  <c r="G49" i="1" l="1"/>
  <c r="G48" i="1"/>
  <c r="J49" i="1"/>
  <c r="F49" i="1" s="1"/>
  <c r="J48" i="1"/>
  <c r="F48" i="1" s="1"/>
  <c r="G119" i="1"/>
  <c r="J119" i="1"/>
  <c r="F119" i="1" s="1"/>
  <c r="G65" i="1"/>
  <c r="J65" i="1"/>
  <c r="F65" i="1" s="1"/>
  <c r="G91" i="1"/>
  <c r="J91" i="1"/>
  <c r="F91" i="1" s="1"/>
  <c r="H119" i="1" l="1"/>
  <c r="H49" i="1"/>
  <c r="H48" i="1"/>
  <c r="H65" i="1"/>
  <c r="H91" i="1"/>
  <c r="G52" i="1"/>
  <c r="J52" i="1"/>
  <c r="F52" i="1" s="1"/>
  <c r="J44" i="1"/>
  <c r="F44" i="1" s="1"/>
  <c r="H52" i="1" l="1"/>
  <c r="H44" i="1"/>
  <c r="J69" i="1"/>
  <c r="F69" i="1" s="1"/>
  <c r="G69" i="1"/>
  <c r="H69" i="1" l="1"/>
  <c r="J16" i="1" l="1"/>
  <c r="G95" i="1" l="1"/>
  <c r="J95" i="1"/>
  <c r="F95" i="1" s="1"/>
  <c r="H95" i="1" l="1"/>
  <c r="G200" i="1"/>
  <c r="J200" i="1"/>
  <c r="F200" i="1" s="1"/>
  <c r="H200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82" i="1"/>
  <c r="J32" i="1"/>
  <c r="F32" i="1" s="1" a="1"/>
  <c r="F32" i="1" s="1"/>
  <c r="H32" i="1" s="1"/>
  <c r="F192" i="1"/>
  <c r="H51" i="1" l="1"/>
  <c r="H82" i="1"/>
  <c r="G79" i="1"/>
  <c r="J79" i="1"/>
  <c r="F79" i="1" s="1"/>
  <c r="H79" i="1" l="1"/>
  <c r="J53" i="1"/>
  <c r="F53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60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3" i="1" l="1"/>
  <c r="J203" i="1"/>
  <c r="F203" i="1" s="1"/>
  <c r="J94" i="1"/>
  <c r="F94" i="1" s="1"/>
  <c r="G94" i="1"/>
  <c r="G120" i="1"/>
  <c r="J120" i="1"/>
  <c r="F120" i="1" s="1"/>
  <c r="H203" i="1" l="1"/>
  <c r="H120" i="1"/>
  <c r="H94" i="1"/>
  <c r="J28" i="1"/>
  <c r="F28" i="1" s="1"/>
  <c r="H28" i="1" s="1"/>
  <c r="J27" i="1"/>
  <c r="F27" i="1" s="1"/>
  <c r="H27" i="1" s="1"/>
  <c r="J24" i="1"/>
  <c r="J25" i="1" s="1"/>
  <c r="G224" i="1" l="1"/>
  <c r="J224" i="1"/>
  <c r="F224" i="1" s="1"/>
  <c r="G83" i="1"/>
  <c r="J83" i="1"/>
  <c r="F83" i="1" s="1"/>
  <c r="H83" i="1" l="1"/>
  <c r="H224" i="1"/>
  <c r="J86" i="1"/>
  <c r="F86" i="1" s="1"/>
  <c r="H86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9" i="1"/>
  <c r="J229" i="1"/>
  <c r="F229" i="1" s="1"/>
  <c r="G80" i="1"/>
  <c r="J80" i="1"/>
  <c r="F80" i="1" s="1"/>
  <c r="H80" i="1" l="1"/>
  <c r="H229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2" i="1"/>
  <c r="F202" i="1"/>
  <c r="H202" i="1" l="1"/>
  <c r="H58" i="1" l="1"/>
  <c r="G198" i="1"/>
  <c r="F198" i="1"/>
  <c r="F22" i="1"/>
  <c r="G22" i="1"/>
  <c r="H198" i="1" l="1"/>
  <c r="H22" i="1"/>
  <c r="G226" i="1"/>
  <c r="F226" i="1"/>
  <c r="H37" i="1" l="1"/>
  <c r="H226" i="1"/>
  <c r="G76" i="1"/>
  <c r="H76" i="1" l="1"/>
  <c r="F7" i="1"/>
  <c r="G53" i="1" l="1"/>
  <c r="H53" i="1" l="1"/>
  <c r="G233" i="1"/>
  <c r="F233" i="1"/>
  <c r="G232" i="1"/>
  <c r="F232" i="1"/>
  <c r="G231" i="1"/>
  <c r="F231" i="1"/>
  <c r="G230" i="1"/>
  <c r="F230" i="1"/>
  <c r="G228" i="1"/>
  <c r="F228" i="1"/>
  <c r="G227" i="1"/>
  <c r="F227" i="1"/>
  <c r="G225" i="1"/>
  <c r="F225" i="1"/>
  <c r="G223" i="1"/>
  <c r="F223" i="1"/>
  <c r="H5" i="1"/>
  <c r="H7" i="1"/>
  <c r="H232" i="1" l="1"/>
  <c r="H25" i="1"/>
  <c r="H12" i="1"/>
  <c r="H231" i="1"/>
  <c r="H233" i="1"/>
  <c r="H17" i="1"/>
  <c r="H227" i="1"/>
  <c r="H24" i="1"/>
  <c r="H228" i="1"/>
  <c r="H15" i="1"/>
  <c r="H223" i="1"/>
  <c r="H225" i="1"/>
  <c r="H14" i="1"/>
  <c r="H19" i="1"/>
  <c r="H23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4" i="5"/>
  <c r="A25" i="4"/>
  <c r="B55" i="1" l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8" i="5"/>
  <c r="B9" i="5" s="1"/>
  <c r="A26" i="4" l="1"/>
  <c r="A30" i="4" l="1"/>
  <c r="B84" i="1" l="1"/>
  <c r="B85" i="1" l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A32" i="4"/>
  <c r="B97" i="1" l="1"/>
  <c r="B98" i="1" s="1"/>
  <c r="B99" i="1" l="1"/>
  <c r="B100" i="1" s="1"/>
  <c r="B101" i="1" s="1"/>
  <c r="B10" i="5" l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A27" i="4"/>
  <c r="A28" i="4" l="1"/>
  <c r="B118" i="1"/>
  <c r="B119" i="1" s="1"/>
  <c r="B120" i="1" s="1"/>
  <c r="B121" i="1" s="1"/>
  <c r="B122" i="1" s="1"/>
  <c r="B123" i="1" s="1"/>
  <c r="B124" i="1" s="1"/>
  <c r="B125" i="1" l="1"/>
  <c r="B126" i="1" s="1"/>
  <c r="B127" i="1" s="1"/>
  <c r="B128" i="1" s="1"/>
  <c r="B129" i="1" s="1"/>
  <c r="A29" i="4" l="1"/>
  <c r="B130" i="1"/>
  <c r="B131" i="1" s="1"/>
  <c r="B132" i="1" s="1"/>
  <c r="B133" i="1" s="1"/>
  <c r="B134" i="1" s="1"/>
  <c r="B135" i="1" s="1"/>
  <c r="A31" i="4" l="1"/>
  <c r="B136" i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A33" i="4" l="1"/>
  <c r="B168" i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1" i="1" l="1"/>
  <c r="B225" i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A35" i="4" l="1"/>
  <c r="B343" i="1" l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<sst xmlns="http://schemas.openxmlformats.org/spreadsheetml/2006/main" count="1712" uniqueCount="1228">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</sst>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38" Type="http://schemas.openxmlformats.org/officeDocument/2006/relationships/externalLink" Target="externalLinks/externalLink130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externalLink" Target="externalLinks/externalLink120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134" Type="http://schemas.openxmlformats.org/officeDocument/2006/relationships/externalLink" Target="externalLinks/externalLink126.xml"/><Relationship Id="rId139" Type="http://schemas.openxmlformats.org/officeDocument/2006/relationships/theme" Target="theme/theme1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externalLink" Target="externalLinks/externalLink12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externalLink" Target="externalLinks/externalLink122.xml"/><Relationship Id="rId135" Type="http://schemas.openxmlformats.org/officeDocument/2006/relationships/externalLink" Target="externalLinks/externalLink127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externalLink" Target="externalLinks/externalLink123.xml"/><Relationship Id="rId136" Type="http://schemas.openxmlformats.org/officeDocument/2006/relationships/externalLink" Target="externalLinks/externalLink128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142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137" Type="http://schemas.openxmlformats.org/officeDocument/2006/relationships/externalLink" Target="externalLinks/externalLink12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externalLink" Target="externalLinks/externalLink124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14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externalLink" Target="externalLinks/externalLink125.xml"/><Relationship Id="rId16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 refreshError="1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63" Type="http://schemas.openxmlformats.org/officeDocument/2006/relationships/hyperlink" Target="Sun%20Pharmaceutical.xlsx" TargetMode="External"/><Relationship Id="rId84" Type="http://schemas.openxmlformats.org/officeDocument/2006/relationships/hyperlink" Target="ASND.xlsx" TargetMode="External"/><Relationship Id="rId138" Type="http://schemas.openxmlformats.org/officeDocument/2006/relationships/hyperlink" Target="ADMA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28" Type="http://schemas.openxmlformats.org/officeDocument/2006/relationships/hyperlink" Target="EVO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134" Type="http://schemas.openxmlformats.org/officeDocument/2006/relationships/hyperlink" Target="NKTX.xlsx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hyperlink" Target="SLS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0" Type="http://schemas.openxmlformats.org/officeDocument/2006/relationships/hyperlink" Target="OGN.xlsx" TargetMode="External"/><Relationship Id="rId135" Type="http://schemas.openxmlformats.org/officeDocument/2006/relationships/hyperlink" Target="REPL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131" Type="http://schemas.openxmlformats.org/officeDocument/2006/relationships/hyperlink" Target="NUVB.xlsx" TargetMode="External"/><Relationship Id="rId136" Type="http://schemas.openxmlformats.org/officeDocument/2006/relationships/hyperlink" Target="PRGO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137" Type="http://schemas.openxmlformats.org/officeDocument/2006/relationships/hyperlink" Target="ORNBV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32" Type="http://schemas.openxmlformats.org/officeDocument/2006/relationships/hyperlink" Target="XNCR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Relationship Id="rId47" Type="http://schemas.openxmlformats.org/officeDocument/2006/relationships/hyperlink" Target="4519%20Chugai.xlsx" TargetMode="External"/><Relationship Id="rId68" Type="http://schemas.openxmlformats.org/officeDocument/2006/relationships/hyperlink" Target="NTLA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33" Type="http://schemas.openxmlformats.org/officeDocument/2006/relationships/hyperlink" Target="IPN%20FP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15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16" sqref="L1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RANDBETWEEN(1,B224)</f>
        <v>58</v>
      </c>
    </row>
    <row r="2" spans="1:30" x14ac:dyDescent="0.2">
      <c r="K2" s="9">
        <f>MIN(K4:K82)</f>
        <v>45524</v>
      </c>
      <c r="Q2" s="49" t="s">
        <v>316</v>
      </c>
      <c r="R2" s="49"/>
      <c r="S2" s="49"/>
      <c r="T2" s="49"/>
      <c r="U2" s="49"/>
      <c r="V2" s="49"/>
      <c r="W2" s="49" t="s">
        <v>315</v>
      </c>
      <c r="X2" s="49"/>
      <c r="Y2" s="49"/>
      <c r="Z2" s="49"/>
      <c r="AA2" s="49"/>
      <c r="AB2" s="4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1012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1097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1097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1097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1097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1097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314</v>
      </c>
      <c r="F15" s="6">
        <f>+E15*J15</f>
        <v>169246</v>
      </c>
      <c r="G15" s="6">
        <f>[9]Main!$J$5-[9]Main!$J$6</f>
        <v>-53344</v>
      </c>
      <c r="H15" s="6">
        <f t="shared" si="1"/>
        <v>222590</v>
      </c>
      <c r="I15" s="3" t="s">
        <v>1097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1097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1097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1097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1097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1097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1097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1097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1097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1097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1097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1097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1097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1097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1097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1067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1097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1097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1097</v>
      </c>
      <c r="J36" s="6">
        <f>+[29]Main!$L$3</f>
        <v>128.38051300000001</v>
      </c>
      <c r="K36" s="9">
        <v>45537</v>
      </c>
      <c r="AC36" s="1">
        <v>2002</v>
      </c>
      <c r="AD36" s="1" t="s">
        <v>619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1097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1097</v>
      </c>
      <c r="J39" s="6">
        <f>+[32]Main!$J$3</f>
        <v>145</v>
      </c>
      <c r="K39" s="9">
        <v>45536</v>
      </c>
      <c r="AC39" s="1">
        <v>1978</v>
      </c>
      <c r="AD39" s="1" t="s">
        <v>619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1097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1097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1097</v>
      </c>
      <c r="J45" s="6">
        <f>+[38]Main!$L$3</f>
        <v>384.39605999999998</v>
      </c>
      <c r="K45" s="9">
        <v>45535</v>
      </c>
      <c r="AD45" s="1" t="s">
        <v>619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1097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1097</v>
      </c>
      <c r="J47" s="6">
        <f>+[40]Main!$L$3</f>
        <v>190.382822</v>
      </c>
      <c r="K47" s="9">
        <v>45537</v>
      </c>
      <c r="AC47">
        <v>1997</v>
      </c>
      <c r="AD47" s="1" t="s">
        <v>1153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1097</v>
      </c>
      <c r="J48" s="6">
        <f>+[41]Main!$K$4</f>
        <v>66.136909000000003</v>
      </c>
      <c r="K48" s="9">
        <v>45537</v>
      </c>
      <c r="AC48" s="1">
        <v>1999</v>
      </c>
      <c r="AD48" s="1" t="s">
        <v>1154</v>
      </c>
    </row>
    <row r="49" spans="1:30" x14ac:dyDescent="0.2">
      <c r="A49"/>
      <c r="B49" s="1">
        <f>+B48</f>
        <v>39</v>
      </c>
      <c r="C49" s="5" t="s">
        <v>59</v>
      </c>
      <c r="D49" t="s">
        <v>522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1097</v>
      </c>
      <c r="J49" s="6">
        <f>+[41]Main!$K$4</f>
        <v>66.136909000000003</v>
      </c>
      <c r="K49" s="9">
        <v>45537</v>
      </c>
      <c r="AC49" s="1">
        <v>1999</v>
      </c>
      <c r="AD49" s="1" t="s">
        <v>1154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1097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1142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1097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1097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719</v>
      </c>
      <c r="D54" t="s">
        <v>720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1097</v>
      </c>
      <c r="J54" s="6">
        <f>+[46]Main!$K$3</f>
        <v>724.53775099999996</v>
      </c>
      <c r="K54" s="9">
        <v>45544</v>
      </c>
    </row>
    <row r="55" spans="1:30" x14ac:dyDescent="0.2">
      <c r="A55"/>
      <c r="B55" s="1">
        <f>+B54+1</f>
        <v>45</v>
      </c>
      <c r="C55" s="5" t="s">
        <v>115</v>
      </c>
      <c r="D55" s="1" t="s">
        <v>116</v>
      </c>
      <c r="E55" s="3">
        <v>19.079999999999998</v>
      </c>
      <c r="F55" s="6">
        <f>+E55*J55</f>
        <v>4912.5939411599993</v>
      </c>
      <c r="G55" s="6">
        <f>[47]Main!$L$5-[47]Main!$L$6</f>
        <v>-7952</v>
      </c>
      <c r="H55" s="6">
        <f>+F55-G55</f>
        <v>12864.593941159999</v>
      </c>
      <c r="I55" s="3" t="s">
        <v>1097</v>
      </c>
      <c r="J55" s="6">
        <f>+[47]Main!$L$3</f>
        <v>257.473477</v>
      </c>
      <c r="K55" s="9">
        <v>45562</v>
      </c>
    </row>
    <row r="56" spans="1:30" customFormat="1" x14ac:dyDescent="0.2">
      <c r="B56">
        <f>+B55+1</f>
        <v>46</v>
      </c>
      <c r="C56" s="5" t="s">
        <v>386</v>
      </c>
      <c r="D56" t="s">
        <v>387</v>
      </c>
      <c r="E56" s="47">
        <v>22.51</v>
      </c>
      <c r="F56" s="31">
        <f>+E56*J56/CNY</f>
        <v>8484.5832136262343</v>
      </c>
      <c r="G56" s="6">
        <f>([48]Main!$K$6-[48]Main!$K$7)/CNY</f>
        <v>-2662.9055007052189</v>
      </c>
      <c r="H56" s="6">
        <f>+F56-G56</f>
        <v>11147.488714331454</v>
      </c>
      <c r="I56" s="3" t="s">
        <v>1142</v>
      </c>
      <c r="J56" s="6">
        <f>+[48]Main!$K$4</f>
        <v>2672.3987109999998</v>
      </c>
      <c r="K56" s="9">
        <v>45542</v>
      </c>
    </row>
    <row r="57" spans="1:30" x14ac:dyDescent="0.2">
      <c r="A57"/>
      <c r="B57" s="1">
        <f>+B56</f>
        <v>46</v>
      </c>
      <c r="C57" s="5" t="s">
        <v>386</v>
      </c>
      <c r="D57" t="s">
        <v>388</v>
      </c>
      <c r="E57" s="3">
        <v>12.12</v>
      </c>
      <c r="F57" s="6">
        <f>+E57*J57/HKD</f>
        <v>4152.4964586307688</v>
      </c>
      <c r="G57" s="6">
        <f>([48]Main!$K$6-[48]Main!$K$7)/CNY</f>
        <v>-2662.9055007052189</v>
      </c>
      <c r="H57" s="6">
        <f>+F57-G57</f>
        <v>6815.4019593359881</v>
      </c>
      <c r="I57" s="3" t="s">
        <v>1142</v>
      </c>
      <c r="J57" s="6">
        <f>+[48]Main!$K$4</f>
        <v>2672.3987109999998</v>
      </c>
      <c r="K57" s="9">
        <v>45542</v>
      </c>
    </row>
    <row r="58" spans="1:30" x14ac:dyDescent="0.2">
      <c r="B58" s="1">
        <f>+B57+1</f>
        <v>47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1097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96" si="7">+B58+1</f>
        <v>48</v>
      </c>
      <c r="C59" s="5" t="s">
        <v>277</v>
      </c>
      <c r="D59" t="s">
        <v>278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1097</v>
      </c>
      <c r="J59" s="6">
        <f>+[50]Main!$K$3</f>
        <v>286.34741200000002</v>
      </c>
      <c r="K59" s="9">
        <v>45537</v>
      </c>
    </row>
    <row r="60" spans="1:30" x14ac:dyDescent="0.2">
      <c r="B60" s="1">
        <f t="shared" si="7"/>
        <v>49</v>
      </c>
      <c r="C60" s="5" t="s">
        <v>91</v>
      </c>
      <c r="D60" s="1" t="s">
        <v>92</v>
      </c>
      <c r="E60" s="3">
        <v>127.06</v>
      </c>
      <c r="F60" s="6">
        <f>+E60*J60</f>
        <v>12830.04219794</v>
      </c>
      <c r="G60" s="6">
        <f>+[51]Main!$L$5-[51]Main!$L$6</f>
        <v>1820.3</v>
      </c>
      <c r="H60" s="6">
        <f>F60-G60</f>
        <v>11009.742197940001</v>
      </c>
      <c r="I60" s="3" t="s">
        <v>1097</v>
      </c>
      <c r="J60" s="6">
        <f>+[51]Main!$L$3</f>
        <v>100.976249</v>
      </c>
      <c r="K60" s="9">
        <v>45538</v>
      </c>
    </row>
    <row r="61" spans="1:30" x14ac:dyDescent="0.2">
      <c r="A61"/>
      <c r="B61" s="1">
        <f t="shared" si="7"/>
        <v>50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1097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7"/>
        <v>51</v>
      </c>
      <c r="C62" s="5" t="s">
        <v>1147</v>
      </c>
      <c r="D62" t="s">
        <v>1148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8">+F62-G62</f>
        <v>10758.849823</v>
      </c>
      <c r="I62" s="3" t="s">
        <v>1097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7"/>
        <v>52</v>
      </c>
      <c r="C63" s="5" t="s">
        <v>371</v>
      </c>
      <c r="D63" t="s">
        <v>372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1097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7"/>
        <v>53</v>
      </c>
      <c r="C64" s="5" t="s">
        <v>369</v>
      </c>
      <c r="D64" t="s">
        <v>370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1097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A65"/>
      <c r="B65" s="1">
        <f t="shared" si="7"/>
        <v>54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1097</v>
      </c>
      <c r="J65" s="6">
        <f>+[56]Main!$M$3</f>
        <v>126.678</v>
      </c>
      <c r="K65" s="9">
        <v>45538</v>
      </c>
    </row>
    <row r="66" spans="1:30" x14ac:dyDescent="0.2">
      <c r="B66" s="1">
        <f t="shared" si="7"/>
        <v>55</v>
      </c>
      <c r="C66" s="5" t="s">
        <v>119</v>
      </c>
      <c r="D66" s="1" t="s">
        <v>120</v>
      </c>
      <c r="E66" s="7">
        <v>49.28</v>
      </c>
      <c r="F66" s="6">
        <f>+E66*J66</f>
        <v>8998.6303545600003</v>
      </c>
      <c r="G66" s="6">
        <f>+[57]Main!$L$5-[57]Main!$L$6</f>
        <v>1008.441</v>
      </c>
      <c r="H66" s="6">
        <f>+F66-G66</f>
        <v>7990.1893545600005</v>
      </c>
      <c r="I66" s="3" t="s">
        <v>1097</v>
      </c>
      <c r="J66" s="6">
        <f>+[57]Main!$L$3</f>
        <v>182.60207700000001</v>
      </c>
      <c r="K66" s="9">
        <v>45542</v>
      </c>
    </row>
    <row r="67" spans="1:30" x14ac:dyDescent="0.2">
      <c r="A67"/>
      <c r="B67" s="1">
        <f t="shared" si="7"/>
        <v>56</v>
      </c>
      <c r="C67" s="5" t="s">
        <v>377</v>
      </c>
      <c r="D67" t="s">
        <v>378</v>
      </c>
      <c r="E67" s="3">
        <v>49.22</v>
      </c>
      <c r="F67" s="6">
        <f>+E67*J67*EUR</f>
        <v>7710.7431827999999</v>
      </c>
      <c r="G67" s="6">
        <f>([129]Main!$L$5-[129]Main!$L$6)*EUR</f>
        <v>-123.432</v>
      </c>
      <c r="H67" s="6">
        <f>+F67-G67</f>
        <v>7834.1751827999997</v>
      </c>
      <c r="I67" s="3" t="s">
        <v>1097</v>
      </c>
      <c r="J67" s="6">
        <f>+[129]Main!$L$3</f>
        <v>141.13399999999999</v>
      </c>
      <c r="K67" s="9">
        <v>45566</v>
      </c>
    </row>
    <row r="68" spans="1:30" x14ac:dyDescent="0.2">
      <c r="B68" s="1">
        <f t="shared" si="7"/>
        <v>57</v>
      </c>
      <c r="C68" s="5" t="s">
        <v>138</v>
      </c>
      <c r="D68" s="1" t="s">
        <v>139</v>
      </c>
      <c r="E68" s="7">
        <v>126</v>
      </c>
      <c r="F68" s="6">
        <f>E68*J68</f>
        <v>7337.1059999999998</v>
      </c>
      <c r="G68" s="6">
        <f>[58]Main!$K$5-[58]Main!$K$6</f>
        <v>-413.63900000000001</v>
      </c>
      <c r="H68" s="6">
        <f>F68-G68</f>
        <v>7750.7449999999999</v>
      </c>
      <c r="I68" s="3" t="s">
        <v>1097</v>
      </c>
      <c r="J68" s="6">
        <f>[58]Main!$K$3</f>
        <v>58.231000000000002</v>
      </c>
      <c r="K68" s="9">
        <v>45539</v>
      </c>
      <c r="AC68" s="1">
        <v>2007</v>
      </c>
      <c r="AD68" s="1" t="s">
        <v>1170</v>
      </c>
    </row>
    <row r="69" spans="1:30" x14ac:dyDescent="0.2">
      <c r="B69" s="1">
        <f t="shared" si="7"/>
        <v>58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+[59]Main!$L$5-[59]Main!$L$6</f>
        <v>309.9079999999999</v>
      </c>
      <c r="H69" s="6">
        <f>+F69-G69</f>
        <v>6974.3285536200001</v>
      </c>
      <c r="I69" s="9" t="s">
        <v>1097</v>
      </c>
      <c r="J69" s="6">
        <f>+[59]Main!$L$3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7"/>
        <v>59</v>
      </c>
      <c r="C70" s="5" t="s">
        <v>300</v>
      </c>
      <c r="D70" t="s">
        <v>301</v>
      </c>
      <c r="E70" s="22">
        <v>1992</v>
      </c>
      <c r="F70" s="6">
        <f>+E70*J70/100*GBP</f>
        <v>5742.3752022000008</v>
      </c>
      <c r="G70" s="6">
        <f>+[60]Main!$K$5-[60]Main!$K$6</f>
        <v>-1276</v>
      </c>
      <c r="H70" s="6">
        <f t="shared" ref="H70:H86" si="9">+F70-G70</f>
        <v>7018.3752022000008</v>
      </c>
      <c r="I70" s="3" t="s">
        <v>1097</v>
      </c>
      <c r="J70" s="6">
        <f>+[60]Main!$K$3</f>
        <v>221.74757500000001</v>
      </c>
      <c r="K70" s="9">
        <v>45541</v>
      </c>
    </row>
    <row r="71" spans="1:30" x14ac:dyDescent="0.2">
      <c r="A71" t="s">
        <v>339</v>
      </c>
      <c r="B71" s="1">
        <f t="shared" si="7"/>
        <v>60</v>
      </c>
      <c r="C71" s="5" t="s">
        <v>132</v>
      </c>
      <c r="D71" s="1" t="s">
        <v>133</v>
      </c>
      <c r="E71" s="3">
        <v>25.49</v>
      </c>
      <c r="F71" s="6">
        <f>+E71*J71</f>
        <v>3477.2290048199993</v>
      </c>
      <c r="G71" s="6">
        <f>+[128]Main!$N$5-[128]Main!$N$6</f>
        <v>-3514.8</v>
      </c>
      <c r="H71" s="6">
        <f>+F71-G71</f>
        <v>6992.0290048199995</v>
      </c>
      <c r="I71" s="3" t="s">
        <v>1097</v>
      </c>
      <c r="J71" s="6">
        <f>+[128]Main!$N$3</f>
        <v>136.41541799999999</v>
      </c>
      <c r="K71" s="9">
        <v>45566</v>
      </c>
    </row>
    <row r="72" spans="1:30" x14ac:dyDescent="0.2">
      <c r="A72" t="s">
        <v>339</v>
      </c>
      <c r="B72" s="1">
        <f t="shared" si="7"/>
        <v>61</v>
      </c>
      <c r="C72" s="5" t="s">
        <v>130</v>
      </c>
      <c r="D72" s="1" t="s">
        <v>131</v>
      </c>
      <c r="E72" s="3">
        <v>72.11</v>
      </c>
      <c r="F72" s="6">
        <f>+E72*J72</f>
        <v>7619.6419617500005</v>
      </c>
      <c r="G72" s="6">
        <f>+[61]Main!$L$5-[61]Main!$L$6</f>
        <v>1024.6570000000002</v>
      </c>
      <c r="H72" s="6">
        <f>+F72-G72</f>
        <v>6594.9849617500004</v>
      </c>
      <c r="I72" s="3" t="s">
        <v>1097</v>
      </c>
      <c r="J72" s="6">
        <f>+[61]Main!$L$3</f>
        <v>105.66692500000001</v>
      </c>
      <c r="K72" s="9">
        <v>45545</v>
      </c>
    </row>
    <row r="73" spans="1:30" x14ac:dyDescent="0.2">
      <c r="A73"/>
      <c r="B73" s="1">
        <f t="shared" si="7"/>
        <v>62</v>
      </c>
      <c r="C73" s="5" t="s">
        <v>1085</v>
      </c>
      <c r="D73" t="s">
        <v>1086</v>
      </c>
      <c r="E73" s="7">
        <v>64</v>
      </c>
      <c r="F73" s="6">
        <f>+E73*J73</f>
        <v>6656</v>
      </c>
      <c r="G73" s="3">
        <f>+[62]Main!$K$5-[62]Main!$K$6</f>
        <v>711</v>
      </c>
      <c r="H73" s="6">
        <f t="shared" ref="H73" si="10">+F73-G73</f>
        <v>5945</v>
      </c>
      <c r="I73" s="3" t="s">
        <v>1142</v>
      </c>
      <c r="J73" s="3">
        <f>+[62]Main!$K$3</f>
        <v>104</v>
      </c>
      <c r="K73" s="9">
        <v>45541</v>
      </c>
    </row>
    <row r="74" spans="1:30" x14ac:dyDescent="0.2">
      <c r="B74" s="1">
        <f t="shared" si="7"/>
        <v>63</v>
      </c>
      <c r="C74" s="5" t="s">
        <v>123</v>
      </c>
      <c r="D74" s="1" t="s">
        <v>124</v>
      </c>
      <c r="E74" s="3">
        <v>25.59</v>
      </c>
      <c r="F74" s="6">
        <f>+E74*J74</f>
        <v>7299.5916427500006</v>
      </c>
      <c r="G74" s="6">
        <f>+[63]Main!$M$5-[63]Main!$M$6</f>
        <v>1434.3040000000001</v>
      </c>
      <c r="H74" s="6">
        <f t="shared" si="9"/>
        <v>5865.2876427500005</v>
      </c>
      <c r="I74" s="3" t="s">
        <v>1097</v>
      </c>
      <c r="J74" s="6">
        <f>+[63]Main!$M$3</f>
        <v>285.25172500000002</v>
      </c>
      <c r="K74" s="9">
        <v>45540</v>
      </c>
    </row>
    <row r="75" spans="1:30" x14ac:dyDescent="0.2">
      <c r="A75"/>
      <c r="B75" s="1">
        <f t="shared" si="7"/>
        <v>64</v>
      </c>
      <c r="C75" s="5" t="s">
        <v>153</v>
      </c>
      <c r="D75" s="1" t="s">
        <v>154</v>
      </c>
      <c r="E75" s="3">
        <v>86.43</v>
      </c>
      <c r="F75" s="6">
        <f>+E75*J75</f>
        <v>5432.4712200000004</v>
      </c>
      <c r="G75" s="6">
        <f>+[64]Main!$K$5-[64]Main!$K$6</f>
        <v>481.55700000000002</v>
      </c>
      <c r="H75" s="6">
        <f>+F75-G75</f>
        <v>4950.9142200000006</v>
      </c>
      <c r="I75" s="3" t="s">
        <v>1097</v>
      </c>
      <c r="J75" s="6">
        <f>+[64]Main!$K$3</f>
        <v>62.853999999999999</v>
      </c>
      <c r="K75" s="9">
        <v>45549</v>
      </c>
    </row>
    <row r="76" spans="1:30" x14ac:dyDescent="0.2">
      <c r="A76" t="s">
        <v>339</v>
      </c>
      <c r="B76" s="1">
        <f t="shared" si="7"/>
        <v>65</v>
      </c>
      <c r="C76" s="5" t="s">
        <v>134</v>
      </c>
      <c r="D76" s="1" t="s">
        <v>135</v>
      </c>
      <c r="E76" s="7">
        <v>39.65</v>
      </c>
      <c r="F76" s="6">
        <f>E76*J76</f>
        <v>4828.0349052000001</v>
      </c>
      <c r="G76" s="6">
        <f>+[65]Main!$L$5-[65]Main!$L$6</f>
        <v>-96.746999999999957</v>
      </c>
      <c r="H76" s="6">
        <f t="shared" si="9"/>
        <v>4924.7819052000004</v>
      </c>
      <c r="I76" s="3" t="s">
        <v>1097</v>
      </c>
      <c r="J76" s="6">
        <f>[65]Main!$L$3</f>
        <v>121.766328</v>
      </c>
      <c r="K76" s="9">
        <v>45540</v>
      </c>
      <c r="AC76" s="1">
        <v>2009</v>
      </c>
      <c r="AD76" s="1" t="s">
        <v>1011</v>
      </c>
    </row>
    <row r="77" spans="1:30" x14ac:dyDescent="0.2">
      <c r="A77" s="1" t="s">
        <v>339</v>
      </c>
      <c r="B77" s="1">
        <f t="shared" si="7"/>
        <v>66</v>
      </c>
      <c r="C77" s="5" t="s">
        <v>819</v>
      </c>
      <c r="D77" t="s">
        <v>820</v>
      </c>
      <c r="E77" s="3">
        <v>19.79</v>
      </c>
      <c r="F77" s="6">
        <f>+E77*J77</f>
        <v>4789.1799999999994</v>
      </c>
      <c r="G77" s="6">
        <f>+[130]Main!$L$5-[130]Main!$L$6</f>
        <v>-43</v>
      </c>
      <c r="H77" s="6">
        <f>+F77-G77</f>
        <v>4832.1799999999994</v>
      </c>
      <c r="I77" s="3" t="s">
        <v>1097</v>
      </c>
      <c r="J77" s="6">
        <f>+[130]Main!$L$3</f>
        <v>242</v>
      </c>
      <c r="K77" s="9">
        <v>45566</v>
      </c>
    </row>
    <row r="78" spans="1:30" x14ac:dyDescent="0.2">
      <c r="A78"/>
      <c r="B78" s="1">
        <f t="shared" si="7"/>
        <v>67</v>
      </c>
      <c r="C78" s="5" t="s">
        <v>690</v>
      </c>
      <c r="D78" t="s">
        <v>691</v>
      </c>
      <c r="E78" s="7">
        <v>245</v>
      </c>
      <c r="F78" s="6">
        <f>+E78*J78</f>
        <v>5319.6058649999995</v>
      </c>
      <c r="G78" s="6">
        <f>+[66]Main!$M$5-[66]Main!$M$6</f>
        <v>946.1869999999999</v>
      </c>
      <c r="H78" s="6">
        <f>+F78-G78</f>
        <v>4373.4188649999996</v>
      </c>
      <c r="I78" s="3" t="s">
        <v>1097</v>
      </c>
      <c r="J78" s="6">
        <f>+[66]Main!$M$3</f>
        <v>21.712676999999999</v>
      </c>
      <c r="K78" s="9">
        <v>45556</v>
      </c>
    </row>
    <row r="79" spans="1:30" x14ac:dyDescent="0.2">
      <c r="A79" t="s">
        <v>339</v>
      </c>
      <c r="B79" s="1">
        <f t="shared" si="7"/>
        <v>68</v>
      </c>
      <c r="C79" s="5" t="s">
        <v>438</v>
      </c>
      <c r="D79" t="s">
        <v>439</v>
      </c>
      <c r="E79" s="7">
        <v>93.89</v>
      </c>
      <c r="F79" s="6">
        <f>+E79*J79</f>
        <v>4506.7392474500002</v>
      </c>
      <c r="G79" s="6">
        <f>+[67]Main!$L$5-[67]Main!$L$6</f>
        <v>136.32699999999997</v>
      </c>
      <c r="H79" s="6">
        <f t="shared" si="9"/>
        <v>4370.41224745</v>
      </c>
      <c r="I79" s="3" t="s">
        <v>1097</v>
      </c>
      <c r="J79" s="6">
        <f>+[67]Main!$L$3</f>
        <v>48.000205000000001</v>
      </c>
      <c r="K79" s="9">
        <v>45540</v>
      </c>
    </row>
    <row r="80" spans="1:30" x14ac:dyDescent="0.2">
      <c r="A80" t="s">
        <v>339</v>
      </c>
      <c r="B80" s="1">
        <f t="shared" si="7"/>
        <v>69</v>
      </c>
      <c r="C80" s="5" t="s">
        <v>136</v>
      </c>
      <c r="D80" s="1" t="s">
        <v>137</v>
      </c>
      <c r="E80" s="3">
        <v>28.45</v>
      </c>
      <c r="F80" s="6">
        <f>+J80*E80</f>
        <v>4684.8139600499999</v>
      </c>
      <c r="G80" s="6">
        <f>+[68]Main!$L$5-[68]Main!$L$6</f>
        <v>673.06</v>
      </c>
      <c r="H80" s="6">
        <f>+F80-G80</f>
        <v>4011.7539600499999</v>
      </c>
      <c r="I80" s="3" t="s">
        <v>1097</v>
      </c>
      <c r="J80" s="6">
        <f>+[68]Main!$L$3</f>
        <v>164.668329</v>
      </c>
      <c r="K80" s="9">
        <v>45540</v>
      </c>
    </row>
    <row r="81" spans="1:30" x14ac:dyDescent="0.2">
      <c r="B81" s="1">
        <f t="shared" si="7"/>
        <v>70</v>
      </c>
      <c r="C81" s="5" t="s">
        <v>802</v>
      </c>
      <c r="D81" t="s">
        <v>1202</v>
      </c>
      <c r="E81" s="7">
        <v>44</v>
      </c>
      <c r="F81" s="6">
        <f>+E81*J81</f>
        <v>5153.3414680000005</v>
      </c>
      <c r="G81" s="6">
        <f>+[69]Main!$L$5-[69]Main!$L$6</f>
        <v>1590.0459999999998</v>
      </c>
      <c r="H81" s="6">
        <f>+F81-G81</f>
        <v>3563.2954680000007</v>
      </c>
      <c r="I81" s="3" t="s">
        <v>1097</v>
      </c>
      <c r="J81" s="6">
        <f>+[69]Main!$L$3</f>
        <v>117.121397</v>
      </c>
      <c r="K81" s="9">
        <v>45558</v>
      </c>
    </row>
    <row r="82" spans="1:30" x14ac:dyDescent="0.2">
      <c r="A82"/>
      <c r="B82" s="1">
        <f t="shared" si="7"/>
        <v>71</v>
      </c>
      <c r="C82" s="5" t="s">
        <v>412</v>
      </c>
      <c r="D82" t="s">
        <v>413</v>
      </c>
      <c r="E82" s="19">
        <v>3.14</v>
      </c>
      <c r="F82" s="6">
        <f>+E82*J82/HKD</f>
        <v>7410.5214572128207</v>
      </c>
      <c r="G82" s="6">
        <f>([70]Main!$K$5-[70]Main!$K$6)/HKD</f>
        <v>3986.4565384615375</v>
      </c>
      <c r="H82" s="6">
        <f t="shared" ref="H82" si="11">F82-G82</f>
        <v>3424.0649187512831</v>
      </c>
      <c r="I82" s="3" t="s">
        <v>1097</v>
      </c>
      <c r="J82" s="6">
        <f>+[70]Main!$K$3</f>
        <v>18408.301708999999</v>
      </c>
      <c r="K82" s="9">
        <v>45539</v>
      </c>
    </row>
    <row r="83" spans="1:30" x14ac:dyDescent="0.2">
      <c r="A83"/>
      <c r="B83" s="1">
        <f t="shared" si="7"/>
        <v>72</v>
      </c>
      <c r="C83" s="5" t="s">
        <v>355</v>
      </c>
      <c r="D83" t="s">
        <v>702</v>
      </c>
      <c r="E83" s="3">
        <v>12.01</v>
      </c>
      <c r="F83" s="6">
        <f>+E83*J83</f>
        <v>8881.6571062399998</v>
      </c>
      <c r="G83" s="6">
        <f>+[71]Main!$K$5-[71]Main!$K$6</f>
        <v>5617.777</v>
      </c>
      <c r="H83" s="6">
        <f>+F83-G83</f>
        <v>3263.8801062399998</v>
      </c>
      <c r="I83" s="3" t="s">
        <v>1097</v>
      </c>
      <c r="J83" s="6">
        <f>+[71]Main!$K$3</f>
        <v>739.52182400000004</v>
      </c>
      <c r="K83" s="9">
        <v>45540</v>
      </c>
    </row>
    <row r="84" spans="1:30" x14ac:dyDescent="0.2">
      <c r="A84" t="s">
        <v>339</v>
      </c>
      <c r="B84" s="1">
        <f t="shared" si="7"/>
        <v>73</v>
      </c>
      <c r="C84" s="5" t="s">
        <v>695</v>
      </c>
      <c r="D84" t="s">
        <v>696</v>
      </c>
      <c r="E84" s="3">
        <v>25.25</v>
      </c>
      <c r="F84" s="6">
        <f>E84*J84</f>
        <v>4272.5860572500005</v>
      </c>
      <c r="G84" s="6">
        <f>[72]Main!$K$5-[72]Main!$K$6</f>
        <v>1347.038</v>
      </c>
      <c r="H84" s="6">
        <f>+F84-G84</f>
        <v>2925.5480572500005</v>
      </c>
      <c r="I84" s="3" t="s">
        <v>1097</v>
      </c>
      <c r="J84" s="6">
        <f>[72]Main!$K$3</f>
        <v>169.21132900000001</v>
      </c>
      <c r="K84" s="9">
        <v>45545</v>
      </c>
    </row>
    <row r="85" spans="1:30" x14ac:dyDescent="0.2">
      <c r="A85" s="1" t="s">
        <v>339</v>
      </c>
      <c r="B85" s="1">
        <f t="shared" si="7"/>
        <v>74</v>
      </c>
      <c r="C85" s="5" t="s">
        <v>217</v>
      </c>
      <c r="D85" s="1" t="s">
        <v>218</v>
      </c>
      <c r="E85" s="3">
        <v>10.61</v>
      </c>
      <c r="F85" s="6">
        <f>+E85*J85</f>
        <v>3220.2821819199999</v>
      </c>
      <c r="G85" s="6">
        <f>+[73]Main!$I$5-[73]Main!$I$6</f>
        <v>417.97200000000004</v>
      </c>
      <c r="H85" s="6">
        <f>+F85-G85</f>
        <v>2802.3101819199996</v>
      </c>
      <c r="I85" s="3" t="s">
        <v>1097</v>
      </c>
      <c r="J85" s="6">
        <f>+[73]Main!$I$3</f>
        <v>303.51387199999999</v>
      </c>
      <c r="K85" s="9">
        <v>45525</v>
      </c>
    </row>
    <row r="86" spans="1:30" x14ac:dyDescent="0.2">
      <c r="A86"/>
      <c r="B86" s="1">
        <f t="shared" si="7"/>
        <v>75</v>
      </c>
      <c r="C86" s="5" t="s">
        <v>73</v>
      </c>
      <c r="D86" s="1" t="s">
        <v>74</v>
      </c>
      <c r="E86" s="7">
        <v>87</v>
      </c>
      <c r="F86" s="6">
        <f>+E86*J86</f>
        <v>21113.629887000003</v>
      </c>
      <c r="G86" s="6">
        <f>+[74]Main!$K$5-[74]Main!$K$6</f>
        <v>18458.399999999998</v>
      </c>
      <c r="H86" s="6">
        <f t="shared" si="9"/>
        <v>2655.229887000005</v>
      </c>
      <c r="I86" s="3" t="s">
        <v>1097</v>
      </c>
      <c r="J86" s="6">
        <f>+[74]Main!$K$3</f>
        <v>242.68540100000001</v>
      </c>
      <c r="K86" s="9">
        <v>45537</v>
      </c>
      <c r="AC86" s="1">
        <v>2008</v>
      </c>
    </row>
    <row r="87" spans="1:30" x14ac:dyDescent="0.2">
      <c r="A87" t="s">
        <v>339</v>
      </c>
      <c r="B87" s="1">
        <f t="shared" si="7"/>
        <v>76</v>
      </c>
      <c r="C87" s="5" t="s">
        <v>863</v>
      </c>
      <c r="D87" t="s">
        <v>864</v>
      </c>
      <c r="E87" s="3">
        <v>29.07</v>
      </c>
      <c r="F87" s="6">
        <f>+E87*J87</f>
        <v>2725.96041216</v>
      </c>
      <c r="G87" s="6">
        <f>+[75]Main!$J$5-[75]Main!$J$6</f>
        <v>511.75100000000003</v>
      </c>
      <c r="H87" s="6">
        <f>+F87-G87</f>
        <v>2214.2094121599998</v>
      </c>
      <c r="I87" s="3" t="s">
        <v>1097</v>
      </c>
      <c r="J87" s="6">
        <f>+[75]Main!$J$3</f>
        <v>93.772288000000003</v>
      </c>
      <c r="K87" s="9">
        <v>45554</v>
      </c>
    </row>
    <row r="88" spans="1:30" x14ac:dyDescent="0.2">
      <c r="A88"/>
      <c r="B88" s="1">
        <f t="shared" si="7"/>
        <v>77</v>
      </c>
      <c r="C88" s="5" t="s">
        <v>121</v>
      </c>
      <c r="D88" s="1" t="s">
        <v>122</v>
      </c>
      <c r="E88" s="7">
        <v>47</v>
      </c>
      <c r="F88" s="6">
        <f>E88*J88</f>
        <v>4002.9034260000003</v>
      </c>
      <c r="G88" s="6">
        <f>[76]Main!$L$5-[76]Main!$L$6</f>
        <v>2012.8349999999998</v>
      </c>
      <c r="H88" s="6">
        <f>+F88-G88</f>
        <v>1990.0684260000005</v>
      </c>
      <c r="I88" s="3" t="s">
        <v>1097</v>
      </c>
      <c r="J88" s="6">
        <f>[76]Main!$L$3</f>
        <v>85.168158000000005</v>
      </c>
      <c r="K88" s="9">
        <v>45565</v>
      </c>
    </row>
    <row r="89" spans="1:30" x14ac:dyDescent="0.2">
      <c r="A89" t="s">
        <v>339</v>
      </c>
      <c r="B89" s="1">
        <f t="shared" si="7"/>
        <v>78</v>
      </c>
      <c r="C89" s="5" t="s">
        <v>723</v>
      </c>
      <c r="D89" t="s">
        <v>724</v>
      </c>
      <c r="E89" s="3">
        <v>45.02</v>
      </c>
      <c r="F89" s="6">
        <f>+E89*J89</f>
        <v>2651.8844167000002</v>
      </c>
      <c r="G89" s="6">
        <f>+[77]Main!$L$5-[77]Main!$L$6</f>
        <v>595.44399999999996</v>
      </c>
      <c r="H89" s="6">
        <f>+F89-G89</f>
        <v>2056.4404167000002</v>
      </c>
      <c r="I89" s="3" t="s">
        <v>1097</v>
      </c>
      <c r="J89" s="6">
        <f>+[77]Main!$L$3</f>
        <v>58.904584999999997</v>
      </c>
      <c r="K89" s="9">
        <v>45553</v>
      </c>
    </row>
    <row r="90" spans="1:30" x14ac:dyDescent="0.2">
      <c r="A90" t="s">
        <v>339</v>
      </c>
      <c r="B90" s="1">
        <f t="shared" si="7"/>
        <v>79</v>
      </c>
      <c r="C90" s="5" t="s">
        <v>126</v>
      </c>
      <c r="D90" s="1" t="s">
        <v>127</v>
      </c>
      <c r="E90" s="3">
        <v>16.22</v>
      </c>
      <c r="F90" s="6">
        <f>+E90*J90</f>
        <v>2695.3422799999998</v>
      </c>
      <c r="G90" s="6">
        <f>+[78]Main!$K$5-[78]Main!$K$6</f>
        <v>501</v>
      </c>
      <c r="H90" s="6">
        <f t="shared" ref="H90:H96" si="12">+F90-G90</f>
        <v>2194.3422799999998</v>
      </c>
      <c r="I90" s="3" t="s">
        <v>1097</v>
      </c>
      <c r="J90" s="6">
        <f>+[78]Main!$K$3</f>
        <v>166.17400000000001</v>
      </c>
      <c r="K90" s="9">
        <v>45541</v>
      </c>
    </row>
    <row r="91" spans="1:30" x14ac:dyDescent="0.2">
      <c r="A91" t="s">
        <v>339</v>
      </c>
      <c r="B91" s="1">
        <f t="shared" si="7"/>
        <v>80</v>
      </c>
      <c r="C91" s="5" t="s">
        <v>113</v>
      </c>
      <c r="D91" s="1" t="s">
        <v>114</v>
      </c>
      <c r="E91" s="3">
        <v>19.670000000000002</v>
      </c>
      <c r="F91" s="6">
        <f>+E91*J91</f>
        <v>2445.2814395800001</v>
      </c>
      <c r="G91" s="6">
        <f>+[79]Main!$L$5-[79]Main!$L$6</f>
        <v>436.77100000000002</v>
      </c>
      <c r="H91" s="6">
        <f>+F91-G91</f>
        <v>2008.5104395800001</v>
      </c>
      <c r="I91" s="3" t="s">
        <v>1097</v>
      </c>
      <c r="J91" s="6">
        <f>+[79]Main!$L$3</f>
        <v>124.315274</v>
      </c>
      <c r="K91" s="9">
        <v>45562</v>
      </c>
    </row>
    <row r="92" spans="1:30" x14ac:dyDescent="0.2">
      <c r="A92" t="s">
        <v>339</v>
      </c>
      <c r="B92" s="1">
        <f t="shared" si="7"/>
        <v>81</v>
      </c>
      <c r="C92" s="5" t="s">
        <v>373</v>
      </c>
      <c r="D92" t="s">
        <v>374</v>
      </c>
      <c r="E92" s="43">
        <v>51800</v>
      </c>
      <c r="F92" s="6">
        <f>+E92*J92/KRW</f>
        <v>2777.1378925331474</v>
      </c>
      <c r="G92" s="6">
        <f>([80]Main!$L$5-[80]Main!$L$6)/KRW</f>
        <v>792.45638520586181</v>
      </c>
      <c r="H92" s="6">
        <f t="shared" si="12"/>
        <v>1984.6815073272855</v>
      </c>
      <c r="I92" s="3" t="s">
        <v>1097</v>
      </c>
      <c r="J92" s="6">
        <f>+[80]Main!$L$3</f>
        <v>76.826999999999998</v>
      </c>
      <c r="K92" s="9">
        <v>45542</v>
      </c>
    </row>
    <row r="93" spans="1:30" x14ac:dyDescent="0.2">
      <c r="B93" s="1">
        <f t="shared" si="7"/>
        <v>82</v>
      </c>
      <c r="C93" s="41" t="s">
        <v>1190</v>
      </c>
      <c r="D93" t="s">
        <v>1191</v>
      </c>
      <c r="E93" s="3">
        <v>49.43</v>
      </c>
      <c r="F93" s="6">
        <f>+E93*J93</f>
        <v>1921.42289142</v>
      </c>
      <c r="G93" s="6">
        <f>+[81]Main!$J$5-[81]Main!$J$6</f>
        <v>294.60500000000002</v>
      </c>
      <c r="H93" s="6">
        <f t="shared" si="12"/>
        <v>1626.81789142</v>
      </c>
      <c r="I93" s="3" t="s">
        <v>1097</v>
      </c>
      <c r="J93" s="6">
        <f>+[81]Main!$J$3</f>
        <v>38.871594000000002</v>
      </c>
      <c r="K93" s="9">
        <v>45546</v>
      </c>
      <c r="AC93" s="1">
        <v>1999</v>
      </c>
    </row>
    <row r="94" spans="1:30" x14ac:dyDescent="0.2">
      <c r="A94" t="s">
        <v>339</v>
      </c>
      <c r="B94" s="1">
        <f t="shared" si="7"/>
        <v>83</v>
      </c>
      <c r="C94" s="5" t="s">
        <v>159</v>
      </c>
      <c r="D94" s="1" t="s">
        <v>160</v>
      </c>
      <c r="E94" s="7">
        <v>24.5</v>
      </c>
      <c r="F94" s="6">
        <f>+E94*J94</f>
        <v>2019.1826655000002</v>
      </c>
      <c r="G94" s="6">
        <f>+[82]Main!$K$5-[82]Main!$K$6</f>
        <v>1008.165</v>
      </c>
      <c r="H94" s="6">
        <f>+F94-G94</f>
        <v>1011.0176655000002</v>
      </c>
      <c r="I94" s="3" t="s">
        <v>1097</v>
      </c>
      <c r="J94" s="6">
        <f>+[82]Main!$K$3</f>
        <v>82.415619000000007</v>
      </c>
      <c r="K94" s="9">
        <v>45565</v>
      </c>
    </row>
    <row r="95" spans="1:30" x14ac:dyDescent="0.2">
      <c r="A95" t="s">
        <v>339</v>
      </c>
      <c r="B95" s="1">
        <f t="shared" si="7"/>
        <v>84</v>
      </c>
      <c r="C95" s="5" t="s">
        <v>146</v>
      </c>
      <c r="D95" s="1" t="s">
        <v>147</v>
      </c>
      <c r="E95" s="7">
        <v>20</v>
      </c>
      <c r="F95" s="6">
        <f>+E95*J95</f>
        <v>1929.5</v>
      </c>
      <c r="G95" s="6">
        <f>+[83]Main!$J$5-[83]Main!$J$6</f>
        <v>939.9</v>
      </c>
      <c r="H95" s="6">
        <f t="shared" ref="H95" si="13">+F95-G95</f>
        <v>989.6</v>
      </c>
      <c r="I95" s="3" t="s">
        <v>1067</v>
      </c>
      <c r="J95" s="6">
        <f>+[83]Main!$J$3</f>
        <v>96.474999999999994</v>
      </c>
      <c r="K95" s="9">
        <v>45565</v>
      </c>
    </row>
    <row r="96" spans="1:30" x14ac:dyDescent="0.2">
      <c r="A96" t="s">
        <v>339</v>
      </c>
      <c r="B96" s="1">
        <f t="shared" si="7"/>
        <v>85</v>
      </c>
      <c r="C96" s="5" t="s">
        <v>375</v>
      </c>
      <c r="D96" t="s">
        <v>376</v>
      </c>
      <c r="E96" s="19">
        <v>10.7</v>
      </c>
      <c r="F96" s="6">
        <f>+E96*J96/HKD</f>
        <v>1352.1643102179487</v>
      </c>
      <c r="G96" s="6">
        <f>([84]Main!$J$6-[84]Main!$J$7)/HKD</f>
        <v>376.08884615384613</v>
      </c>
      <c r="H96" s="6">
        <f t="shared" si="12"/>
        <v>976.07546406410256</v>
      </c>
      <c r="I96" s="3" t="s">
        <v>1142</v>
      </c>
      <c r="J96" s="6">
        <f>+[84]Main!$J$4</f>
        <v>985.68987100000004</v>
      </c>
      <c r="K96" s="9">
        <v>45543</v>
      </c>
      <c r="AD96" s="1">
        <v>2012</v>
      </c>
    </row>
    <row r="97" spans="1:11" x14ac:dyDescent="0.2">
      <c r="A97"/>
      <c r="B97">
        <f>B96</f>
        <v>85</v>
      </c>
      <c r="C97" s="5" t="s">
        <v>375</v>
      </c>
      <c r="D97" t="s">
        <v>1212</v>
      </c>
      <c r="E97" s="7">
        <v>27.72</v>
      </c>
      <c r="F97" s="6"/>
      <c r="I97" s="3" t="str">
        <f>+I96</f>
        <v>Q423</v>
      </c>
      <c r="J97" s="6"/>
      <c r="K97" s="9">
        <f>+K96</f>
        <v>45543</v>
      </c>
    </row>
    <row r="98" spans="1:11" x14ac:dyDescent="0.2">
      <c r="A98" s="1" t="s">
        <v>339</v>
      </c>
      <c r="B98" s="1">
        <f>+B97+1</f>
        <v>86</v>
      </c>
      <c r="C98" s="5" t="s">
        <v>111</v>
      </c>
      <c r="D98" s="1" t="s">
        <v>112</v>
      </c>
      <c r="E98" s="7">
        <v>20.25</v>
      </c>
      <c r="F98" s="6">
        <f>+E98*J98</f>
        <v>1252.1289825000001</v>
      </c>
      <c r="G98" s="6">
        <f>+[85]Main!$O$5-[85]Main!$O$6</f>
        <v>637.79299999999989</v>
      </c>
      <c r="H98" s="6">
        <f>+F98-G98</f>
        <v>614.33598250000023</v>
      </c>
      <c r="I98" s="3" t="s">
        <v>1097</v>
      </c>
      <c r="J98" s="6">
        <f>+[85]Main!$O$3</f>
        <v>61.833530000000003</v>
      </c>
      <c r="K98" s="9">
        <v>45563</v>
      </c>
    </row>
    <row r="99" spans="1:11" x14ac:dyDescent="0.2">
      <c r="B99" s="1">
        <f>+B71+1</f>
        <v>61</v>
      </c>
      <c r="C99" t="s">
        <v>279</v>
      </c>
      <c r="D99" t="s">
        <v>280</v>
      </c>
    </row>
    <row r="100" spans="1:11" x14ac:dyDescent="0.2">
      <c r="B100" s="1">
        <f t="shared" ref="B100:B125" si="14">+B99+1</f>
        <v>62</v>
      </c>
      <c r="C100" t="s">
        <v>697</v>
      </c>
      <c r="D100" t="s">
        <v>698</v>
      </c>
      <c r="E100" s="7"/>
      <c r="F100" s="6"/>
    </row>
    <row r="101" spans="1:11" x14ac:dyDescent="0.2">
      <c r="A101"/>
      <c r="B101" s="1">
        <f t="shared" si="14"/>
        <v>63</v>
      </c>
      <c r="C101" t="s">
        <v>363</v>
      </c>
      <c r="D101" t="s">
        <v>364</v>
      </c>
    </row>
    <row r="102" spans="1:11" x14ac:dyDescent="0.2">
      <c r="A102"/>
      <c r="B102" s="1">
        <f t="shared" si="14"/>
        <v>64</v>
      </c>
      <c r="C102" t="s">
        <v>361</v>
      </c>
      <c r="D102" t="s">
        <v>362</v>
      </c>
    </row>
    <row r="103" spans="1:11" x14ac:dyDescent="0.2">
      <c r="B103" s="1">
        <f t="shared" si="14"/>
        <v>65</v>
      </c>
      <c r="C103" t="s">
        <v>275</v>
      </c>
      <c r="D103" t="s">
        <v>276</v>
      </c>
    </row>
    <row r="104" spans="1:11" x14ac:dyDescent="0.2">
      <c r="B104" s="1">
        <f t="shared" si="14"/>
        <v>66</v>
      </c>
      <c r="C104" t="s">
        <v>272</v>
      </c>
      <c r="D104" t="s">
        <v>273</v>
      </c>
    </row>
    <row r="105" spans="1:11" x14ac:dyDescent="0.2">
      <c r="B105" s="1">
        <f t="shared" si="14"/>
        <v>67</v>
      </c>
      <c r="C105" t="s">
        <v>367</v>
      </c>
      <c r="D105" t="s">
        <v>368</v>
      </c>
    </row>
    <row r="106" spans="1:11" x14ac:dyDescent="0.2">
      <c r="A106"/>
      <c r="B106" s="1">
        <f t="shared" si="14"/>
        <v>68</v>
      </c>
      <c r="C106" t="s">
        <v>1083</v>
      </c>
      <c r="D106" t="s">
        <v>1084</v>
      </c>
    </row>
    <row r="107" spans="1:11" x14ac:dyDescent="0.2">
      <c r="A107"/>
      <c r="B107" s="1">
        <f t="shared" si="14"/>
        <v>69</v>
      </c>
      <c r="C107" t="s">
        <v>1081</v>
      </c>
      <c r="D107" t="s">
        <v>1082</v>
      </c>
      <c r="E107" s="7"/>
    </row>
    <row r="108" spans="1:11" x14ac:dyDescent="0.2">
      <c r="A108"/>
      <c r="B108" s="1">
        <f t="shared" si="14"/>
        <v>70</v>
      </c>
      <c r="C108" t="s">
        <v>606</v>
      </c>
      <c r="D108" t="s">
        <v>607</v>
      </c>
    </row>
    <row r="109" spans="1:11" x14ac:dyDescent="0.2">
      <c r="B109" s="1">
        <f t="shared" si="14"/>
        <v>71</v>
      </c>
      <c r="C109" s="1" t="s">
        <v>117</v>
      </c>
      <c r="D109" s="1" t="s">
        <v>118</v>
      </c>
      <c r="E109" s="3">
        <v>83.97</v>
      </c>
    </row>
    <row r="110" spans="1:11" x14ac:dyDescent="0.2">
      <c r="A110"/>
      <c r="B110" s="1">
        <f t="shared" si="14"/>
        <v>72</v>
      </c>
      <c r="C110" t="s">
        <v>1087</v>
      </c>
      <c r="D110" t="s">
        <v>1088</v>
      </c>
      <c r="F110" s="6"/>
    </row>
    <row r="111" spans="1:11" x14ac:dyDescent="0.2">
      <c r="A111"/>
      <c r="B111" s="1">
        <f t="shared" si="14"/>
        <v>73</v>
      </c>
      <c r="C111" t="s">
        <v>1145</v>
      </c>
      <c r="D111" t="s">
        <v>1146</v>
      </c>
      <c r="F111" s="6"/>
    </row>
    <row r="112" spans="1:11" x14ac:dyDescent="0.2">
      <c r="A112"/>
      <c r="B112" s="1">
        <f t="shared" si="14"/>
        <v>74</v>
      </c>
      <c r="C112" t="s">
        <v>1092</v>
      </c>
      <c r="F112" s="6"/>
    </row>
    <row r="113" spans="1:29" x14ac:dyDescent="0.2">
      <c r="A113"/>
      <c r="B113" s="1">
        <f t="shared" si="14"/>
        <v>75</v>
      </c>
      <c r="C113" t="s">
        <v>1093</v>
      </c>
      <c r="F113" s="6"/>
    </row>
    <row r="114" spans="1:29" x14ac:dyDescent="0.2">
      <c r="A114"/>
      <c r="B114" s="1">
        <f t="shared" si="14"/>
        <v>76</v>
      </c>
      <c r="C114" t="s">
        <v>1091</v>
      </c>
      <c r="F114" s="6"/>
    </row>
    <row r="115" spans="1:29" x14ac:dyDescent="0.2">
      <c r="A115"/>
      <c r="B115" s="1">
        <f t="shared" si="14"/>
        <v>77</v>
      </c>
      <c r="C115" t="s">
        <v>1175</v>
      </c>
      <c r="D115" s="1" t="s">
        <v>1176</v>
      </c>
      <c r="F115" s="6"/>
    </row>
    <row r="116" spans="1:29" x14ac:dyDescent="0.2">
      <c r="A116" t="s">
        <v>339</v>
      </c>
      <c r="B116" s="1">
        <f t="shared" si="14"/>
        <v>78</v>
      </c>
      <c r="C116" t="s">
        <v>693</v>
      </c>
      <c r="D116" t="s">
        <v>694</v>
      </c>
    </row>
    <row r="117" spans="1:29" x14ac:dyDescent="0.2">
      <c r="A117"/>
      <c r="B117" s="1">
        <f t="shared" si="14"/>
        <v>79</v>
      </c>
      <c r="C117" s="1" t="s">
        <v>140</v>
      </c>
      <c r="D117" s="1" t="s">
        <v>141</v>
      </c>
      <c r="E117" s="3">
        <v>60.72</v>
      </c>
      <c r="F117" s="6"/>
    </row>
    <row r="118" spans="1:29" x14ac:dyDescent="0.2">
      <c r="A118"/>
      <c r="B118" s="1">
        <f t="shared" si="14"/>
        <v>80</v>
      </c>
      <c r="C118" t="s">
        <v>311</v>
      </c>
      <c r="D118" t="s">
        <v>312</v>
      </c>
      <c r="E118" s="3">
        <v>4.26</v>
      </c>
      <c r="F118" s="6"/>
      <c r="AC118" s="1">
        <v>2011</v>
      </c>
    </row>
    <row r="119" spans="1:29" x14ac:dyDescent="0.2">
      <c r="A119" t="s">
        <v>339</v>
      </c>
      <c r="B119" s="1">
        <f t="shared" si="14"/>
        <v>81</v>
      </c>
      <c r="C119" s="5" t="s">
        <v>97</v>
      </c>
      <c r="D119" s="1" t="s">
        <v>98</v>
      </c>
      <c r="E119" s="3">
        <v>20.34</v>
      </c>
      <c r="F119" s="6">
        <f>+E119*J119</f>
        <v>1539.4211638199999</v>
      </c>
      <c r="G119" s="6">
        <f>+[86]Main!$M$5-[86]Main!$M$6</f>
        <v>306.53399999999999</v>
      </c>
      <c r="H119" s="6">
        <f>+F119-G119</f>
        <v>1232.8871638199998</v>
      </c>
      <c r="I119" s="3" t="s">
        <v>425</v>
      </c>
      <c r="J119" s="6">
        <f>+[86]Main!$M$3</f>
        <v>75.684422999999995</v>
      </c>
      <c r="K119" s="9">
        <v>44963</v>
      </c>
    </row>
    <row r="120" spans="1:29" x14ac:dyDescent="0.2">
      <c r="A120" t="s">
        <v>339</v>
      </c>
      <c r="B120" s="1">
        <f t="shared" si="14"/>
        <v>82</v>
      </c>
      <c r="C120" s="5" t="s">
        <v>380</v>
      </c>
      <c r="D120" t="s">
        <v>381</v>
      </c>
      <c r="E120" s="3">
        <v>32.26</v>
      </c>
      <c r="F120" s="6">
        <f>+E120*J120</f>
        <v>1873.2795513199999</v>
      </c>
      <c r="G120" s="6">
        <f>+[87]Main!$J$5-[87]Main!$J$6</f>
        <v>566.44900000000007</v>
      </c>
      <c r="H120" s="6">
        <f>+F120-G120</f>
        <v>1306.8305513199998</v>
      </c>
      <c r="I120" s="3" t="s">
        <v>305</v>
      </c>
      <c r="J120" s="6">
        <f>+[87]Main!$J$3</f>
        <v>58.068182</v>
      </c>
      <c r="K120" s="9">
        <v>44824</v>
      </c>
    </row>
    <row r="121" spans="1:29" x14ac:dyDescent="0.2">
      <c r="A121" t="s">
        <v>339</v>
      </c>
      <c r="B121" s="1">
        <f t="shared" si="14"/>
        <v>83</v>
      </c>
      <c r="C121" s="5" t="s">
        <v>209</v>
      </c>
      <c r="D121" s="1" t="s">
        <v>210</v>
      </c>
      <c r="E121" s="7">
        <v>5.5</v>
      </c>
      <c r="F121" s="6">
        <f>E121*J121</f>
        <v>1053.9003089999999</v>
      </c>
      <c r="G121" s="6">
        <f>[88]Main!$K$5-[88]Main!$K$6</f>
        <v>471.26000000000005</v>
      </c>
      <c r="H121" s="6">
        <f>F121-G121</f>
        <v>582.64030899999989</v>
      </c>
      <c r="I121" s="3" t="s">
        <v>659</v>
      </c>
      <c r="J121" s="6">
        <f>[88]Main!$K$3</f>
        <v>191.61823799999999</v>
      </c>
      <c r="K121" s="9">
        <v>45064</v>
      </c>
    </row>
    <row r="122" spans="1:29" x14ac:dyDescent="0.2">
      <c r="A122" t="s">
        <v>339</v>
      </c>
      <c r="B122" s="1">
        <f t="shared" si="14"/>
        <v>84</v>
      </c>
      <c r="C122" s="5" t="s">
        <v>776</v>
      </c>
      <c r="D122" t="s">
        <v>777</v>
      </c>
      <c r="E122" s="7">
        <v>11.13</v>
      </c>
      <c r="F122" s="6">
        <f>+E122*J122</f>
        <v>760.17899999999997</v>
      </c>
      <c r="G122" s="6">
        <f>+[89]Main!$K$5-[89]Main!$K$6</f>
        <v>423.93200000000002</v>
      </c>
      <c r="H122" s="6">
        <f>+F122-G122</f>
        <v>336.24699999999996</v>
      </c>
      <c r="I122" s="3" t="s">
        <v>1097</v>
      </c>
      <c r="J122" s="6">
        <v>68.3</v>
      </c>
      <c r="K122" s="9">
        <v>45565</v>
      </c>
      <c r="AC122" s="1">
        <v>2015</v>
      </c>
    </row>
    <row r="123" spans="1:29" x14ac:dyDescent="0.2">
      <c r="A123" t="s">
        <v>339</v>
      </c>
      <c r="B123" s="1">
        <f t="shared" si="14"/>
        <v>85</v>
      </c>
      <c r="C123" s="5" t="s">
        <v>520</v>
      </c>
      <c r="D123" t="s">
        <v>521</v>
      </c>
      <c r="E123" s="3">
        <v>12.41</v>
      </c>
      <c r="F123" s="6">
        <f>E123*J123</f>
        <v>686.11028007999994</v>
      </c>
      <c r="G123" s="6">
        <f>[90]Main!$L$5-[90]Main!$L$6</f>
        <v>578</v>
      </c>
      <c r="H123" s="6">
        <f>+F123-G123</f>
        <v>108.11028007999994</v>
      </c>
      <c r="I123" s="3" t="s">
        <v>659</v>
      </c>
      <c r="J123" s="6">
        <f>[90]Main!$L$3</f>
        <v>55.286887999999998</v>
      </c>
      <c r="K123" s="9">
        <v>45064</v>
      </c>
    </row>
    <row r="124" spans="1:29" x14ac:dyDescent="0.2">
      <c r="A124"/>
      <c r="B124" s="1">
        <f t="shared" si="14"/>
        <v>86</v>
      </c>
      <c r="C124" s="5" t="s">
        <v>1186</v>
      </c>
      <c r="D124" t="s">
        <v>1187</v>
      </c>
      <c r="E124" s="3">
        <v>3.04</v>
      </c>
      <c r="F124" s="6">
        <f>+E124*J124</f>
        <v>757.70519216000002</v>
      </c>
      <c r="G124" s="6">
        <f>+[91]Main!$K$5-[91]Main!$K$6</f>
        <v>565.53499999999997</v>
      </c>
      <c r="H124" s="6">
        <f>+F124-G124</f>
        <v>192.17019216000006</v>
      </c>
      <c r="I124" s="3" t="s">
        <v>1097</v>
      </c>
      <c r="J124" s="6">
        <f>+[91]Main!$K$3</f>
        <v>249.24512899999999</v>
      </c>
      <c r="K124" s="9">
        <v>45505</v>
      </c>
      <c r="AC124" s="1">
        <v>2018</v>
      </c>
    </row>
    <row r="125" spans="1:29" x14ac:dyDescent="0.2">
      <c r="A125" t="s">
        <v>339</v>
      </c>
      <c r="B125" s="1">
        <f t="shared" si="14"/>
        <v>87</v>
      </c>
      <c r="C125" s="5" t="s">
        <v>157</v>
      </c>
      <c r="D125" s="1" t="s">
        <v>158</v>
      </c>
      <c r="E125" s="3">
        <v>2.38</v>
      </c>
      <c r="F125" s="6">
        <f>+E125*J125</f>
        <v>701.30396615999996</v>
      </c>
      <c r="G125" s="6">
        <f>+[92]Main!$L$5-[92]Main!$L$6</f>
        <v>851.52300000000002</v>
      </c>
      <c r="H125" s="6">
        <f>+F125-G125</f>
        <v>-150.21903384000007</v>
      </c>
      <c r="I125" s="3" t="s">
        <v>1097</v>
      </c>
      <c r="J125" s="6">
        <f>+[92]Main!$L$3</f>
        <v>294.66553199999998</v>
      </c>
      <c r="K125" s="9">
        <v>45536</v>
      </c>
    </row>
    <row r="126" spans="1:29" x14ac:dyDescent="0.2">
      <c r="A126" t="s">
        <v>339</v>
      </c>
      <c r="B126" s="1">
        <f t="shared" ref="B126:B157" si="15">+B125+1</f>
        <v>88</v>
      </c>
      <c r="C126" s="5" t="s">
        <v>795</v>
      </c>
      <c r="D126" t="s">
        <v>796</v>
      </c>
      <c r="E126" s="7">
        <v>3.06</v>
      </c>
      <c r="F126" s="6">
        <f>E126*J126</f>
        <v>205.55876502000001</v>
      </c>
      <c r="G126" s="6">
        <f>[93]Main!$O$5-[93]Main!$O$6</f>
        <v>345.67399999999998</v>
      </c>
      <c r="H126" s="6">
        <f>+F126-G126</f>
        <v>-140.11523497999997</v>
      </c>
      <c r="I126" s="3" t="s">
        <v>659</v>
      </c>
      <c r="J126" s="6">
        <f>[93]Main!$O$3</f>
        <v>67.176067000000003</v>
      </c>
      <c r="K126" s="9">
        <v>45067</v>
      </c>
    </row>
    <row r="127" spans="1:29" x14ac:dyDescent="0.2">
      <c r="A127" t="s">
        <v>339</v>
      </c>
      <c r="B127" s="1">
        <f t="shared" si="15"/>
        <v>89</v>
      </c>
      <c r="C127" s="5" t="s">
        <v>182</v>
      </c>
      <c r="D127" s="1" t="s">
        <v>183</v>
      </c>
      <c r="E127" s="7">
        <v>7.28</v>
      </c>
      <c r="F127" s="6">
        <f>E127*J127</f>
        <v>434.74418623999998</v>
      </c>
      <c r="G127" s="6">
        <f>[94]Main!$K$5-[94]Main!$K$6</f>
        <v>1272.4940000000001</v>
      </c>
      <c r="H127" s="6">
        <f>F127-G127</f>
        <v>-837.74981376000017</v>
      </c>
      <c r="I127" s="3" t="s">
        <v>525</v>
      </c>
      <c r="J127" s="6">
        <f>[94]Main!$K$3</f>
        <v>59.717607999999998</v>
      </c>
      <c r="K127" s="9">
        <v>44999</v>
      </c>
    </row>
    <row r="128" spans="1:29" x14ac:dyDescent="0.2">
      <c r="A128" s="1" t="s">
        <v>339</v>
      </c>
      <c r="B128" s="1">
        <f t="shared" si="15"/>
        <v>90</v>
      </c>
      <c r="C128" s="1" t="s">
        <v>149</v>
      </c>
      <c r="D128" s="1" t="s">
        <v>150</v>
      </c>
      <c r="E128" s="3">
        <v>53.29</v>
      </c>
      <c r="F128" s="6">
        <v>3560</v>
      </c>
    </row>
    <row r="129" spans="1:6" x14ac:dyDescent="0.2">
      <c r="A129"/>
      <c r="B129" s="1">
        <f t="shared" si="15"/>
        <v>91</v>
      </c>
      <c r="C129" t="s">
        <v>692</v>
      </c>
      <c r="D129" t="s">
        <v>1013</v>
      </c>
      <c r="E129" s="3">
        <v>35.46</v>
      </c>
      <c r="F129" s="6">
        <f>30500/DKK</f>
        <v>4545.454545454545</v>
      </c>
    </row>
    <row r="130" spans="1:6" x14ac:dyDescent="0.2">
      <c r="A130" t="s">
        <v>339</v>
      </c>
      <c r="B130" s="1">
        <f t="shared" si="15"/>
        <v>92</v>
      </c>
      <c r="C130" s="1" t="s">
        <v>165</v>
      </c>
      <c r="D130" s="1" t="s">
        <v>166</v>
      </c>
      <c r="E130" s="7">
        <v>11.53</v>
      </c>
      <c r="F130" s="6">
        <v>3240</v>
      </c>
    </row>
    <row r="131" spans="1:6" x14ac:dyDescent="0.2">
      <c r="A131" t="s">
        <v>339</v>
      </c>
      <c r="B131" s="1">
        <f t="shared" si="15"/>
        <v>93</v>
      </c>
      <c r="C131" s="1" t="s">
        <v>167</v>
      </c>
      <c r="D131" s="1" t="s">
        <v>168</v>
      </c>
      <c r="E131" s="3">
        <v>55.33</v>
      </c>
      <c r="F131" s="6">
        <v>3280</v>
      </c>
    </row>
    <row r="132" spans="1:6" x14ac:dyDescent="0.2">
      <c r="A132" t="s">
        <v>339</v>
      </c>
      <c r="B132" s="1">
        <f t="shared" si="15"/>
        <v>94</v>
      </c>
      <c r="C132" s="1" t="s">
        <v>155</v>
      </c>
      <c r="D132" s="1" t="s">
        <v>156</v>
      </c>
      <c r="E132" s="3">
        <v>29.49</v>
      </c>
      <c r="F132" s="6">
        <v>2880</v>
      </c>
    </row>
    <row r="133" spans="1:6" x14ac:dyDescent="0.2">
      <c r="A133" t="s">
        <v>339</v>
      </c>
      <c r="B133" s="1">
        <f t="shared" si="15"/>
        <v>95</v>
      </c>
      <c r="C133" s="1" t="s">
        <v>163</v>
      </c>
      <c r="D133" s="1" t="s">
        <v>164</v>
      </c>
      <c r="E133" s="7">
        <v>8.08</v>
      </c>
      <c r="F133" s="6">
        <v>2230</v>
      </c>
    </row>
    <row r="134" spans="1:6" x14ac:dyDescent="0.2">
      <c r="A134"/>
      <c r="B134" s="1">
        <f t="shared" si="15"/>
        <v>96</v>
      </c>
      <c r="C134" s="1" t="s">
        <v>531</v>
      </c>
      <c r="D134" t="s">
        <v>125</v>
      </c>
      <c r="E134" s="3">
        <v>18.91</v>
      </c>
      <c r="F134" s="6"/>
    </row>
    <row r="135" spans="1:6" x14ac:dyDescent="0.2">
      <c r="A135" t="s">
        <v>339</v>
      </c>
      <c r="B135" s="1">
        <f t="shared" si="15"/>
        <v>97</v>
      </c>
      <c r="C135" s="1" t="s">
        <v>174</v>
      </c>
      <c r="D135" s="1" t="s">
        <v>175</v>
      </c>
      <c r="E135" s="7">
        <v>20.010000000000002</v>
      </c>
      <c r="F135" s="6">
        <v>2150</v>
      </c>
    </row>
    <row r="136" spans="1:6" x14ac:dyDescent="0.2">
      <c r="A136" s="1" t="s">
        <v>339</v>
      </c>
      <c r="B136" s="1">
        <f t="shared" si="15"/>
        <v>98</v>
      </c>
      <c r="C136" s="1" t="s">
        <v>514</v>
      </c>
      <c r="D136" t="s">
        <v>515</v>
      </c>
      <c r="E136" s="7">
        <v>14.79</v>
      </c>
      <c r="F136" s="6">
        <v>2160</v>
      </c>
    </row>
    <row r="137" spans="1:6" x14ac:dyDescent="0.2">
      <c r="A137" t="s">
        <v>339</v>
      </c>
      <c r="B137" s="1">
        <f t="shared" si="15"/>
        <v>99</v>
      </c>
      <c r="C137" s="1" t="s">
        <v>176</v>
      </c>
      <c r="D137" s="1" t="s">
        <v>177</v>
      </c>
      <c r="E137" s="3">
        <v>19.010000000000002</v>
      </c>
      <c r="F137" s="6">
        <v>2580</v>
      </c>
    </row>
    <row r="138" spans="1:6" x14ac:dyDescent="0.2">
      <c r="A138" t="s">
        <v>339</v>
      </c>
      <c r="B138" s="1">
        <f t="shared" si="15"/>
        <v>100</v>
      </c>
      <c r="C138" s="1" t="s">
        <v>205</v>
      </c>
      <c r="D138" s="1" t="s">
        <v>206</v>
      </c>
      <c r="E138" s="7">
        <v>57.1</v>
      </c>
      <c r="F138" s="6">
        <v>2590</v>
      </c>
    </row>
    <row r="139" spans="1:6" x14ac:dyDescent="0.2">
      <c r="A139" t="s">
        <v>339</v>
      </c>
      <c r="B139" s="1">
        <f t="shared" si="15"/>
        <v>101</v>
      </c>
      <c r="C139" s="1" t="s">
        <v>180</v>
      </c>
      <c r="D139" s="1" t="s">
        <v>181</v>
      </c>
      <c r="E139" s="3">
        <v>48.73</v>
      </c>
      <c r="F139" s="6">
        <v>2540</v>
      </c>
    </row>
    <row r="140" spans="1:6" x14ac:dyDescent="0.2">
      <c r="A140" t="s">
        <v>339</v>
      </c>
      <c r="B140" s="1">
        <f t="shared" si="15"/>
        <v>102</v>
      </c>
      <c r="C140" s="1" t="s">
        <v>193</v>
      </c>
      <c r="D140" s="1" t="s">
        <v>194</v>
      </c>
      <c r="E140" s="3">
        <v>37.96</v>
      </c>
      <c r="F140" s="6">
        <v>2360</v>
      </c>
    </row>
    <row r="141" spans="1:6" x14ac:dyDescent="0.2">
      <c r="A141" t="s">
        <v>339</v>
      </c>
      <c r="B141" s="1">
        <f t="shared" si="15"/>
        <v>103</v>
      </c>
      <c r="C141" s="1" t="s">
        <v>296</v>
      </c>
      <c r="D141" s="1" t="s">
        <v>186</v>
      </c>
      <c r="E141" s="3">
        <v>10.85</v>
      </c>
      <c r="F141" s="6">
        <v>2020</v>
      </c>
    </row>
    <row r="142" spans="1:6" x14ac:dyDescent="0.2">
      <c r="A142" t="s">
        <v>339</v>
      </c>
      <c r="B142" s="1">
        <f t="shared" si="15"/>
        <v>104</v>
      </c>
      <c r="C142" s="1" t="s">
        <v>215</v>
      </c>
      <c r="D142" s="1" t="s">
        <v>216</v>
      </c>
      <c r="E142" s="7">
        <v>5.3</v>
      </c>
      <c r="F142" s="6">
        <v>2010</v>
      </c>
    </row>
    <row r="143" spans="1:6" x14ac:dyDescent="0.2">
      <c r="A143" t="s">
        <v>339</v>
      </c>
      <c r="B143" s="1">
        <f t="shared" si="15"/>
        <v>105</v>
      </c>
      <c r="C143" s="1" t="s">
        <v>213</v>
      </c>
      <c r="D143" s="1" t="s">
        <v>214</v>
      </c>
      <c r="E143" s="3">
        <v>36.86</v>
      </c>
      <c r="F143" s="6">
        <v>1990</v>
      </c>
    </row>
    <row r="144" spans="1:6" x14ac:dyDescent="0.2">
      <c r="A144"/>
      <c r="B144" s="1">
        <f t="shared" si="15"/>
        <v>106</v>
      </c>
      <c r="C144" s="1" t="s">
        <v>201</v>
      </c>
      <c r="D144" s="1" t="s">
        <v>202</v>
      </c>
      <c r="E144" s="7">
        <v>76.78</v>
      </c>
      <c r="F144" s="6">
        <v>1970</v>
      </c>
    </row>
    <row r="145" spans="1:6" x14ac:dyDescent="0.2">
      <c r="A145"/>
      <c r="B145" s="1">
        <f t="shared" si="15"/>
        <v>107</v>
      </c>
      <c r="C145" s="5" t="s">
        <v>142</v>
      </c>
      <c r="D145" t="s">
        <v>1205</v>
      </c>
      <c r="E145" s="7">
        <v>5.91</v>
      </c>
      <c r="F145" s="6"/>
    </row>
    <row r="146" spans="1:6" x14ac:dyDescent="0.2">
      <c r="A146"/>
      <c r="B146" s="1">
        <f t="shared" si="15"/>
        <v>108</v>
      </c>
      <c r="C146" s="5" t="s">
        <v>142</v>
      </c>
      <c r="D146" t="s">
        <v>143</v>
      </c>
      <c r="E146" s="7">
        <v>3.32</v>
      </c>
      <c r="F146" s="6"/>
    </row>
    <row r="147" spans="1:6" x14ac:dyDescent="0.2">
      <c r="A147"/>
      <c r="B147" s="1">
        <f t="shared" si="15"/>
        <v>109</v>
      </c>
      <c r="C147" s="1" t="s">
        <v>219</v>
      </c>
      <c r="D147" s="1" t="s">
        <v>220</v>
      </c>
      <c r="E147" s="3">
        <v>18.309999999999999</v>
      </c>
      <c r="F147" s="6">
        <v>1930</v>
      </c>
    </row>
    <row r="148" spans="1:6" x14ac:dyDescent="0.2">
      <c r="A148"/>
      <c r="B148" s="1">
        <f t="shared" si="15"/>
        <v>110</v>
      </c>
      <c r="C148" t="s">
        <v>1207</v>
      </c>
      <c r="D148" t="s">
        <v>1208</v>
      </c>
      <c r="F148" s="6"/>
    </row>
    <row r="149" spans="1:6" x14ac:dyDescent="0.2">
      <c r="A149"/>
      <c r="B149" s="1">
        <f t="shared" si="15"/>
        <v>111</v>
      </c>
      <c r="C149" t="s">
        <v>1149</v>
      </c>
      <c r="D149" t="s">
        <v>1150</v>
      </c>
      <c r="F149" s="6"/>
    </row>
    <row r="150" spans="1:6" x14ac:dyDescent="0.2">
      <c r="B150" s="1">
        <f t="shared" si="15"/>
        <v>112</v>
      </c>
      <c r="C150" t="s">
        <v>709</v>
      </c>
      <c r="D150" t="s">
        <v>710</v>
      </c>
    </row>
    <row r="151" spans="1:6" x14ac:dyDescent="0.2">
      <c r="B151" s="1">
        <f t="shared" si="15"/>
        <v>113</v>
      </c>
      <c r="C151" t="s">
        <v>1151</v>
      </c>
      <c r="D151" t="s">
        <v>1152</v>
      </c>
    </row>
    <row r="152" spans="1:6" x14ac:dyDescent="0.2">
      <c r="A152" t="s">
        <v>339</v>
      </c>
      <c r="B152" s="1">
        <f t="shared" si="15"/>
        <v>114</v>
      </c>
      <c r="C152" t="s">
        <v>705</v>
      </c>
      <c r="D152" t="s">
        <v>706</v>
      </c>
      <c r="F152" s="6"/>
    </row>
    <row r="153" spans="1:6" x14ac:dyDescent="0.2">
      <c r="A153" t="s">
        <v>339</v>
      </c>
      <c r="B153" s="1">
        <f t="shared" si="15"/>
        <v>115</v>
      </c>
      <c r="C153" s="1" t="s">
        <v>189</v>
      </c>
      <c r="D153" s="1" t="s">
        <v>190</v>
      </c>
      <c r="E153" s="7">
        <v>10.1</v>
      </c>
      <c r="F153" s="6">
        <v>1880</v>
      </c>
    </row>
    <row r="154" spans="1:6" x14ac:dyDescent="0.2">
      <c r="A154" t="s">
        <v>339</v>
      </c>
      <c r="B154" s="1">
        <f t="shared" si="15"/>
        <v>116</v>
      </c>
      <c r="C154" s="1" t="s">
        <v>797</v>
      </c>
      <c r="D154" s="1" t="s">
        <v>171</v>
      </c>
      <c r="E154" s="3">
        <v>38.67</v>
      </c>
      <c r="F154" s="6">
        <v>1770</v>
      </c>
    </row>
    <row r="155" spans="1:6" x14ac:dyDescent="0.2">
      <c r="A155" t="s">
        <v>339</v>
      </c>
      <c r="B155" s="1">
        <f t="shared" si="15"/>
        <v>117</v>
      </c>
      <c r="C155" t="s">
        <v>382</v>
      </c>
      <c r="D155" t="s">
        <v>383</v>
      </c>
      <c r="E155" s="7">
        <v>43.5</v>
      </c>
    </row>
    <row r="156" spans="1:6" x14ac:dyDescent="0.2">
      <c r="A156" t="s">
        <v>339</v>
      </c>
      <c r="B156" s="1">
        <f t="shared" si="15"/>
        <v>118</v>
      </c>
      <c r="C156" t="s">
        <v>703</v>
      </c>
      <c r="D156" t="s">
        <v>704</v>
      </c>
      <c r="E156" s="7"/>
    </row>
    <row r="157" spans="1:6" x14ac:dyDescent="0.2">
      <c r="A157"/>
      <c r="B157" s="1">
        <f t="shared" si="15"/>
        <v>119</v>
      </c>
      <c r="C157" t="s">
        <v>1095</v>
      </c>
      <c r="D157" t="s">
        <v>1096</v>
      </c>
      <c r="E157" s="7">
        <v>17</v>
      </c>
      <c r="F157" s="6"/>
    </row>
    <row r="158" spans="1:6" x14ac:dyDescent="0.2">
      <c r="A158" t="s">
        <v>339</v>
      </c>
      <c r="B158" s="1">
        <f t="shared" ref="B158:B221" si="16">+B157+1</f>
        <v>120</v>
      </c>
      <c r="C158" t="s">
        <v>737</v>
      </c>
      <c r="F158" s="6"/>
    </row>
    <row r="159" spans="1:6" x14ac:dyDescent="0.2">
      <c r="A159" t="s">
        <v>339</v>
      </c>
      <c r="B159" s="1">
        <f t="shared" si="16"/>
        <v>121</v>
      </c>
      <c r="C159" s="1" t="s">
        <v>184</v>
      </c>
      <c r="D159" s="1" t="s">
        <v>185</v>
      </c>
      <c r="E159" s="3">
        <v>41.59</v>
      </c>
      <c r="F159" s="6">
        <v>1730</v>
      </c>
    </row>
    <row r="160" spans="1:6" x14ac:dyDescent="0.2">
      <c r="A160" t="s">
        <v>339</v>
      </c>
      <c r="B160" s="1">
        <f t="shared" si="16"/>
        <v>122</v>
      </c>
      <c r="C160" s="1" t="s">
        <v>178</v>
      </c>
      <c r="D160" s="1" t="s">
        <v>179</v>
      </c>
      <c r="E160" s="3">
        <v>22.22</v>
      </c>
      <c r="F160" s="6">
        <v>1720</v>
      </c>
    </row>
    <row r="161" spans="1:6" x14ac:dyDescent="0.2">
      <c r="A161" s="1" t="s">
        <v>339</v>
      </c>
      <c r="B161" s="1">
        <f t="shared" si="16"/>
        <v>123</v>
      </c>
      <c r="C161" s="25" t="s">
        <v>633</v>
      </c>
      <c r="D161" s="25" t="s">
        <v>634</v>
      </c>
      <c r="E161" s="26">
        <v>20.66</v>
      </c>
      <c r="F161" s="27">
        <v>1400</v>
      </c>
    </row>
    <row r="162" spans="1:6" x14ac:dyDescent="0.2">
      <c r="A162" t="s">
        <v>339</v>
      </c>
      <c r="B162" s="1">
        <f t="shared" si="16"/>
        <v>124</v>
      </c>
      <c r="C162" s="1" t="s">
        <v>207</v>
      </c>
      <c r="D162" s="1" t="s">
        <v>208</v>
      </c>
      <c r="E162" s="3">
        <v>28.37</v>
      </c>
      <c r="F162" s="6">
        <v>1370</v>
      </c>
    </row>
    <row r="163" spans="1:6" x14ac:dyDescent="0.2">
      <c r="A163" t="s">
        <v>339</v>
      </c>
      <c r="B163" s="1">
        <f t="shared" si="16"/>
        <v>125</v>
      </c>
      <c r="C163" t="s">
        <v>778</v>
      </c>
      <c r="D163" t="s">
        <v>779</v>
      </c>
      <c r="E163" s="7"/>
      <c r="F163" s="6"/>
    </row>
    <row r="164" spans="1:6" x14ac:dyDescent="0.2">
      <c r="A164"/>
      <c r="B164" s="1">
        <f t="shared" si="16"/>
        <v>126</v>
      </c>
      <c r="C164" t="s">
        <v>793</v>
      </c>
      <c r="D164" t="s">
        <v>794</v>
      </c>
      <c r="E164" s="7"/>
      <c r="F164" s="6"/>
    </row>
    <row r="165" spans="1:6" x14ac:dyDescent="0.2">
      <c r="A165" t="s">
        <v>339</v>
      </c>
      <c r="B165" s="1">
        <f t="shared" si="16"/>
        <v>127</v>
      </c>
      <c r="C165" t="s">
        <v>792</v>
      </c>
      <c r="D165"/>
      <c r="E165" s="7"/>
      <c r="F165" s="6"/>
    </row>
    <row r="166" spans="1:6" x14ac:dyDescent="0.2">
      <c r="A166" t="s">
        <v>339</v>
      </c>
      <c r="B166" s="1">
        <f t="shared" si="16"/>
        <v>128</v>
      </c>
      <c r="C166" s="1" t="s">
        <v>161</v>
      </c>
      <c r="D166" s="1" t="s">
        <v>162</v>
      </c>
      <c r="E166" s="7">
        <v>5.75</v>
      </c>
      <c r="F166" s="6">
        <v>1100</v>
      </c>
    </row>
    <row r="167" spans="1:6" x14ac:dyDescent="0.2">
      <c r="A167" t="s">
        <v>339</v>
      </c>
      <c r="B167" s="1">
        <f t="shared" si="16"/>
        <v>129</v>
      </c>
      <c r="C167" t="s">
        <v>790</v>
      </c>
      <c r="D167" t="s">
        <v>791</v>
      </c>
      <c r="E167" s="7"/>
      <c r="F167" s="6"/>
    </row>
    <row r="168" spans="1:6" x14ac:dyDescent="0.2">
      <c r="A168" t="s">
        <v>339</v>
      </c>
      <c r="B168" s="1">
        <f t="shared" si="16"/>
        <v>130</v>
      </c>
      <c r="C168" t="s">
        <v>446</v>
      </c>
      <c r="D168" t="s">
        <v>447</v>
      </c>
      <c r="E168" s="3">
        <v>23.13</v>
      </c>
      <c r="F168" s="6">
        <v>1000</v>
      </c>
    </row>
    <row r="169" spans="1:6" x14ac:dyDescent="0.2">
      <c r="A169" s="1" t="s">
        <v>339</v>
      </c>
      <c r="B169" s="1">
        <f t="shared" si="16"/>
        <v>131</v>
      </c>
      <c r="C169" s="1" t="s">
        <v>105</v>
      </c>
      <c r="D169" s="1" t="s">
        <v>106</v>
      </c>
      <c r="E169" s="3">
        <v>24.78</v>
      </c>
    </row>
    <row r="170" spans="1:6" x14ac:dyDescent="0.2">
      <c r="A170" t="s">
        <v>339</v>
      </c>
      <c r="B170" s="1">
        <f t="shared" si="16"/>
        <v>132</v>
      </c>
      <c r="C170" s="1" t="s">
        <v>107</v>
      </c>
      <c r="D170" s="1" t="s">
        <v>108</v>
      </c>
      <c r="E170" s="3">
        <v>4.72</v>
      </c>
    </row>
    <row r="171" spans="1:6" x14ac:dyDescent="0.2">
      <c r="A171" t="s">
        <v>339</v>
      </c>
      <c r="B171" s="1">
        <f t="shared" si="16"/>
        <v>133</v>
      </c>
      <c r="C171" s="1" t="s">
        <v>109</v>
      </c>
      <c r="D171" s="1" t="s">
        <v>110</v>
      </c>
      <c r="E171" s="3">
        <v>24.53</v>
      </c>
    </row>
    <row r="172" spans="1:6" x14ac:dyDescent="0.2">
      <c r="A172" t="s">
        <v>339</v>
      </c>
      <c r="B172" s="1">
        <f t="shared" si="16"/>
        <v>134</v>
      </c>
      <c r="C172" t="s">
        <v>782</v>
      </c>
      <c r="D172" t="s">
        <v>783</v>
      </c>
      <c r="F172" s="6"/>
    </row>
    <row r="173" spans="1:6" x14ac:dyDescent="0.2">
      <c r="A173" t="s">
        <v>339</v>
      </c>
      <c r="B173" s="1">
        <f t="shared" si="16"/>
        <v>135</v>
      </c>
      <c r="C173" t="s">
        <v>780</v>
      </c>
      <c r="D173" t="s">
        <v>781</v>
      </c>
      <c r="F173" s="6"/>
    </row>
    <row r="174" spans="1:6" x14ac:dyDescent="0.2">
      <c r="A174" t="s">
        <v>339</v>
      </c>
      <c r="B174" s="1">
        <f t="shared" si="16"/>
        <v>136</v>
      </c>
      <c r="C174" s="1" t="s">
        <v>172</v>
      </c>
      <c r="D174" s="1" t="s">
        <v>173</v>
      </c>
      <c r="E174" s="7">
        <v>21.6</v>
      </c>
      <c r="F174" s="6">
        <v>991</v>
      </c>
    </row>
    <row r="175" spans="1:6" x14ac:dyDescent="0.2">
      <c r="A175" t="s">
        <v>339</v>
      </c>
      <c r="B175" s="1">
        <f t="shared" si="16"/>
        <v>137</v>
      </c>
      <c r="C175" s="1" t="s">
        <v>87</v>
      </c>
      <c r="D175" s="1" t="s">
        <v>88</v>
      </c>
      <c r="E175" s="3">
        <v>12.61</v>
      </c>
      <c r="F175" s="6">
        <v>860</v>
      </c>
    </row>
    <row r="176" spans="1:6" x14ac:dyDescent="0.2">
      <c r="A176" t="s">
        <v>339</v>
      </c>
      <c r="B176" s="1">
        <f t="shared" si="16"/>
        <v>138</v>
      </c>
      <c r="C176" t="s">
        <v>731</v>
      </c>
      <c r="D176" t="s">
        <v>732</v>
      </c>
      <c r="F176" s="6"/>
    </row>
    <row r="177" spans="1:28" x14ac:dyDescent="0.2">
      <c r="B177" s="1">
        <f t="shared" si="16"/>
        <v>139</v>
      </c>
      <c r="C177" s="1" t="s">
        <v>199</v>
      </c>
      <c r="D177" s="1" t="s">
        <v>200</v>
      </c>
      <c r="E177" s="3">
        <v>2.42</v>
      </c>
      <c r="F177" s="6">
        <v>823</v>
      </c>
    </row>
    <row r="178" spans="1:28" x14ac:dyDescent="0.2">
      <c r="A178" t="s">
        <v>339</v>
      </c>
      <c r="B178" s="1">
        <f t="shared" si="16"/>
        <v>140</v>
      </c>
      <c r="C178" t="s">
        <v>729</v>
      </c>
      <c r="D178" t="s">
        <v>730</v>
      </c>
      <c r="F178" s="6"/>
    </row>
    <row r="179" spans="1:28" x14ac:dyDescent="0.2">
      <c r="A179" t="s">
        <v>339</v>
      </c>
      <c r="B179" s="1">
        <f t="shared" si="16"/>
        <v>141</v>
      </c>
      <c r="C179" t="s">
        <v>727</v>
      </c>
      <c r="D179" t="s">
        <v>728</v>
      </c>
      <c r="F179" s="6"/>
    </row>
    <row r="180" spans="1:28" s="25" customFormat="1" x14ac:dyDescent="0.2">
      <c r="B180" s="1">
        <f t="shared" si="16"/>
        <v>142</v>
      </c>
      <c r="C180" s="25" t="s">
        <v>1213</v>
      </c>
      <c r="D180" s="25" t="s">
        <v>1214</v>
      </c>
      <c r="E180" s="48">
        <v>28.76</v>
      </c>
      <c r="F180" s="27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spans="1:28" x14ac:dyDescent="0.2">
      <c r="A181" t="s">
        <v>339</v>
      </c>
      <c r="B181" s="1">
        <f t="shared" si="16"/>
        <v>143</v>
      </c>
      <c r="C181" t="s">
        <v>811</v>
      </c>
      <c r="D181" t="s">
        <v>812</v>
      </c>
      <c r="F181" s="6"/>
    </row>
    <row r="182" spans="1:28" x14ac:dyDescent="0.2">
      <c r="A182" t="s">
        <v>339</v>
      </c>
      <c r="B182" s="1">
        <f t="shared" si="16"/>
        <v>144</v>
      </c>
      <c r="C182" t="s">
        <v>809</v>
      </c>
      <c r="D182" t="s">
        <v>810</v>
      </c>
      <c r="F182" s="6"/>
    </row>
    <row r="183" spans="1:28" x14ac:dyDescent="0.2">
      <c r="A183" t="s">
        <v>339</v>
      </c>
      <c r="B183" s="1">
        <f t="shared" si="16"/>
        <v>145</v>
      </c>
      <c r="C183" t="s">
        <v>807</v>
      </c>
      <c r="D183" t="s">
        <v>808</v>
      </c>
      <c r="F183" s="6"/>
    </row>
    <row r="184" spans="1:28" x14ac:dyDescent="0.2">
      <c r="A184" t="s">
        <v>339</v>
      </c>
      <c r="B184" s="1">
        <f t="shared" si="16"/>
        <v>146</v>
      </c>
      <c r="C184" t="s">
        <v>806</v>
      </c>
      <c r="D184" t="s">
        <v>805</v>
      </c>
      <c r="F184" s="6"/>
    </row>
    <row r="185" spans="1:28" x14ac:dyDescent="0.2">
      <c r="A185" t="s">
        <v>339</v>
      </c>
      <c r="B185" s="1">
        <f t="shared" si="16"/>
        <v>147</v>
      </c>
      <c r="C185" t="s">
        <v>803</v>
      </c>
      <c r="D185" t="s">
        <v>804</v>
      </c>
      <c r="F185" s="6"/>
    </row>
    <row r="186" spans="1:28" x14ac:dyDescent="0.2">
      <c r="A186" t="s">
        <v>339</v>
      </c>
      <c r="B186" s="1">
        <f t="shared" si="16"/>
        <v>148</v>
      </c>
      <c r="C186" t="s">
        <v>784</v>
      </c>
      <c r="D186" t="s">
        <v>785</v>
      </c>
      <c r="F186" s="6"/>
    </row>
    <row r="187" spans="1:28" x14ac:dyDescent="0.2">
      <c r="A187" t="s">
        <v>339</v>
      </c>
      <c r="B187" s="1">
        <f t="shared" si="16"/>
        <v>149</v>
      </c>
      <c r="C187" s="1" t="s">
        <v>197</v>
      </c>
      <c r="D187" s="1" t="s">
        <v>198</v>
      </c>
      <c r="E187" s="7">
        <v>5.7</v>
      </c>
      <c r="F187" s="6">
        <v>821</v>
      </c>
    </row>
    <row r="188" spans="1:28" x14ac:dyDescent="0.2">
      <c r="A188" t="s">
        <v>339</v>
      </c>
      <c r="B188" s="1">
        <f t="shared" si="16"/>
        <v>150</v>
      </c>
      <c r="C188" t="s">
        <v>308</v>
      </c>
      <c r="D188" t="s">
        <v>309</v>
      </c>
      <c r="E188" s="3">
        <v>3.23</v>
      </c>
      <c r="F188" s="6">
        <v>630</v>
      </c>
    </row>
    <row r="189" spans="1:28" x14ac:dyDescent="0.2">
      <c r="A189" t="s">
        <v>339</v>
      </c>
      <c r="B189" s="1">
        <f t="shared" si="16"/>
        <v>151</v>
      </c>
      <c r="C189" t="s">
        <v>717</v>
      </c>
      <c r="D189" t="s">
        <v>718</v>
      </c>
      <c r="F189" s="6"/>
    </row>
    <row r="190" spans="1:28" x14ac:dyDescent="0.2">
      <c r="A190" t="s">
        <v>339</v>
      </c>
      <c r="B190" s="1">
        <f t="shared" si="16"/>
        <v>152</v>
      </c>
      <c r="C190" t="s">
        <v>715</v>
      </c>
      <c r="D190" t="s">
        <v>716</v>
      </c>
      <c r="F190" s="6"/>
    </row>
    <row r="191" spans="1:28" x14ac:dyDescent="0.2">
      <c r="A191" t="s">
        <v>339</v>
      </c>
      <c r="B191" s="1">
        <f t="shared" si="16"/>
        <v>153</v>
      </c>
      <c r="C191" s="1" t="s">
        <v>203</v>
      </c>
      <c r="D191" s="1" t="s">
        <v>204</v>
      </c>
      <c r="E191" s="3">
        <v>4.16</v>
      </c>
      <c r="F191" s="6">
        <v>590</v>
      </c>
    </row>
    <row r="192" spans="1:28" x14ac:dyDescent="0.2">
      <c r="A192" t="s">
        <v>339</v>
      </c>
      <c r="B192" s="1">
        <f t="shared" si="16"/>
        <v>154</v>
      </c>
      <c r="C192" t="s">
        <v>294</v>
      </c>
      <c r="D192" t="s">
        <v>295</v>
      </c>
      <c r="E192" s="3">
        <v>8.4499999999999993</v>
      </c>
      <c r="F192" s="6">
        <f>4406/HKD</f>
        <v>564.87179487179492</v>
      </c>
    </row>
    <row r="193" spans="1:29" x14ac:dyDescent="0.2">
      <c r="A193" t="s">
        <v>339</v>
      </c>
      <c r="B193" s="1">
        <f t="shared" si="16"/>
        <v>155</v>
      </c>
      <c r="C193" t="s">
        <v>738</v>
      </c>
      <c r="D193" t="s">
        <v>739</v>
      </c>
      <c r="F193" s="6"/>
    </row>
    <row r="194" spans="1:29" x14ac:dyDescent="0.2">
      <c r="B194" s="1">
        <f t="shared" si="16"/>
        <v>156</v>
      </c>
      <c r="C194" s="1" t="s">
        <v>144</v>
      </c>
      <c r="D194" s="1" t="s">
        <v>145</v>
      </c>
      <c r="E194" s="3">
        <v>2.37</v>
      </c>
      <c r="F194" s="6"/>
    </row>
    <row r="195" spans="1:29" x14ac:dyDescent="0.2">
      <c r="A195" t="s">
        <v>339</v>
      </c>
      <c r="B195" s="1">
        <f t="shared" si="16"/>
        <v>157</v>
      </c>
      <c r="C195" t="s">
        <v>518</v>
      </c>
      <c r="D195" t="s">
        <v>519</v>
      </c>
      <c r="E195" s="7">
        <v>3.19</v>
      </c>
      <c r="F195" s="6">
        <v>439</v>
      </c>
    </row>
    <row r="196" spans="1:29" x14ac:dyDescent="0.2">
      <c r="A196" t="s">
        <v>339</v>
      </c>
      <c r="B196" s="1">
        <f t="shared" si="16"/>
        <v>158</v>
      </c>
      <c r="C196" s="1" t="s">
        <v>211</v>
      </c>
      <c r="D196" s="1" t="s">
        <v>212</v>
      </c>
      <c r="E196" s="3">
        <v>10.98</v>
      </c>
      <c r="F196" s="6">
        <v>548</v>
      </c>
    </row>
    <row r="197" spans="1:29" x14ac:dyDescent="0.2">
      <c r="A197" s="25" t="s">
        <v>339</v>
      </c>
      <c r="B197" s="1">
        <f t="shared" si="16"/>
        <v>159</v>
      </c>
      <c r="C197" s="44" t="s">
        <v>786</v>
      </c>
      <c r="D197" s="25" t="s">
        <v>787</v>
      </c>
      <c r="E197" s="26">
        <v>28.45</v>
      </c>
      <c r="F197" s="27">
        <f>+E197*J197</f>
        <v>1364.9219226999999</v>
      </c>
      <c r="G197" s="27">
        <f>+[95]Main!$J$5-[95]Main!$J$6</f>
        <v>167.291</v>
      </c>
      <c r="H197" s="27">
        <f t="shared" ref="H197:H203" si="17">+F197-G197</f>
        <v>1197.6309226999999</v>
      </c>
      <c r="I197" s="26" t="s">
        <v>1097</v>
      </c>
      <c r="J197" s="27">
        <f>+[95]Main!$J$3</f>
        <v>47.976165999999999</v>
      </c>
      <c r="K197" s="45">
        <v>45531</v>
      </c>
    </row>
    <row r="198" spans="1:29" x14ac:dyDescent="0.2">
      <c r="A198" t="s">
        <v>339</v>
      </c>
      <c r="B198" s="1">
        <f t="shared" si="16"/>
        <v>160</v>
      </c>
      <c r="C198" s="5" t="s">
        <v>291</v>
      </c>
      <c r="D198" t="s">
        <v>292</v>
      </c>
      <c r="E198" s="3">
        <v>15.65</v>
      </c>
      <c r="F198" s="6">
        <f>E198*[96]Main!$L$3</f>
        <v>1253.1559559500001</v>
      </c>
      <c r="G198" s="6">
        <f>+[96]Main!$L$5-[96]Main!$L$6</f>
        <v>112.015</v>
      </c>
      <c r="H198" s="6">
        <f t="shared" si="17"/>
        <v>1141.14095595</v>
      </c>
      <c r="I198" s="3" t="s">
        <v>16</v>
      </c>
    </row>
    <row r="199" spans="1:29" x14ac:dyDescent="0.2">
      <c r="A199"/>
      <c r="B199" s="1">
        <f t="shared" si="16"/>
        <v>161</v>
      </c>
      <c r="C199" s="5" t="s">
        <v>965</v>
      </c>
      <c r="D199" t="s">
        <v>966</v>
      </c>
      <c r="E199" s="3">
        <v>33.89</v>
      </c>
      <c r="F199" s="6">
        <f>+E199*J199</f>
        <v>1318.30476669</v>
      </c>
      <c r="G199" s="6">
        <f>+[97]Main!$K$5-[97]Main!$K$6</f>
        <v>304.87299999999999</v>
      </c>
      <c r="H199" s="6">
        <f>+F199-G199</f>
        <v>1013.4317666899999</v>
      </c>
      <c r="I199" s="3" t="s">
        <v>1097</v>
      </c>
      <c r="J199" s="6">
        <f>+[97]Main!$K$3</f>
        <v>38.899521</v>
      </c>
      <c r="K199" s="9">
        <v>45558</v>
      </c>
    </row>
    <row r="200" spans="1:29" x14ac:dyDescent="0.2">
      <c r="A200" t="s">
        <v>339</v>
      </c>
      <c r="B200" s="1">
        <f t="shared" si="16"/>
        <v>162</v>
      </c>
      <c r="C200" s="5" t="s">
        <v>227</v>
      </c>
      <c r="D200" s="1" t="s">
        <v>228</v>
      </c>
      <c r="E200" s="3">
        <v>23.75</v>
      </c>
      <c r="F200" s="6">
        <f>+E200*J200</f>
        <v>1355.4004112499999</v>
      </c>
      <c r="G200" s="6">
        <f>+[98]Main!$K$5-[98]Main!$K$6</f>
        <v>449.76100000000002</v>
      </c>
      <c r="H200" s="6">
        <f t="shared" si="17"/>
        <v>905.63941124999997</v>
      </c>
      <c r="I200" s="3" t="s">
        <v>425</v>
      </c>
      <c r="J200" s="6">
        <f>+[98]Main!$K$3</f>
        <v>57.069490999999999</v>
      </c>
      <c r="K200" s="9">
        <v>44947</v>
      </c>
      <c r="AC200" s="1">
        <v>2015</v>
      </c>
    </row>
    <row r="201" spans="1:29" x14ac:dyDescent="0.2">
      <c r="A201" t="s">
        <v>339</v>
      </c>
      <c r="B201" s="1">
        <f t="shared" si="16"/>
        <v>163</v>
      </c>
      <c r="C201" s="5" t="s">
        <v>768</v>
      </c>
      <c r="D201" t="s">
        <v>769</v>
      </c>
      <c r="E201" s="7">
        <v>14.34</v>
      </c>
      <c r="F201" s="6">
        <f>+E201*J201</f>
        <v>1258.48493904</v>
      </c>
      <c r="G201" s="6">
        <f>+[99]Main!$K$5-[99]Main!$K$6</f>
        <v>361.86599999999999</v>
      </c>
      <c r="H201" s="6">
        <f t="shared" si="17"/>
        <v>896.61893903999999</v>
      </c>
      <c r="I201" s="3" t="s">
        <v>1097</v>
      </c>
      <c r="J201" s="6">
        <f>+[99]Main!$K$3</f>
        <v>87.760456000000005</v>
      </c>
      <c r="K201" s="9">
        <v>45555</v>
      </c>
    </row>
    <row r="202" spans="1:29" x14ac:dyDescent="0.2">
      <c r="A202" t="s">
        <v>339</v>
      </c>
      <c r="B202" s="1">
        <f t="shared" si="16"/>
        <v>164</v>
      </c>
      <c r="C202" s="5" t="s">
        <v>302</v>
      </c>
      <c r="D202" t="s">
        <v>303</v>
      </c>
      <c r="E202" s="3">
        <v>11</v>
      </c>
      <c r="F202" s="6">
        <f>+E202*[100]Main!$L$3</f>
        <v>798.23003700000004</v>
      </c>
      <c r="G202" s="6">
        <f>+[100]Main!$L$5-[100]Main!$L$6</f>
        <v>153.25991400000001</v>
      </c>
      <c r="H202" s="6">
        <f t="shared" si="17"/>
        <v>644.97012300000006</v>
      </c>
      <c r="I202" s="3" t="s">
        <v>16</v>
      </c>
      <c r="K202" s="9">
        <v>44771</v>
      </c>
      <c r="L202" s="9"/>
      <c r="M202" s="9"/>
      <c r="N202" s="9"/>
      <c r="O202" s="9"/>
      <c r="P202" s="9"/>
    </row>
    <row r="203" spans="1:29" x14ac:dyDescent="0.2">
      <c r="A203" t="s">
        <v>339</v>
      </c>
      <c r="B203" s="1">
        <f t="shared" si="16"/>
        <v>165</v>
      </c>
      <c r="C203" s="5" t="s">
        <v>195</v>
      </c>
      <c r="D203" s="1" t="s">
        <v>196</v>
      </c>
      <c r="E203" s="3">
        <v>7.36</v>
      </c>
      <c r="F203" s="6">
        <f>+E203*J203</f>
        <v>897.18233664000002</v>
      </c>
      <c r="G203" s="6">
        <f>+[101]Main!$J$5-[101]Main!$J$6</f>
        <v>601.58999999999992</v>
      </c>
      <c r="H203" s="6">
        <f t="shared" si="17"/>
        <v>295.5923366400001</v>
      </c>
      <c r="I203" s="3" t="s">
        <v>16</v>
      </c>
      <c r="J203" s="6">
        <f>+[101]Main!$J$3</f>
        <v>121.89977399999999</v>
      </c>
      <c r="K203" s="9">
        <v>44827</v>
      </c>
    </row>
    <row r="204" spans="1:29" s="25" customFormat="1" x14ac:dyDescent="0.2">
      <c r="A204" s="25" t="s">
        <v>339</v>
      </c>
      <c r="B204" s="1">
        <f t="shared" si="16"/>
        <v>166</v>
      </c>
      <c r="C204" s="25" t="s">
        <v>306</v>
      </c>
      <c r="D204" s="25" t="s">
        <v>307</v>
      </c>
      <c r="E204" s="26">
        <v>12.42</v>
      </c>
      <c r="F204" s="27">
        <v>516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spans="1:29" x14ac:dyDescent="0.2">
      <c r="A205" t="s">
        <v>339</v>
      </c>
      <c r="B205" s="1">
        <f t="shared" si="16"/>
        <v>167</v>
      </c>
      <c r="C205" t="s">
        <v>313</v>
      </c>
      <c r="D205" t="s">
        <v>314</v>
      </c>
      <c r="E205" s="3">
        <v>3.26</v>
      </c>
      <c r="F205" s="6">
        <v>272</v>
      </c>
    </row>
    <row r="206" spans="1:29" x14ac:dyDescent="0.2">
      <c r="A206" t="s">
        <v>339</v>
      </c>
      <c r="B206" s="1">
        <f t="shared" si="16"/>
        <v>168</v>
      </c>
      <c r="C206" s="1" t="s">
        <v>221</v>
      </c>
      <c r="D206" s="1" t="s">
        <v>222</v>
      </c>
      <c r="E206" s="3">
        <v>6.34</v>
      </c>
      <c r="F206" s="3">
        <v>547</v>
      </c>
    </row>
    <row r="207" spans="1:29" x14ac:dyDescent="0.2">
      <c r="A207" t="s">
        <v>339</v>
      </c>
      <c r="B207" s="1">
        <f t="shared" si="16"/>
        <v>169</v>
      </c>
      <c r="C207" s="5" t="s">
        <v>1194</v>
      </c>
      <c r="D207" t="s">
        <v>1195</v>
      </c>
      <c r="E207" s="3">
        <v>9.34</v>
      </c>
      <c r="F207" s="6">
        <f>+E207*J207</f>
        <v>289.28000241999996</v>
      </c>
      <c r="G207" s="6">
        <f>+[102]Main!$J$5-[102]Main!$J$6</f>
        <v>220.43200000000002</v>
      </c>
      <c r="H207" s="6">
        <f>+F207-G207</f>
        <v>68.848002419999943</v>
      </c>
      <c r="I207" s="3" t="s">
        <v>1097</v>
      </c>
      <c r="J207" s="6">
        <f>+[102]Main!$J$3</f>
        <v>30.972162999999998</v>
      </c>
      <c r="K207" s="9">
        <v>45548</v>
      </c>
      <c r="AC207" s="1">
        <v>2018</v>
      </c>
    </row>
    <row r="208" spans="1:29" x14ac:dyDescent="0.2">
      <c r="A208" t="s">
        <v>339</v>
      </c>
      <c r="B208" s="1">
        <f t="shared" si="16"/>
        <v>170</v>
      </c>
      <c r="C208" s="1" t="s">
        <v>223</v>
      </c>
      <c r="D208" s="1" t="s">
        <v>224</v>
      </c>
      <c r="E208" s="7">
        <v>31.39</v>
      </c>
      <c r="F208" s="3">
        <v>1020</v>
      </c>
    </row>
    <row r="209" spans="1:29" x14ac:dyDescent="0.2">
      <c r="A209" t="s">
        <v>339</v>
      </c>
      <c r="B209" s="1">
        <f t="shared" si="16"/>
        <v>171</v>
      </c>
      <c r="C209" t="s">
        <v>774</v>
      </c>
      <c r="D209" t="s">
        <v>775</v>
      </c>
      <c r="E209" s="7"/>
    </row>
    <row r="210" spans="1:29" x14ac:dyDescent="0.2">
      <c r="A210" t="s">
        <v>339</v>
      </c>
      <c r="B210" s="1">
        <f t="shared" si="16"/>
        <v>172</v>
      </c>
      <c r="C210" t="s">
        <v>772</v>
      </c>
      <c r="D210" t="s">
        <v>773</v>
      </c>
      <c r="E210" s="7"/>
    </row>
    <row r="211" spans="1:29" x14ac:dyDescent="0.2">
      <c r="A211"/>
      <c r="B211" s="1">
        <f t="shared" si="16"/>
        <v>173</v>
      </c>
      <c r="C211" s="5" t="s">
        <v>1209</v>
      </c>
      <c r="D211" t="s">
        <v>1210</v>
      </c>
      <c r="E211" s="7">
        <v>1.18</v>
      </c>
      <c r="F211" s="6">
        <f>+E211*J211</f>
        <v>94.614233720000001</v>
      </c>
      <c r="G211" s="6">
        <f>+[103]Main!$L$5-[103]Main!$L$6</f>
        <v>30.146999999999998</v>
      </c>
      <c r="H211" s="6">
        <f>+F211-G211</f>
        <v>64.467233719999996</v>
      </c>
      <c r="I211" s="3" t="s">
        <v>1097</v>
      </c>
      <c r="J211" s="6">
        <f>+[103]Main!$L$3</f>
        <v>80.181554000000006</v>
      </c>
      <c r="K211" s="9">
        <v>45562</v>
      </c>
    </row>
    <row r="212" spans="1:29" x14ac:dyDescent="0.2">
      <c r="A212" t="s">
        <v>339</v>
      </c>
      <c r="B212" s="1">
        <f t="shared" si="16"/>
        <v>174</v>
      </c>
      <c r="C212" t="s">
        <v>770</v>
      </c>
      <c r="D212" t="s">
        <v>771</v>
      </c>
      <c r="E212" s="7"/>
    </row>
    <row r="213" spans="1:29" x14ac:dyDescent="0.2">
      <c r="A213"/>
      <c r="B213" s="1">
        <f t="shared" si="16"/>
        <v>175</v>
      </c>
      <c r="C213" t="s">
        <v>1200</v>
      </c>
      <c r="D213" t="s">
        <v>1201</v>
      </c>
      <c r="E213" s="7">
        <v>5.43</v>
      </c>
    </row>
    <row r="214" spans="1:29" x14ac:dyDescent="0.2">
      <c r="A214" t="s">
        <v>339</v>
      </c>
      <c r="B214" s="1">
        <f t="shared" si="16"/>
        <v>176</v>
      </c>
      <c r="C214" t="s">
        <v>766</v>
      </c>
      <c r="D214" t="s">
        <v>767</v>
      </c>
      <c r="E214" s="7"/>
    </row>
    <row r="215" spans="1:29" x14ac:dyDescent="0.2">
      <c r="B215" s="1">
        <f t="shared" si="16"/>
        <v>177</v>
      </c>
      <c r="C215" t="s">
        <v>764</v>
      </c>
      <c r="D215" t="s">
        <v>765</v>
      </c>
      <c r="E215" s="7"/>
    </row>
    <row r="216" spans="1:29" x14ac:dyDescent="0.2">
      <c r="A216" t="s">
        <v>339</v>
      </c>
      <c r="B216" s="1">
        <f t="shared" si="16"/>
        <v>178</v>
      </c>
      <c r="C216" s="1" t="s">
        <v>225</v>
      </c>
      <c r="D216" s="1" t="s">
        <v>226</v>
      </c>
      <c r="E216" s="7">
        <v>5.9</v>
      </c>
      <c r="F216" s="6">
        <v>508</v>
      </c>
    </row>
    <row r="217" spans="1:29" x14ac:dyDescent="0.2">
      <c r="A217" t="s">
        <v>339</v>
      </c>
      <c r="B217" s="1">
        <f t="shared" si="16"/>
        <v>179</v>
      </c>
      <c r="C217" s="1" t="s">
        <v>229</v>
      </c>
      <c r="D217" s="1" t="s">
        <v>230</v>
      </c>
      <c r="E217" s="3">
        <v>10.31</v>
      </c>
      <c r="F217" s="6">
        <v>1240</v>
      </c>
    </row>
    <row r="218" spans="1:29" x14ac:dyDescent="0.2">
      <c r="A218" t="s">
        <v>339</v>
      </c>
      <c r="B218" s="1">
        <f t="shared" si="16"/>
        <v>180</v>
      </c>
      <c r="C218" t="s">
        <v>798</v>
      </c>
      <c r="D218" t="s">
        <v>799</v>
      </c>
      <c r="F218" s="6"/>
    </row>
    <row r="219" spans="1:29" x14ac:dyDescent="0.2">
      <c r="A219" t="s">
        <v>339</v>
      </c>
      <c r="B219" s="1">
        <f t="shared" si="16"/>
        <v>181</v>
      </c>
      <c r="C219" t="s">
        <v>725</v>
      </c>
      <c r="D219" t="s">
        <v>726</v>
      </c>
      <c r="F219" s="6"/>
    </row>
    <row r="220" spans="1:29" x14ac:dyDescent="0.2">
      <c r="A220" t="s">
        <v>339</v>
      </c>
      <c r="B220" s="1">
        <f t="shared" si="16"/>
        <v>182</v>
      </c>
      <c r="C220" t="s">
        <v>721</v>
      </c>
      <c r="D220" t="s">
        <v>722</v>
      </c>
    </row>
    <row r="221" spans="1:29" x14ac:dyDescent="0.2">
      <c r="A221" t="s">
        <v>339</v>
      </c>
      <c r="B221" s="1">
        <f t="shared" si="16"/>
        <v>183</v>
      </c>
      <c r="C221" s="1" t="s">
        <v>231</v>
      </c>
      <c r="D221" s="1" t="s">
        <v>232</v>
      </c>
      <c r="E221" s="7">
        <v>1.3</v>
      </c>
      <c r="F221" s="3">
        <v>107</v>
      </c>
    </row>
    <row r="222" spans="1:29" x14ac:dyDescent="0.2">
      <c r="A222" t="s">
        <v>339</v>
      </c>
      <c r="B222" s="1">
        <f t="shared" ref="B222:B285" si="18">+B221+1</f>
        <v>184</v>
      </c>
      <c r="C222" s="1" t="s">
        <v>233</v>
      </c>
      <c r="D222" s="1" t="s">
        <v>234</v>
      </c>
      <c r="E222" s="3">
        <v>3.35</v>
      </c>
      <c r="F222" s="3">
        <v>457</v>
      </c>
    </row>
    <row r="223" spans="1:29" x14ac:dyDescent="0.2">
      <c r="A223" t="s">
        <v>339</v>
      </c>
      <c r="B223" s="1">
        <f t="shared" si="18"/>
        <v>185</v>
      </c>
      <c r="C223" s="5" t="s">
        <v>235</v>
      </c>
      <c r="D223" s="1" t="s">
        <v>236</v>
      </c>
      <c r="E223" s="3">
        <v>7.06</v>
      </c>
      <c r="F223" s="6">
        <f>E223*[104]Main!$J$3</f>
        <v>725.62786605999997</v>
      </c>
      <c r="G223" s="6">
        <f>[104]Main!$J$5-[104]Main!$J$6</f>
        <v>197.79600000000002</v>
      </c>
      <c r="H223" s="8">
        <f>+F223-G223</f>
        <v>527.83186605999992</v>
      </c>
      <c r="I223" s="3" t="s">
        <v>16</v>
      </c>
    </row>
    <row r="224" spans="1:29" x14ac:dyDescent="0.2">
      <c r="A224" t="s">
        <v>339</v>
      </c>
      <c r="B224" s="1">
        <f t="shared" si="18"/>
        <v>186</v>
      </c>
      <c r="C224" s="5" t="s">
        <v>356</v>
      </c>
      <c r="D224" s="1" t="s">
        <v>357</v>
      </c>
      <c r="E224" s="7">
        <v>0.6</v>
      </c>
      <c r="F224" s="6">
        <f>+E224*J224</f>
        <v>486.43225439999998</v>
      </c>
      <c r="G224" s="6">
        <f>+[105]Main!$K$5-[105]Main!$K$6</f>
        <v>-37.984000000000002</v>
      </c>
      <c r="H224" s="8">
        <f t="shared" ref="H224" si="19">+F224-G224</f>
        <v>524.41625439999996</v>
      </c>
      <c r="I224" s="3" t="s">
        <v>305</v>
      </c>
      <c r="J224" s="6">
        <f>+[105]Main!$K$3</f>
        <v>810.72042399999998</v>
      </c>
      <c r="K224" s="9">
        <v>44816</v>
      </c>
      <c r="AC224" s="1">
        <v>2002</v>
      </c>
    </row>
    <row r="225" spans="1:29" x14ac:dyDescent="0.2">
      <c r="A225" t="s">
        <v>339</v>
      </c>
      <c r="B225" s="1">
        <f t="shared" si="18"/>
        <v>187</v>
      </c>
      <c r="C225" s="5" t="s">
        <v>237</v>
      </c>
      <c r="D225" s="1" t="s">
        <v>238</v>
      </c>
      <c r="E225" s="3">
        <v>14.68</v>
      </c>
      <c r="F225" s="6">
        <f>E225*[106]Main!$L$3</f>
        <v>587.26396075999992</v>
      </c>
      <c r="G225" s="6">
        <f>[106]Main!$L$5-[106]Main!$L$6</f>
        <v>277.88299999999998</v>
      </c>
      <c r="H225" s="8">
        <f>+F225-G225</f>
        <v>309.38096075999994</v>
      </c>
      <c r="I225" s="3" t="s">
        <v>16</v>
      </c>
    </row>
    <row r="226" spans="1:29" x14ac:dyDescent="0.2">
      <c r="A226" t="s">
        <v>339</v>
      </c>
      <c r="B226" s="1">
        <f t="shared" si="18"/>
        <v>188</v>
      </c>
      <c r="C226" s="5" t="s">
        <v>239</v>
      </c>
      <c r="D226" s="1" t="s">
        <v>240</v>
      </c>
      <c r="E226" s="3">
        <v>4.8600000000000003</v>
      </c>
      <c r="F226" s="6">
        <f>E226*[107]Main!$J$3</f>
        <v>312.71415336000001</v>
      </c>
      <c r="G226" s="8">
        <f>+[107]Main!$J$5-[107]Main!$J$6</f>
        <v>92.317999999999998</v>
      </c>
      <c r="H226" s="8">
        <f>+F226-G226</f>
        <v>220.39615336000003</v>
      </c>
      <c r="I226" s="3" t="s">
        <v>16</v>
      </c>
    </row>
    <row r="227" spans="1:29" x14ac:dyDescent="0.2">
      <c r="A227" t="s">
        <v>339</v>
      </c>
      <c r="B227" s="1">
        <f t="shared" si="18"/>
        <v>189</v>
      </c>
      <c r="C227" s="5" t="s">
        <v>241</v>
      </c>
      <c r="D227" s="1" t="s">
        <v>242</v>
      </c>
      <c r="E227" s="3">
        <v>7.57</v>
      </c>
      <c r="F227" s="6">
        <f>E227*[108]Main!$M$3</f>
        <v>338.45983246000003</v>
      </c>
      <c r="G227" s="6">
        <f>[108]Main!$M$5-[108]Main!$M$6</f>
        <v>120.43700000000001</v>
      </c>
      <c r="H227" s="8">
        <f t="shared" ref="H227:H233" si="20">+F227-G227</f>
        <v>218.02283246000002</v>
      </c>
      <c r="I227" s="3" t="s">
        <v>16</v>
      </c>
    </row>
    <row r="228" spans="1:29" x14ac:dyDescent="0.2">
      <c r="B228" s="1">
        <f t="shared" si="18"/>
        <v>190</v>
      </c>
      <c r="C228" s="5" t="s">
        <v>243</v>
      </c>
      <c r="D228" s="1" t="s">
        <v>244</v>
      </c>
      <c r="E228" s="7">
        <v>0.7</v>
      </c>
      <c r="F228" s="6">
        <f>E228*[109]Main!$M$3</f>
        <v>128.9392503</v>
      </c>
      <c r="G228" s="6">
        <f>[109]Main!$M$5-[109]Main!$M$6</f>
        <v>-59.50200000000001</v>
      </c>
      <c r="H228" s="8">
        <f t="shared" si="20"/>
        <v>188.44125030000001</v>
      </c>
      <c r="I228" s="3" t="s">
        <v>16</v>
      </c>
    </row>
    <row r="229" spans="1:29" x14ac:dyDescent="0.2">
      <c r="A229" t="s">
        <v>339</v>
      </c>
      <c r="B229" s="1">
        <f t="shared" si="18"/>
        <v>191</v>
      </c>
      <c r="C229" s="5" t="s">
        <v>326</v>
      </c>
      <c r="D229" t="s">
        <v>327</v>
      </c>
      <c r="E229" s="3">
        <v>3.23</v>
      </c>
      <c r="F229" s="6">
        <f>+E229*J229</f>
        <v>30.407559149999997</v>
      </c>
      <c r="G229" s="6">
        <f>+[110]Main!$N$5-[110]Main!$N$6</f>
        <v>-7.4640000000000004</v>
      </c>
      <c r="H229" s="6">
        <f>+F229-G229</f>
        <v>37.871559149999996</v>
      </c>
      <c r="I229" s="3" t="s">
        <v>305</v>
      </c>
      <c r="J229" s="6">
        <f>+[110]Main!$N$3</f>
        <v>9.4141049999999993</v>
      </c>
      <c r="K229" s="9">
        <v>44780</v>
      </c>
    </row>
    <row r="230" spans="1:29" x14ac:dyDescent="0.2">
      <c r="A230" t="s">
        <v>339</v>
      </c>
      <c r="B230" s="1">
        <f t="shared" si="18"/>
        <v>192</v>
      </c>
      <c r="C230" s="5" t="s">
        <v>245</v>
      </c>
      <c r="D230" s="1" t="s">
        <v>246</v>
      </c>
      <c r="E230" s="3">
        <v>1.98</v>
      </c>
      <c r="F230" s="6">
        <f>E230*[111]Main!$N$3</f>
        <v>39.757463459999997</v>
      </c>
      <c r="G230" s="6">
        <f>[111]Main!$N$5-[111]Main!$N$6</f>
        <v>15.942</v>
      </c>
      <c r="H230" s="8">
        <f t="shared" si="20"/>
        <v>23.815463459999997</v>
      </c>
      <c r="I230" s="3" t="s">
        <v>16</v>
      </c>
    </row>
    <row r="231" spans="1:29" x14ac:dyDescent="0.2">
      <c r="B231" s="1">
        <f t="shared" si="18"/>
        <v>193</v>
      </c>
      <c r="C231" s="5" t="s">
        <v>247</v>
      </c>
      <c r="D231" s="1" t="s">
        <v>248</v>
      </c>
      <c r="E231" s="3">
        <v>0.62</v>
      </c>
      <c r="F231" s="6">
        <f>E231*[112]Main!$L$3</f>
        <v>30.1881658</v>
      </c>
      <c r="G231" s="6">
        <f>[112]Main!$L$5-[112]Main!$L$6</f>
        <v>13.262999999999998</v>
      </c>
      <c r="H231" s="8">
        <f t="shared" si="20"/>
        <v>16.925165800000002</v>
      </c>
      <c r="I231" s="3" t="s">
        <v>16</v>
      </c>
    </row>
    <row r="232" spans="1:29" x14ac:dyDescent="0.2">
      <c r="B232" s="1">
        <f t="shared" si="18"/>
        <v>194</v>
      </c>
      <c r="C232" s="5" t="s">
        <v>249</v>
      </c>
      <c r="D232" s="1" t="s">
        <v>250</v>
      </c>
      <c r="E232" s="3">
        <v>6.12</v>
      </c>
      <c r="F232" s="6">
        <f>E232*[113]Main!$M$3</f>
        <v>125.46108324000001</v>
      </c>
      <c r="G232" s="6">
        <f>[113]Main!$M$5-[113]Main!$M$6</f>
        <v>131.17699999999999</v>
      </c>
      <c r="H232" s="8">
        <f t="shared" si="20"/>
        <v>-5.7159167599999847</v>
      </c>
      <c r="I232" s="3" t="s">
        <v>16</v>
      </c>
    </row>
    <row r="233" spans="1:29" x14ac:dyDescent="0.2">
      <c r="B233" s="1">
        <f t="shared" si="18"/>
        <v>195</v>
      </c>
      <c r="C233" s="5" t="s">
        <v>251</v>
      </c>
      <c r="D233" s="1" t="s">
        <v>252</v>
      </c>
      <c r="E233" s="3">
        <v>0.98</v>
      </c>
      <c r="F233" s="6">
        <f>E233*[114]Main!$M$3</f>
        <v>20.935517539999999</v>
      </c>
      <c r="G233" s="6">
        <f>[114]Main!$M$5-[114]Main!$M$6</f>
        <v>55.28</v>
      </c>
      <c r="H233" s="8">
        <f t="shared" si="20"/>
        <v>-34.344482460000002</v>
      </c>
      <c r="I233" s="3" t="s">
        <v>16</v>
      </c>
    </row>
    <row r="234" spans="1:29" x14ac:dyDescent="0.2">
      <c r="B234" s="1">
        <f t="shared" si="18"/>
        <v>196</v>
      </c>
      <c r="C234" s="5" t="s">
        <v>554</v>
      </c>
      <c r="D234" t="s">
        <v>555</v>
      </c>
      <c r="E234" s="3">
        <v>0.94</v>
      </c>
      <c r="F234" s="6">
        <f>+E234*J234</f>
        <v>56.676359999999995</v>
      </c>
      <c r="G234" s="6">
        <f>+[115]Main!$K$5-[115]Main!$K$6</f>
        <v>136.64599999999999</v>
      </c>
      <c r="H234" s="6">
        <f>+F234-G234</f>
        <v>-79.969639999999998</v>
      </c>
      <c r="I234" s="3" t="s">
        <v>1097</v>
      </c>
      <c r="J234" s="6">
        <f>+[115]Main!$K$3</f>
        <v>60.293999999999997</v>
      </c>
      <c r="K234" s="9">
        <v>45550</v>
      </c>
      <c r="AC234" s="1">
        <v>2017</v>
      </c>
    </row>
    <row r="235" spans="1:29" x14ac:dyDescent="0.2">
      <c r="B235" s="1">
        <f t="shared" si="18"/>
        <v>197</v>
      </c>
      <c r="C235" s="1" t="s">
        <v>253</v>
      </c>
      <c r="D235" s="1" t="s">
        <v>254</v>
      </c>
      <c r="E235" s="3">
        <v>0.61</v>
      </c>
    </row>
    <row r="236" spans="1:29" x14ac:dyDescent="0.2">
      <c r="B236" s="1">
        <f t="shared" si="18"/>
        <v>198</v>
      </c>
      <c r="C236" s="1" t="s">
        <v>1007</v>
      </c>
      <c r="D236" t="s">
        <v>1008</v>
      </c>
    </row>
    <row r="237" spans="1:29" x14ac:dyDescent="0.2">
      <c r="B237" s="1">
        <f t="shared" si="18"/>
        <v>199</v>
      </c>
      <c r="C237" s="1" t="s">
        <v>255</v>
      </c>
      <c r="D237" s="1" t="s">
        <v>256</v>
      </c>
      <c r="E237" s="3">
        <v>5.55</v>
      </c>
    </row>
    <row r="238" spans="1:29" x14ac:dyDescent="0.2">
      <c r="B238" s="1">
        <f t="shared" si="18"/>
        <v>200</v>
      </c>
      <c r="C238" t="s">
        <v>1009</v>
      </c>
      <c r="D238" t="s">
        <v>1010</v>
      </c>
    </row>
    <row r="239" spans="1:29" x14ac:dyDescent="0.2">
      <c r="B239" s="1">
        <f t="shared" si="18"/>
        <v>201</v>
      </c>
      <c r="C239" s="1" t="s">
        <v>353</v>
      </c>
      <c r="D239" t="s">
        <v>354</v>
      </c>
      <c r="E239" s="7">
        <v>4.2</v>
      </c>
    </row>
    <row r="240" spans="1:29" x14ac:dyDescent="0.2">
      <c r="B240" s="1">
        <f t="shared" si="18"/>
        <v>202</v>
      </c>
      <c r="C240" s="1" t="s">
        <v>337</v>
      </c>
      <c r="D240" t="s">
        <v>338</v>
      </c>
      <c r="E240" s="7">
        <v>4</v>
      </c>
    </row>
    <row r="241" spans="1:6" x14ac:dyDescent="0.2">
      <c r="B241" s="1">
        <f t="shared" si="18"/>
        <v>203</v>
      </c>
      <c r="C241" t="s">
        <v>341</v>
      </c>
      <c r="D241" t="s">
        <v>342</v>
      </c>
      <c r="E241" s="3">
        <v>20.18</v>
      </c>
    </row>
    <row r="242" spans="1:6" x14ac:dyDescent="0.2">
      <c r="B242" s="1">
        <f t="shared" si="18"/>
        <v>204</v>
      </c>
      <c r="C242" s="1" t="s">
        <v>384</v>
      </c>
      <c r="D242" s="1" t="s">
        <v>385</v>
      </c>
      <c r="E242" s="3">
        <v>25.85</v>
      </c>
    </row>
    <row r="243" spans="1:6" x14ac:dyDescent="0.2">
      <c r="B243" s="1">
        <f t="shared" si="18"/>
        <v>205</v>
      </c>
      <c r="C243" t="s">
        <v>390</v>
      </c>
      <c r="D243" t="s">
        <v>391</v>
      </c>
      <c r="E243" s="3">
        <v>9.26</v>
      </c>
      <c r="F243" s="3">
        <v>204</v>
      </c>
    </row>
    <row r="244" spans="1:6" x14ac:dyDescent="0.2">
      <c r="B244" s="1">
        <f t="shared" si="18"/>
        <v>206</v>
      </c>
      <c r="C244" t="s">
        <v>435</v>
      </c>
      <c r="D244" t="s">
        <v>434</v>
      </c>
    </row>
    <row r="245" spans="1:6" x14ac:dyDescent="0.2">
      <c r="B245" s="1">
        <f t="shared" si="18"/>
        <v>207</v>
      </c>
      <c r="C245" t="s">
        <v>436</v>
      </c>
      <c r="D245" t="s">
        <v>437</v>
      </c>
    </row>
    <row r="246" spans="1:6" x14ac:dyDescent="0.2">
      <c r="B246" s="1">
        <f t="shared" si="18"/>
        <v>208</v>
      </c>
      <c r="C246" s="1" t="s">
        <v>400</v>
      </c>
      <c r="D246" s="1" t="s">
        <v>401</v>
      </c>
    </row>
    <row r="247" spans="1:6" x14ac:dyDescent="0.2">
      <c r="B247" s="1">
        <f t="shared" si="18"/>
        <v>209</v>
      </c>
      <c r="C247" t="s">
        <v>752</v>
      </c>
      <c r="D247" t="s">
        <v>753</v>
      </c>
    </row>
    <row r="248" spans="1:6" x14ac:dyDescent="0.2">
      <c r="B248" s="1">
        <f t="shared" si="18"/>
        <v>210</v>
      </c>
      <c r="C248" t="s">
        <v>756</v>
      </c>
      <c r="D248" t="s">
        <v>757</v>
      </c>
    </row>
    <row r="249" spans="1:6" x14ac:dyDescent="0.2">
      <c r="B249" s="1">
        <f t="shared" si="18"/>
        <v>211</v>
      </c>
      <c r="C249" t="s">
        <v>760</v>
      </c>
      <c r="D249" t="s">
        <v>761</v>
      </c>
    </row>
    <row r="250" spans="1:6" x14ac:dyDescent="0.2">
      <c r="A250"/>
      <c r="B250" s="1">
        <f t="shared" si="18"/>
        <v>212</v>
      </c>
      <c r="C250" t="s">
        <v>762</v>
      </c>
      <c r="D250" t="s">
        <v>763</v>
      </c>
    </row>
    <row r="251" spans="1:6" x14ac:dyDescent="0.2">
      <c r="B251" s="1">
        <f t="shared" si="18"/>
        <v>213</v>
      </c>
      <c r="C251" t="s">
        <v>758</v>
      </c>
      <c r="D251" t="s">
        <v>759</v>
      </c>
    </row>
    <row r="252" spans="1:6" x14ac:dyDescent="0.2">
      <c r="B252" s="1">
        <f t="shared" si="18"/>
        <v>214</v>
      </c>
      <c r="C252" t="s">
        <v>754</v>
      </c>
      <c r="D252" t="s">
        <v>755</v>
      </c>
    </row>
    <row r="253" spans="1:6" x14ac:dyDescent="0.2">
      <c r="B253" s="1">
        <f t="shared" si="18"/>
        <v>215</v>
      </c>
      <c r="C253" t="s">
        <v>750</v>
      </c>
      <c r="D253" t="s">
        <v>751</v>
      </c>
    </row>
    <row r="254" spans="1:6" x14ac:dyDescent="0.2">
      <c r="B254" s="1">
        <f t="shared" si="18"/>
        <v>216</v>
      </c>
      <c r="C254" t="s">
        <v>429</v>
      </c>
      <c r="D254" t="s">
        <v>430</v>
      </c>
      <c r="E254" s="3">
        <v>20.32</v>
      </c>
    </row>
    <row r="255" spans="1:6" x14ac:dyDescent="0.2">
      <c r="B255" s="1">
        <f t="shared" si="18"/>
        <v>217</v>
      </c>
      <c r="C255" s="1" t="s">
        <v>506</v>
      </c>
      <c r="D255" s="1" t="s">
        <v>507</v>
      </c>
    </row>
    <row r="256" spans="1:6" x14ac:dyDescent="0.2">
      <c r="B256" s="1">
        <f t="shared" si="18"/>
        <v>218</v>
      </c>
      <c r="C256" t="s">
        <v>512</v>
      </c>
      <c r="D256" t="s">
        <v>513</v>
      </c>
    </row>
    <row r="257" spans="1:5" x14ac:dyDescent="0.2">
      <c r="B257" s="1">
        <f t="shared" si="18"/>
        <v>219</v>
      </c>
      <c r="C257" t="s">
        <v>742</v>
      </c>
      <c r="D257" t="s">
        <v>743</v>
      </c>
    </row>
    <row r="258" spans="1:5" x14ac:dyDescent="0.2">
      <c r="B258" s="1">
        <f t="shared" si="18"/>
        <v>220</v>
      </c>
      <c r="C258" t="s">
        <v>744</v>
      </c>
      <c r="D258" t="s">
        <v>745</v>
      </c>
    </row>
    <row r="259" spans="1:5" x14ac:dyDescent="0.2">
      <c r="B259" s="1">
        <f t="shared" si="18"/>
        <v>221</v>
      </c>
      <c r="C259" t="s">
        <v>740</v>
      </c>
      <c r="D259" t="s">
        <v>741</v>
      </c>
    </row>
    <row r="260" spans="1:5" x14ac:dyDescent="0.2">
      <c r="B260" s="1">
        <f t="shared" si="18"/>
        <v>222</v>
      </c>
      <c r="C260" s="1" t="s">
        <v>523</v>
      </c>
      <c r="D260" s="1" t="s">
        <v>524</v>
      </c>
    </row>
    <row r="261" spans="1:5" x14ac:dyDescent="0.2">
      <c r="B261" s="1">
        <f t="shared" si="18"/>
        <v>223</v>
      </c>
      <c r="C261" t="s">
        <v>528</v>
      </c>
      <c r="D261" t="s">
        <v>529</v>
      </c>
    </row>
    <row r="262" spans="1:5" x14ac:dyDescent="0.2">
      <c r="B262" s="1">
        <f t="shared" si="18"/>
        <v>224</v>
      </c>
      <c r="C262" s="1" t="s">
        <v>532</v>
      </c>
      <c r="D262" s="1" t="s">
        <v>533</v>
      </c>
      <c r="E262" s="3">
        <v>7.08</v>
      </c>
    </row>
    <row r="263" spans="1:5" x14ac:dyDescent="0.2">
      <c r="B263" s="1">
        <f t="shared" si="18"/>
        <v>225</v>
      </c>
      <c r="C263" t="s">
        <v>535</v>
      </c>
      <c r="D263" t="s">
        <v>534</v>
      </c>
      <c r="E263" s="7">
        <v>20.3</v>
      </c>
    </row>
    <row r="264" spans="1:5" x14ac:dyDescent="0.2">
      <c r="B264" s="1">
        <f t="shared" si="18"/>
        <v>226</v>
      </c>
      <c r="C264" t="s">
        <v>536</v>
      </c>
      <c r="D264" t="s">
        <v>537</v>
      </c>
      <c r="E264" s="3">
        <v>0.38</v>
      </c>
    </row>
    <row r="265" spans="1:5" x14ac:dyDescent="0.2">
      <c r="B265" s="1">
        <f t="shared" si="18"/>
        <v>227</v>
      </c>
      <c r="C265" t="s">
        <v>538</v>
      </c>
      <c r="D265" t="s">
        <v>539</v>
      </c>
      <c r="E265" s="3">
        <v>4.24</v>
      </c>
    </row>
    <row r="266" spans="1:5" x14ac:dyDescent="0.2">
      <c r="A266" s="1" t="s">
        <v>339</v>
      </c>
      <c r="B266" s="1">
        <f t="shared" si="18"/>
        <v>228</v>
      </c>
      <c r="C266" t="s">
        <v>540</v>
      </c>
      <c r="D266" t="s">
        <v>541</v>
      </c>
      <c r="E266" s="3">
        <v>13.74</v>
      </c>
    </row>
    <row r="267" spans="1:5" x14ac:dyDescent="0.2">
      <c r="B267" s="1">
        <f t="shared" si="18"/>
        <v>229</v>
      </c>
      <c r="C267" t="s">
        <v>542</v>
      </c>
      <c r="D267" t="s">
        <v>543</v>
      </c>
      <c r="E267" s="3">
        <v>4.3600000000000003</v>
      </c>
    </row>
    <row r="268" spans="1:5" x14ac:dyDescent="0.2">
      <c r="B268" s="1">
        <f t="shared" si="18"/>
        <v>230</v>
      </c>
      <c r="C268" t="s">
        <v>544</v>
      </c>
      <c r="D268" t="s">
        <v>545</v>
      </c>
      <c r="E268" s="3">
        <v>7.06</v>
      </c>
    </row>
    <row r="269" spans="1:5" x14ac:dyDescent="0.2">
      <c r="B269" s="1">
        <f t="shared" si="18"/>
        <v>231</v>
      </c>
      <c r="C269" t="s">
        <v>800</v>
      </c>
      <c r="D269" t="s">
        <v>801</v>
      </c>
    </row>
    <row r="270" spans="1:5" x14ac:dyDescent="0.2">
      <c r="A270" s="1" t="s">
        <v>339</v>
      </c>
      <c r="B270" s="1">
        <f t="shared" si="18"/>
        <v>232</v>
      </c>
      <c r="C270" t="s">
        <v>546</v>
      </c>
      <c r="D270" t="s">
        <v>547</v>
      </c>
      <c r="E270" s="3">
        <v>1.04</v>
      </c>
    </row>
    <row r="271" spans="1:5" x14ac:dyDescent="0.2">
      <c r="B271" s="1">
        <f t="shared" si="18"/>
        <v>233</v>
      </c>
      <c r="C271" s="34" t="s">
        <v>548</v>
      </c>
      <c r="D271" s="34" t="s">
        <v>549</v>
      </c>
    </row>
    <row r="272" spans="1:5" x14ac:dyDescent="0.2">
      <c r="B272" s="1">
        <f t="shared" si="18"/>
        <v>234</v>
      </c>
      <c r="C272" t="s">
        <v>550</v>
      </c>
      <c r="D272" t="s">
        <v>551</v>
      </c>
      <c r="E272" s="3">
        <v>2.97</v>
      </c>
    </row>
    <row r="273" spans="2:5" x14ac:dyDescent="0.2">
      <c r="B273" s="1">
        <f t="shared" si="18"/>
        <v>235</v>
      </c>
      <c r="C273" t="s">
        <v>552</v>
      </c>
      <c r="D273" t="s">
        <v>553</v>
      </c>
      <c r="E273" s="3">
        <v>3.28</v>
      </c>
    </row>
    <row r="274" spans="2:5" x14ac:dyDescent="0.2">
      <c r="B274" s="1">
        <f t="shared" si="18"/>
        <v>236</v>
      </c>
      <c r="C274" t="s">
        <v>556</v>
      </c>
      <c r="D274" t="s">
        <v>557</v>
      </c>
    </row>
    <row r="275" spans="2:5" x14ac:dyDescent="0.2">
      <c r="B275" s="1">
        <f t="shared" si="18"/>
        <v>237</v>
      </c>
      <c r="C275" t="s">
        <v>558</v>
      </c>
      <c r="D275" t="s">
        <v>559</v>
      </c>
      <c r="E275" s="3">
        <v>18.07</v>
      </c>
    </row>
    <row r="276" spans="2:5" x14ac:dyDescent="0.2">
      <c r="B276" s="1">
        <f t="shared" si="18"/>
        <v>238</v>
      </c>
      <c r="C276" t="s">
        <v>560</v>
      </c>
      <c r="D276" t="s">
        <v>561</v>
      </c>
      <c r="E276" s="3">
        <v>2.68</v>
      </c>
    </row>
    <row r="277" spans="2:5" x14ac:dyDescent="0.2">
      <c r="B277" s="1">
        <f t="shared" si="18"/>
        <v>239</v>
      </c>
      <c r="C277" t="s">
        <v>562</v>
      </c>
      <c r="D277" t="s">
        <v>563</v>
      </c>
      <c r="E277" s="7">
        <v>7</v>
      </c>
    </row>
    <row r="278" spans="2:5" x14ac:dyDescent="0.2">
      <c r="B278" s="1">
        <f t="shared" si="18"/>
        <v>240</v>
      </c>
      <c r="C278" t="s">
        <v>564</v>
      </c>
      <c r="D278" t="s">
        <v>565</v>
      </c>
      <c r="E278" s="3">
        <v>1.76</v>
      </c>
    </row>
    <row r="279" spans="2:5" x14ac:dyDescent="0.2">
      <c r="B279" s="1">
        <f t="shared" si="18"/>
        <v>241</v>
      </c>
      <c r="C279" t="s">
        <v>1005</v>
      </c>
      <c r="D279" t="s">
        <v>1006</v>
      </c>
    </row>
    <row r="280" spans="2:5" x14ac:dyDescent="0.2">
      <c r="B280" s="1">
        <f t="shared" si="18"/>
        <v>242</v>
      </c>
      <c r="C280" t="s">
        <v>566</v>
      </c>
      <c r="D280" t="s">
        <v>567</v>
      </c>
      <c r="E280" s="3">
        <v>0.61</v>
      </c>
    </row>
    <row r="281" spans="2:5" x14ac:dyDescent="0.2">
      <c r="B281" s="1">
        <f t="shared" si="18"/>
        <v>243</v>
      </c>
      <c r="C281" t="s">
        <v>568</v>
      </c>
      <c r="D281" t="s">
        <v>569</v>
      </c>
      <c r="E281" s="3">
        <v>0.68</v>
      </c>
    </row>
    <row r="282" spans="2:5" x14ac:dyDescent="0.2">
      <c r="B282" s="1">
        <f t="shared" si="18"/>
        <v>244</v>
      </c>
      <c r="C282" t="s">
        <v>570</v>
      </c>
      <c r="D282" t="s">
        <v>571</v>
      </c>
      <c r="E282" s="3">
        <v>11.86</v>
      </c>
    </row>
    <row r="283" spans="2:5" x14ac:dyDescent="0.2">
      <c r="B283" s="1">
        <f t="shared" si="18"/>
        <v>245</v>
      </c>
      <c r="C283" t="s">
        <v>572</v>
      </c>
      <c r="D283" t="s">
        <v>573</v>
      </c>
      <c r="E283" s="3">
        <v>1.86</v>
      </c>
    </row>
    <row r="284" spans="2:5" x14ac:dyDescent="0.2">
      <c r="B284" s="1">
        <f t="shared" si="18"/>
        <v>246</v>
      </c>
      <c r="C284" t="s">
        <v>574</v>
      </c>
      <c r="D284" t="s">
        <v>575</v>
      </c>
      <c r="E284" s="3">
        <v>1.87</v>
      </c>
    </row>
    <row r="285" spans="2:5" x14ac:dyDescent="0.2">
      <c r="B285" s="1">
        <f t="shared" si="18"/>
        <v>247</v>
      </c>
      <c r="C285" s="34" t="s">
        <v>576</v>
      </c>
      <c r="D285" s="34" t="s">
        <v>577</v>
      </c>
      <c r="E285"/>
    </row>
    <row r="286" spans="2:5" x14ac:dyDescent="0.2">
      <c r="B286" s="1">
        <f t="shared" ref="B286:B348" si="21">+B285+1</f>
        <v>248</v>
      </c>
      <c r="C286" t="s">
        <v>579</v>
      </c>
      <c r="D286" t="s">
        <v>578</v>
      </c>
      <c r="E286" s="3">
        <v>7.46</v>
      </c>
    </row>
    <row r="287" spans="2:5" x14ac:dyDescent="0.2">
      <c r="B287" s="1">
        <f t="shared" si="21"/>
        <v>249</v>
      </c>
      <c r="C287" t="s">
        <v>815</v>
      </c>
      <c r="D287" t="s">
        <v>816</v>
      </c>
    </row>
    <row r="288" spans="2:5" x14ac:dyDescent="0.2">
      <c r="B288" s="1">
        <f t="shared" si="21"/>
        <v>250</v>
      </c>
      <c r="C288" t="s">
        <v>813</v>
      </c>
      <c r="D288" t="s">
        <v>814</v>
      </c>
    </row>
    <row r="289" spans="1:29" x14ac:dyDescent="0.2">
      <c r="B289" s="1">
        <f t="shared" si="21"/>
        <v>251</v>
      </c>
      <c r="C289" t="s">
        <v>580</v>
      </c>
      <c r="D289" t="s">
        <v>581</v>
      </c>
      <c r="E289" s="3">
        <v>2.77</v>
      </c>
    </row>
    <row r="290" spans="1:29" x14ac:dyDescent="0.2">
      <c r="B290" s="1">
        <f t="shared" si="21"/>
        <v>252</v>
      </c>
      <c r="C290" t="s">
        <v>353</v>
      </c>
      <c r="D290" t="s">
        <v>354</v>
      </c>
      <c r="E290" s="3">
        <v>2.67</v>
      </c>
    </row>
    <row r="291" spans="1:29" x14ac:dyDescent="0.2">
      <c r="A291" s="1" t="s">
        <v>339</v>
      </c>
      <c r="B291" s="1">
        <f t="shared" si="21"/>
        <v>253</v>
      </c>
      <c r="C291" t="s">
        <v>993</v>
      </c>
      <c r="D291" t="s">
        <v>994</v>
      </c>
    </row>
    <row r="292" spans="1:29" x14ac:dyDescent="0.2">
      <c r="A292" s="1" t="s">
        <v>339</v>
      </c>
      <c r="B292" s="1">
        <f t="shared" si="21"/>
        <v>254</v>
      </c>
      <c r="C292" t="s">
        <v>991</v>
      </c>
      <c r="D292" t="s">
        <v>992</v>
      </c>
    </row>
    <row r="293" spans="1:29" x14ac:dyDescent="0.2">
      <c r="A293" t="s">
        <v>339</v>
      </c>
      <c r="B293" s="1">
        <f t="shared" si="21"/>
        <v>255</v>
      </c>
      <c r="C293" t="s">
        <v>997</v>
      </c>
      <c r="D293" t="s">
        <v>998</v>
      </c>
    </row>
    <row r="294" spans="1:29" x14ac:dyDescent="0.2">
      <c r="A294"/>
      <c r="B294" s="1">
        <f t="shared" si="21"/>
        <v>256</v>
      </c>
      <c r="C294" t="s">
        <v>999</v>
      </c>
      <c r="D294" t="s">
        <v>1000</v>
      </c>
    </row>
    <row r="295" spans="1:29" x14ac:dyDescent="0.2">
      <c r="A295" t="s">
        <v>339</v>
      </c>
      <c r="B295" s="1">
        <f t="shared" si="21"/>
        <v>257</v>
      </c>
      <c r="C295" t="s">
        <v>1001</v>
      </c>
      <c r="D295" t="s">
        <v>1002</v>
      </c>
    </row>
    <row r="296" spans="1:29" x14ac:dyDescent="0.2">
      <c r="A296" t="s">
        <v>339</v>
      </c>
      <c r="B296" s="1">
        <f t="shared" si="21"/>
        <v>258</v>
      </c>
      <c r="C296" t="s">
        <v>1003</v>
      </c>
      <c r="D296" t="s">
        <v>1004</v>
      </c>
    </row>
    <row r="297" spans="1:29" x14ac:dyDescent="0.2">
      <c r="A297" t="s">
        <v>339</v>
      </c>
      <c r="B297" s="1">
        <f t="shared" si="21"/>
        <v>259</v>
      </c>
      <c r="C297" t="s">
        <v>995</v>
      </c>
      <c r="D297" t="s">
        <v>996</v>
      </c>
    </row>
    <row r="298" spans="1:29" x14ac:dyDescent="0.2">
      <c r="A298" s="1" t="s">
        <v>339</v>
      </c>
      <c r="B298" s="1">
        <f t="shared" si="21"/>
        <v>260</v>
      </c>
      <c r="C298" t="s">
        <v>989</v>
      </c>
      <c r="D298" t="s">
        <v>990</v>
      </c>
    </row>
    <row r="299" spans="1:29" x14ac:dyDescent="0.2">
      <c r="A299" s="1" t="s">
        <v>339</v>
      </c>
      <c r="B299" s="1">
        <f t="shared" si="21"/>
        <v>261</v>
      </c>
      <c r="C299" t="s">
        <v>582</v>
      </c>
      <c r="D299" t="s">
        <v>583</v>
      </c>
      <c r="E299" s="7">
        <v>2.2000000000000002</v>
      </c>
    </row>
    <row r="300" spans="1:29" x14ac:dyDescent="0.2">
      <c r="A300" s="1" t="s">
        <v>339</v>
      </c>
      <c r="B300" s="1">
        <f t="shared" si="21"/>
        <v>262</v>
      </c>
      <c r="C300" t="s">
        <v>586</v>
      </c>
      <c r="D300" t="s">
        <v>587</v>
      </c>
      <c r="E300" s="3">
        <v>0.92</v>
      </c>
    </row>
    <row r="301" spans="1:29" x14ac:dyDescent="0.2">
      <c r="A301" s="1" t="s">
        <v>339</v>
      </c>
      <c r="B301" s="1">
        <f t="shared" si="21"/>
        <v>263</v>
      </c>
      <c r="C301" t="s">
        <v>588</v>
      </c>
      <c r="D301" t="s">
        <v>589</v>
      </c>
      <c r="E301" s="3">
        <v>2.94</v>
      </c>
    </row>
    <row r="302" spans="1:29" x14ac:dyDescent="0.2">
      <c r="A302" s="1" t="s">
        <v>339</v>
      </c>
      <c r="B302" s="1">
        <f t="shared" si="21"/>
        <v>264</v>
      </c>
      <c r="C302" t="s">
        <v>590</v>
      </c>
      <c r="D302" t="s">
        <v>591</v>
      </c>
      <c r="E302" s="3">
        <v>5.88</v>
      </c>
    </row>
    <row r="303" spans="1:29" x14ac:dyDescent="0.2">
      <c r="A303" s="1" t="s">
        <v>339</v>
      </c>
      <c r="B303" s="1">
        <f t="shared" si="21"/>
        <v>265</v>
      </c>
      <c r="C303" t="s">
        <v>592</v>
      </c>
      <c r="D303" t="s">
        <v>593</v>
      </c>
      <c r="E303" s="7">
        <v>3.46</v>
      </c>
    </row>
    <row r="304" spans="1:29" x14ac:dyDescent="0.2">
      <c r="A304" s="1" t="s">
        <v>339</v>
      </c>
      <c r="B304" s="1">
        <f t="shared" si="21"/>
        <v>266</v>
      </c>
      <c r="C304" s="5" t="s">
        <v>594</v>
      </c>
      <c r="D304" t="s">
        <v>595</v>
      </c>
      <c r="E304" s="7">
        <v>33</v>
      </c>
      <c r="F304" s="6">
        <f>E304*J304</f>
        <v>653.378781</v>
      </c>
      <c r="G304" s="6">
        <f>[116]Main!$M$5-[116]Main!$M$6</f>
        <v>236.422</v>
      </c>
      <c r="H304" s="6">
        <f>F304-G304</f>
        <v>416.95678099999998</v>
      </c>
      <c r="I304" s="9">
        <v>45063</v>
      </c>
      <c r="J304" s="6">
        <f>[116]Main!$M$3</f>
        <v>19.799357000000001</v>
      </c>
      <c r="AC304" s="1">
        <v>2017</v>
      </c>
    </row>
    <row r="305" spans="1:29" x14ac:dyDescent="0.2">
      <c r="A305"/>
      <c r="B305" s="1">
        <f t="shared" si="21"/>
        <v>267</v>
      </c>
      <c r="C305" s="5" t="s">
        <v>953</v>
      </c>
      <c r="D305" t="s">
        <v>954</v>
      </c>
      <c r="E305" s="3">
        <v>8.91</v>
      </c>
      <c r="F305" s="6">
        <f>+E305*J305</f>
        <v>476.84725110000005</v>
      </c>
      <c r="G305" s="6">
        <f>+[117]Main!$K$5-[117]Main!$K$6</f>
        <v>280.24800000000005</v>
      </c>
      <c r="H305" s="6">
        <f>+F305-G305</f>
        <v>196.5992511</v>
      </c>
      <c r="I305" s="3" t="s">
        <v>1097</v>
      </c>
      <c r="J305" s="6">
        <f>+[117]Main!$K$3</f>
        <v>53.518210000000003</v>
      </c>
      <c r="K305" s="9">
        <v>45557</v>
      </c>
    </row>
    <row r="306" spans="1:29" x14ac:dyDescent="0.2">
      <c r="A306" s="1" t="s">
        <v>339</v>
      </c>
      <c r="B306" s="1">
        <f t="shared" si="21"/>
        <v>268</v>
      </c>
      <c r="C306" s="5" t="s">
        <v>584</v>
      </c>
      <c r="D306" t="s">
        <v>585</v>
      </c>
      <c r="E306" s="3">
        <v>3.34</v>
      </c>
      <c r="F306" s="6">
        <f>+E306*J306</f>
        <v>242.45700277999998</v>
      </c>
      <c r="G306" s="6">
        <f>+[118]Main!$J$5-[118]Main!$J$6</f>
        <v>69.49499999999999</v>
      </c>
      <c r="H306" s="6">
        <f>+F306-G306</f>
        <v>172.96200277999998</v>
      </c>
      <c r="I306" s="3" t="s">
        <v>1097</v>
      </c>
      <c r="J306" s="6">
        <f>+[118]Main!$J$3</f>
        <v>72.591916999999995</v>
      </c>
      <c r="K306" s="9">
        <v>45548</v>
      </c>
    </row>
    <row r="307" spans="1:29" x14ac:dyDescent="0.2">
      <c r="A307"/>
      <c r="B307" s="1">
        <f t="shared" si="21"/>
        <v>269</v>
      </c>
      <c r="C307" s="5" t="s">
        <v>1196</v>
      </c>
      <c r="D307" t="s">
        <v>1197</v>
      </c>
      <c r="E307" s="7">
        <v>1.28</v>
      </c>
      <c r="F307" s="6">
        <f>+E307*J307</f>
        <v>95.674332159999992</v>
      </c>
      <c r="G307" s="6">
        <f>+[119]Main!$K$5-[119]Main!$K$6</f>
        <v>29.36</v>
      </c>
      <c r="H307" s="6">
        <f>+F307-G307</f>
        <v>66.314332159999992</v>
      </c>
      <c r="I307" s="3" t="s">
        <v>1097</v>
      </c>
      <c r="J307" s="6">
        <f>+[119]Main!$K$3</f>
        <v>74.745571999999996</v>
      </c>
      <c r="K307" s="9">
        <v>45554</v>
      </c>
    </row>
    <row r="308" spans="1:29" x14ac:dyDescent="0.2">
      <c r="A308"/>
      <c r="B308" s="1">
        <f t="shared" si="21"/>
        <v>270</v>
      </c>
      <c r="C308" s="5" t="s">
        <v>1203</v>
      </c>
      <c r="D308" t="s">
        <v>1204</v>
      </c>
      <c r="E308" s="3">
        <v>0.85</v>
      </c>
      <c r="F308" s="6">
        <f>+E308*J308</f>
        <v>30.110729799999998</v>
      </c>
      <c r="G308" s="6">
        <f>+[120]Main!$L$5-[120]Main!$L$6</f>
        <v>33.298999999999999</v>
      </c>
      <c r="H308" s="6">
        <f>+F308-G308</f>
        <v>-3.1882702000000016</v>
      </c>
      <c r="I308" s="3" t="s">
        <v>1097</v>
      </c>
      <c r="J308" s="6">
        <f>+[120]Main!$L$3</f>
        <v>35.424388</v>
      </c>
      <c r="K308" s="9">
        <v>45558</v>
      </c>
    </row>
    <row r="309" spans="1:29" x14ac:dyDescent="0.2">
      <c r="B309" s="1">
        <f t="shared" si="21"/>
        <v>271</v>
      </c>
      <c r="C309" s="5" t="s">
        <v>596</v>
      </c>
      <c r="D309" t="s">
        <v>597</v>
      </c>
      <c r="E309" s="3">
        <f>0.35</f>
        <v>0.35</v>
      </c>
      <c r="F309" s="6">
        <f>E309*J309</f>
        <v>12.513184599999999</v>
      </c>
      <c r="G309" s="6">
        <f>[121]Main!$K$5-[121]Main!$K$6</f>
        <v>54.983000000000004</v>
      </c>
      <c r="H309" s="6">
        <f>F309-G309</f>
        <v>-42.469815400000002</v>
      </c>
      <c r="I309" s="9">
        <v>45063</v>
      </c>
      <c r="J309" s="6">
        <f>[121]Main!$K$3</f>
        <v>35.751956</v>
      </c>
    </row>
    <row r="310" spans="1:29" x14ac:dyDescent="0.2">
      <c r="A310"/>
      <c r="B310" s="1">
        <f t="shared" si="21"/>
        <v>272</v>
      </c>
      <c r="C310" s="5" t="s">
        <v>949</v>
      </c>
      <c r="D310" t="s">
        <v>950</v>
      </c>
      <c r="E310" s="7">
        <v>4.63</v>
      </c>
      <c r="F310" s="6">
        <f>+E310*J310</f>
        <v>326.68703101999995</v>
      </c>
      <c r="G310" s="6">
        <f>+[122]Main!$K$5-[122]Main!$K$6</f>
        <v>426.65000000000003</v>
      </c>
      <c r="H310" s="6">
        <f>+F310-G310</f>
        <v>-99.962968980000085</v>
      </c>
      <c r="I310" s="3" t="s">
        <v>1097</v>
      </c>
      <c r="J310" s="6">
        <f>+[122]Main!$K$3</f>
        <v>70.558753999999993</v>
      </c>
      <c r="K310" s="9">
        <v>45564</v>
      </c>
      <c r="AC310" s="1">
        <v>2015</v>
      </c>
    </row>
    <row r="311" spans="1:29" x14ac:dyDescent="0.2">
      <c r="A311" s="1" t="s">
        <v>339</v>
      </c>
      <c r="B311" s="1">
        <f t="shared" si="21"/>
        <v>273</v>
      </c>
      <c r="C311" s="1" t="s">
        <v>598</v>
      </c>
      <c r="D311" s="1" t="s">
        <v>599</v>
      </c>
    </row>
    <row r="312" spans="1:29" x14ac:dyDescent="0.2">
      <c r="B312" s="1">
        <f t="shared" si="21"/>
        <v>274</v>
      </c>
      <c r="C312" t="s">
        <v>600</v>
      </c>
      <c r="D312" t="s">
        <v>601</v>
      </c>
    </row>
    <row r="313" spans="1:29" x14ac:dyDescent="0.2">
      <c r="A313" s="1" t="s">
        <v>339</v>
      </c>
      <c r="B313" s="1">
        <f t="shared" si="21"/>
        <v>275</v>
      </c>
      <c r="C313" t="s">
        <v>602</v>
      </c>
      <c r="D313" t="s">
        <v>603</v>
      </c>
    </row>
    <row r="314" spans="1:29" x14ac:dyDescent="0.2">
      <c r="A314" s="1" t="s">
        <v>339</v>
      </c>
      <c r="B314" s="1">
        <f t="shared" si="21"/>
        <v>276</v>
      </c>
      <c r="C314" s="1" t="s">
        <v>457</v>
      </c>
      <c r="D314" s="1" t="s">
        <v>673</v>
      </c>
    </row>
    <row r="315" spans="1:29" x14ac:dyDescent="0.2">
      <c r="B315" s="1">
        <f t="shared" si="21"/>
        <v>277</v>
      </c>
      <c r="C315" t="s">
        <v>1198</v>
      </c>
      <c r="D315" t="s">
        <v>1199</v>
      </c>
    </row>
    <row r="316" spans="1:29" x14ac:dyDescent="0.2">
      <c r="A316" s="1" t="s">
        <v>339</v>
      </c>
      <c r="B316" s="1">
        <f t="shared" si="21"/>
        <v>278</v>
      </c>
      <c r="C316" t="s">
        <v>788</v>
      </c>
      <c r="D316" t="s">
        <v>789</v>
      </c>
    </row>
    <row r="317" spans="1:29" s="25" customFormat="1" x14ac:dyDescent="0.2">
      <c r="A317" s="25" t="s">
        <v>339</v>
      </c>
      <c r="B317" s="1">
        <f t="shared" si="21"/>
        <v>279</v>
      </c>
      <c r="C317" s="25" t="s">
        <v>674</v>
      </c>
      <c r="D317" s="25" t="s">
        <v>675</v>
      </c>
      <c r="E317" s="26">
        <v>41.75</v>
      </c>
      <c r="F317" s="27">
        <v>2400</v>
      </c>
      <c r="G317" s="26"/>
      <c r="H317" s="27">
        <f>+F317-G317</f>
        <v>2400</v>
      </c>
      <c r="I317" s="26"/>
      <c r="J317" s="26"/>
      <c r="K317" s="26"/>
      <c r="L317" s="26"/>
      <c r="M317" s="26"/>
      <c r="N317" s="26"/>
      <c r="O317" s="26"/>
      <c r="P317" s="2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spans="1:29" x14ac:dyDescent="0.2">
      <c r="A318" s="1" t="s">
        <v>339</v>
      </c>
      <c r="B318" s="1">
        <f t="shared" si="21"/>
        <v>280</v>
      </c>
      <c r="C318" t="s">
        <v>676</v>
      </c>
      <c r="D318" t="s">
        <v>677</v>
      </c>
    </row>
    <row r="319" spans="1:29" x14ac:dyDescent="0.2">
      <c r="A319" t="s">
        <v>339</v>
      </c>
      <c r="B319" s="1">
        <f t="shared" si="21"/>
        <v>281</v>
      </c>
      <c r="C319" t="s">
        <v>678</v>
      </c>
      <c r="D319" t="s">
        <v>679</v>
      </c>
    </row>
    <row r="320" spans="1:29" x14ac:dyDescent="0.2">
      <c r="A320" t="s">
        <v>339</v>
      </c>
      <c r="B320" s="1">
        <f t="shared" si="21"/>
        <v>282</v>
      </c>
      <c r="C320" t="s">
        <v>680</v>
      </c>
      <c r="D320" t="s">
        <v>681</v>
      </c>
    </row>
    <row r="321" spans="1:4" x14ac:dyDescent="0.2">
      <c r="B321" s="1">
        <f t="shared" si="21"/>
        <v>283</v>
      </c>
      <c r="C321" t="s">
        <v>682</v>
      </c>
      <c r="D321" t="s">
        <v>683</v>
      </c>
    </row>
    <row r="322" spans="1:4" x14ac:dyDescent="0.2">
      <c r="A322" s="1" t="s">
        <v>339</v>
      </c>
      <c r="B322" s="1">
        <f t="shared" si="21"/>
        <v>284</v>
      </c>
      <c r="C322" t="s">
        <v>821</v>
      </c>
      <c r="D322" t="s">
        <v>822</v>
      </c>
    </row>
    <row r="323" spans="1:4" x14ac:dyDescent="0.2">
      <c r="A323" s="1" t="s">
        <v>339</v>
      </c>
      <c r="B323" s="1">
        <f t="shared" si="21"/>
        <v>285</v>
      </c>
      <c r="C323" t="s">
        <v>825</v>
      </c>
      <c r="D323" t="s">
        <v>826</v>
      </c>
    </row>
    <row r="324" spans="1:4" x14ac:dyDescent="0.2">
      <c r="A324" t="s">
        <v>339</v>
      </c>
      <c r="B324" s="1">
        <f t="shared" si="21"/>
        <v>286</v>
      </c>
      <c r="C324" t="s">
        <v>831</v>
      </c>
      <c r="D324" t="s">
        <v>832</v>
      </c>
    </row>
    <row r="325" spans="1:4" x14ac:dyDescent="0.2">
      <c r="A325" t="s">
        <v>339</v>
      </c>
      <c r="B325" s="1">
        <f t="shared" si="21"/>
        <v>287</v>
      </c>
      <c r="C325" t="s">
        <v>835</v>
      </c>
      <c r="D325" t="s">
        <v>836</v>
      </c>
    </row>
    <row r="326" spans="1:4" x14ac:dyDescent="0.2">
      <c r="A326" t="s">
        <v>339</v>
      </c>
      <c r="B326" s="1">
        <f t="shared" si="21"/>
        <v>288</v>
      </c>
      <c r="C326" t="s">
        <v>833</v>
      </c>
      <c r="D326" t="s">
        <v>834</v>
      </c>
    </row>
    <row r="327" spans="1:4" x14ac:dyDescent="0.2">
      <c r="A327" t="s">
        <v>339</v>
      </c>
      <c r="B327" s="1">
        <f t="shared" si="21"/>
        <v>289</v>
      </c>
      <c r="C327" t="s">
        <v>829</v>
      </c>
      <c r="D327" t="s">
        <v>830</v>
      </c>
    </row>
    <row r="328" spans="1:4" x14ac:dyDescent="0.2">
      <c r="A328" t="s">
        <v>339</v>
      </c>
      <c r="B328" s="1">
        <f t="shared" si="21"/>
        <v>290</v>
      </c>
      <c r="C328" t="s">
        <v>827</v>
      </c>
      <c r="D328" t="s">
        <v>828</v>
      </c>
    </row>
    <row r="329" spans="1:4" x14ac:dyDescent="0.2">
      <c r="A329" s="1" t="s">
        <v>339</v>
      </c>
      <c r="B329" s="1">
        <f t="shared" si="21"/>
        <v>291</v>
      </c>
      <c r="C329" t="s">
        <v>823</v>
      </c>
      <c r="D329" t="s">
        <v>824</v>
      </c>
    </row>
    <row r="330" spans="1:4" x14ac:dyDescent="0.2">
      <c r="A330" s="1" t="s">
        <v>339</v>
      </c>
      <c r="B330" s="1">
        <f t="shared" si="21"/>
        <v>292</v>
      </c>
      <c r="C330" t="s">
        <v>817</v>
      </c>
      <c r="D330" t="s">
        <v>818</v>
      </c>
    </row>
    <row r="331" spans="1:4" x14ac:dyDescent="0.2">
      <c r="A331" s="1" t="s">
        <v>339</v>
      </c>
      <c r="B331" s="1">
        <f t="shared" si="21"/>
        <v>293</v>
      </c>
      <c r="C331" t="s">
        <v>684</v>
      </c>
      <c r="D331" t="s">
        <v>685</v>
      </c>
    </row>
    <row r="332" spans="1:4" x14ac:dyDescent="0.2">
      <c r="A332" s="1" t="s">
        <v>339</v>
      </c>
      <c r="B332" s="1">
        <f t="shared" si="21"/>
        <v>294</v>
      </c>
      <c r="C332" t="s">
        <v>748</v>
      </c>
      <c r="D332" t="s">
        <v>749</v>
      </c>
    </row>
    <row r="333" spans="1:4" x14ac:dyDescent="0.2">
      <c r="A333" s="1" t="s">
        <v>339</v>
      </c>
      <c r="B333" s="1">
        <f t="shared" si="21"/>
        <v>295</v>
      </c>
      <c r="C333" t="s">
        <v>746</v>
      </c>
      <c r="D333" t="s">
        <v>747</v>
      </c>
    </row>
    <row r="334" spans="1:4" x14ac:dyDescent="0.2">
      <c r="A334" s="1" t="s">
        <v>339</v>
      </c>
      <c r="B334" s="1">
        <f t="shared" si="21"/>
        <v>296</v>
      </c>
      <c r="C334" t="s">
        <v>686</v>
      </c>
      <c r="D334" t="s">
        <v>687</v>
      </c>
    </row>
    <row r="335" spans="1:4" x14ac:dyDescent="0.2">
      <c r="A335" t="s">
        <v>339</v>
      </c>
      <c r="B335" s="1">
        <f t="shared" si="21"/>
        <v>297</v>
      </c>
      <c r="C335" t="s">
        <v>733</v>
      </c>
      <c r="D335" t="s">
        <v>734</v>
      </c>
    </row>
    <row r="336" spans="1:4" x14ac:dyDescent="0.2">
      <c r="A336" s="1" t="s">
        <v>339</v>
      </c>
      <c r="B336" s="1">
        <f t="shared" si="21"/>
        <v>298</v>
      </c>
      <c r="C336" t="s">
        <v>688</v>
      </c>
      <c r="D336" t="s">
        <v>689</v>
      </c>
    </row>
    <row r="337" spans="1:5" x14ac:dyDescent="0.2">
      <c r="A337" s="1" t="s">
        <v>339</v>
      </c>
      <c r="B337" s="1">
        <f t="shared" si="21"/>
        <v>299</v>
      </c>
      <c r="C337" s="1" t="s">
        <v>707</v>
      </c>
      <c r="D337" s="1" t="s">
        <v>708</v>
      </c>
    </row>
    <row r="338" spans="1:5" x14ac:dyDescent="0.2">
      <c r="A338" t="s">
        <v>339</v>
      </c>
      <c r="B338" s="1">
        <f t="shared" si="21"/>
        <v>300</v>
      </c>
      <c r="C338" t="s">
        <v>711</v>
      </c>
      <c r="D338" t="s">
        <v>712</v>
      </c>
    </row>
    <row r="339" spans="1:5" x14ac:dyDescent="0.2">
      <c r="A339" t="s">
        <v>339</v>
      </c>
      <c r="B339" s="1">
        <f t="shared" si="21"/>
        <v>301</v>
      </c>
      <c r="C339" t="s">
        <v>713</v>
      </c>
      <c r="D339" t="s">
        <v>714</v>
      </c>
    </row>
    <row r="340" spans="1:5" x14ac:dyDescent="0.2">
      <c r="A340" t="s">
        <v>339</v>
      </c>
      <c r="B340" s="1">
        <f t="shared" si="21"/>
        <v>302</v>
      </c>
      <c r="C340" t="s">
        <v>837</v>
      </c>
      <c r="D340" t="s">
        <v>838</v>
      </c>
    </row>
    <row r="341" spans="1:5" x14ac:dyDescent="0.2">
      <c r="A341" t="s">
        <v>339</v>
      </c>
      <c r="B341" s="1">
        <f t="shared" si="21"/>
        <v>303</v>
      </c>
      <c r="C341" t="s">
        <v>841</v>
      </c>
      <c r="D341" t="s">
        <v>842</v>
      </c>
    </row>
    <row r="342" spans="1:5" x14ac:dyDescent="0.2">
      <c r="A342" t="s">
        <v>339</v>
      </c>
      <c r="B342" s="1">
        <f t="shared" si="21"/>
        <v>304</v>
      </c>
      <c r="C342" t="s">
        <v>843</v>
      </c>
      <c r="D342" t="s">
        <v>844</v>
      </c>
    </row>
    <row r="343" spans="1:5" x14ac:dyDescent="0.2">
      <c r="A343"/>
      <c r="B343" s="1">
        <f t="shared" si="21"/>
        <v>305</v>
      </c>
      <c r="C343" t="s">
        <v>845</v>
      </c>
      <c r="D343" t="s">
        <v>846</v>
      </c>
    </row>
    <row r="344" spans="1:5" x14ac:dyDescent="0.2">
      <c r="A344" t="s">
        <v>339</v>
      </c>
      <c r="B344" s="1">
        <f t="shared" si="21"/>
        <v>306</v>
      </c>
      <c r="C344" s="5" t="s">
        <v>847</v>
      </c>
      <c r="D344" t="s">
        <v>848</v>
      </c>
      <c r="E344" s="3">
        <v>1.73</v>
      </c>
    </row>
    <row r="345" spans="1:5" x14ac:dyDescent="0.2">
      <c r="A345" t="s">
        <v>339</v>
      </c>
      <c r="B345" s="1">
        <f t="shared" si="21"/>
        <v>307</v>
      </c>
      <c r="C345" t="s">
        <v>849</v>
      </c>
      <c r="D345" t="s">
        <v>850</v>
      </c>
    </row>
    <row r="346" spans="1:5" x14ac:dyDescent="0.2">
      <c r="A346" t="s">
        <v>339</v>
      </c>
      <c r="B346" s="1">
        <f t="shared" si="21"/>
        <v>308</v>
      </c>
      <c r="C346" t="s">
        <v>851</v>
      </c>
      <c r="D346" t="s">
        <v>852</v>
      </c>
    </row>
    <row r="347" spans="1:5" x14ac:dyDescent="0.2">
      <c r="A347"/>
      <c r="B347" s="1">
        <f t="shared" si="21"/>
        <v>309</v>
      </c>
      <c r="C347" t="s">
        <v>853</v>
      </c>
      <c r="D347" t="s">
        <v>854</v>
      </c>
    </row>
    <row r="348" spans="1:5" x14ac:dyDescent="0.2">
      <c r="A348"/>
      <c r="B348" s="1">
        <f t="shared" si="21"/>
        <v>310</v>
      </c>
      <c r="C348" t="s">
        <v>855</v>
      </c>
      <c r="D348" t="s">
        <v>856</v>
      </c>
    </row>
    <row r="349" spans="1:5" x14ac:dyDescent="0.2">
      <c r="A349" t="s">
        <v>339</v>
      </c>
      <c r="B349" s="1">
        <f t="shared" ref="B349:B412" si="22">+B348+1</f>
        <v>311</v>
      </c>
      <c r="C349" t="s">
        <v>857</v>
      </c>
      <c r="D349" t="s">
        <v>858</v>
      </c>
    </row>
    <row r="350" spans="1:5" x14ac:dyDescent="0.2">
      <c r="A350" t="s">
        <v>339</v>
      </c>
      <c r="B350" s="1">
        <f t="shared" si="22"/>
        <v>312</v>
      </c>
      <c r="C350" t="s">
        <v>859</v>
      </c>
      <c r="D350" t="s">
        <v>860</v>
      </c>
    </row>
    <row r="351" spans="1:5" x14ac:dyDescent="0.2">
      <c r="A351" t="s">
        <v>339</v>
      </c>
      <c r="B351" s="1">
        <f t="shared" si="22"/>
        <v>313</v>
      </c>
      <c r="C351" t="s">
        <v>861</v>
      </c>
      <c r="D351" t="s">
        <v>862</v>
      </c>
    </row>
    <row r="352" spans="1:5" x14ac:dyDescent="0.2">
      <c r="A352" t="s">
        <v>339</v>
      </c>
      <c r="B352" s="1">
        <f t="shared" si="22"/>
        <v>314</v>
      </c>
      <c r="C352" s="5" t="s">
        <v>865</v>
      </c>
      <c r="D352" t="s">
        <v>866</v>
      </c>
      <c r="E352" s="3">
        <v>0.32</v>
      </c>
    </row>
    <row r="353" spans="1:4" x14ac:dyDescent="0.2">
      <c r="A353" t="s">
        <v>339</v>
      </c>
      <c r="B353" s="1">
        <f t="shared" si="22"/>
        <v>315</v>
      </c>
      <c r="C353" t="s">
        <v>867</v>
      </c>
      <c r="D353" t="s">
        <v>868</v>
      </c>
    </row>
    <row r="354" spans="1:4" x14ac:dyDescent="0.2">
      <c r="A354"/>
      <c r="B354" s="1">
        <f t="shared" si="22"/>
        <v>316</v>
      </c>
      <c r="C354" t="s">
        <v>869</v>
      </c>
      <c r="D354" t="s">
        <v>870</v>
      </c>
    </row>
    <row r="355" spans="1:4" x14ac:dyDescent="0.2">
      <c r="A355" t="s">
        <v>339</v>
      </c>
      <c r="B355" s="1">
        <f t="shared" si="22"/>
        <v>317</v>
      </c>
      <c r="C355" t="s">
        <v>871</v>
      </c>
      <c r="D355" t="s">
        <v>872</v>
      </c>
    </row>
    <row r="356" spans="1:4" x14ac:dyDescent="0.2">
      <c r="A356" t="s">
        <v>339</v>
      </c>
      <c r="B356" s="1">
        <f t="shared" si="22"/>
        <v>318</v>
      </c>
      <c r="C356" t="s">
        <v>873</v>
      </c>
      <c r="D356" t="s">
        <v>874</v>
      </c>
    </row>
    <row r="357" spans="1:4" x14ac:dyDescent="0.2">
      <c r="A357" t="s">
        <v>339</v>
      </c>
      <c r="B357" s="1">
        <f t="shared" si="22"/>
        <v>319</v>
      </c>
      <c r="C357" t="s">
        <v>875</v>
      </c>
      <c r="D357" t="s">
        <v>876</v>
      </c>
    </row>
    <row r="358" spans="1:4" x14ac:dyDescent="0.2">
      <c r="A358" t="s">
        <v>339</v>
      </c>
      <c r="B358" s="1">
        <f t="shared" si="22"/>
        <v>320</v>
      </c>
      <c r="C358" t="s">
        <v>877</v>
      </c>
      <c r="D358" t="s">
        <v>878</v>
      </c>
    </row>
    <row r="359" spans="1:4" x14ac:dyDescent="0.2">
      <c r="A359" t="s">
        <v>339</v>
      </c>
      <c r="B359" s="1">
        <f t="shared" si="22"/>
        <v>321</v>
      </c>
      <c r="C359" t="s">
        <v>879</v>
      </c>
      <c r="D359" t="s">
        <v>880</v>
      </c>
    </row>
    <row r="360" spans="1:4" x14ac:dyDescent="0.2">
      <c r="A360" t="s">
        <v>339</v>
      </c>
      <c r="B360" s="1">
        <f t="shared" si="22"/>
        <v>322</v>
      </c>
      <c r="C360" t="s">
        <v>881</v>
      </c>
      <c r="D360" t="s">
        <v>882</v>
      </c>
    </row>
    <row r="361" spans="1:4" x14ac:dyDescent="0.2">
      <c r="A361" t="s">
        <v>339</v>
      </c>
      <c r="B361" s="1">
        <f t="shared" si="22"/>
        <v>323</v>
      </c>
      <c r="C361" t="s">
        <v>883</v>
      </c>
      <c r="D361" t="s">
        <v>884</v>
      </c>
    </row>
    <row r="362" spans="1:4" x14ac:dyDescent="0.2">
      <c r="A362" t="s">
        <v>339</v>
      </c>
      <c r="B362" s="1">
        <f t="shared" si="22"/>
        <v>324</v>
      </c>
      <c r="C362" t="s">
        <v>885</v>
      </c>
      <c r="D362" t="s">
        <v>886</v>
      </c>
    </row>
    <row r="363" spans="1:4" x14ac:dyDescent="0.2">
      <c r="A363" t="s">
        <v>339</v>
      </c>
      <c r="B363" s="1">
        <f t="shared" si="22"/>
        <v>325</v>
      </c>
      <c r="C363" t="s">
        <v>887</v>
      </c>
      <c r="D363" t="s">
        <v>888</v>
      </c>
    </row>
    <row r="364" spans="1:4" x14ac:dyDescent="0.2">
      <c r="A364" t="s">
        <v>339</v>
      </c>
      <c r="B364" s="1">
        <f t="shared" si="22"/>
        <v>326</v>
      </c>
      <c r="C364" t="s">
        <v>889</v>
      </c>
      <c r="D364" t="s">
        <v>890</v>
      </c>
    </row>
    <row r="365" spans="1:4" x14ac:dyDescent="0.2">
      <c r="A365" t="s">
        <v>339</v>
      </c>
      <c r="B365" s="1">
        <f t="shared" si="22"/>
        <v>327</v>
      </c>
      <c r="C365" t="s">
        <v>891</v>
      </c>
      <c r="D365" t="s">
        <v>892</v>
      </c>
    </row>
    <row r="366" spans="1:4" x14ac:dyDescent="0.2">
      <c r="A366" t="s">
        <v>339</v>
      </c>
      <c r="B366" s="1">
        <f t="shared" si="22"/>
        <v>328</v>
      </c>
      <c r="C366" t="s">
        <v>893</v>
      </c>
      <c r="D366" t="s">
        <v>894</v>
      </c>
    </row>
    <row r="367" spans="1:4" x14ac:dyDescent="0.2">
      <c r="A367" t="s">
        <v>339</v>
      </c>
      <c r="B367" s="1">
        <f t="shared" si="22"/>
        <v>329</v>
      </c>
      <c r="C367" t="s">
        <v>895</v>
      </c>
      <c r="D367" t="s">
        <v>896</v>
      </c>
    </row>
    <row r="368" spans="1:4" x14ac:dyDescent="0.2">
      <c r="A368" t="s">
        <v>339</v>
      </c>
      <c r="B368" s="1">
        <f t="shared" si="22"/>
        <v>330</v>
      </c>
      <c r="C368" t="s">
        <v>897</v>
      </c>
      <c r="D368" t="s">
        <v>898</v>
      </c>
    </row>
    <row r="369" spans="1:4" x14ac:dyDescent="0.2">
      <c r="A369" t="s">
        <v>339</v>
      </c>
      <c r="B369" s="1">
        <f t="shared" si="22"/>
        <v>331</v>
      </c>
      <c r="C369" t="s">
        <v>899</v>
      </c>
      <c r="D369" t="s">
        <v>900</v>
      </c>
    </row>
    <row r="370" spans="1:4" x14ac:dyDescent="0.2">
      <c r="A370" t="s">
        <v>339</v>
      </c>
      <c r="B370" s="1">
        <f t="shared" si="22"/>
        <v>332</v>
      </c>
      <c r="C370" t="s">
        <v>901</v>
      </c>
      <c r="D370" t="s">
        <v>902</v>
      </c>
    </row>
    <row r="371" spans="1:4" x14ac:dyDescent="0.2">
      <c r="A371" t="s">
        <v>339</v>
      </c>
      <c r="B371" s="1">
        <f t="shared" si="22"/>
        <v>333</v>
      </c>
      <c r="C371" t="s">
        <v>903</v>
      </c>
      <c r="D371" t="s">
        <v>904</v>
      </c>
    </row>
    <row r="372" spans="1:4" x14ac:dyDescent="0.2">
      <c r="A372" t="s">
        <v>339</v>
      </c>
      <c r="B372" s="1">
        <f t="shared" si="22"/>
        <v>334</v>
      </c>
      <c r="C372" t="s">
        <v>906</v>
      </c>
      <c r="D372" t="s">
        <v>905</v>
      </c>
    </row>
    <row r="373" spans="1:4" x14ac:dyDescent="0.2">
      <c r="A373" t="s">
        <v>339</v>
      </c>
      <c r="B373" s="1">
        <f t="shared" si="22"/>
        <v>335</v>
      </c>
      <c r="C373" t="s">
        <v>907</v>
      </c>
      <c r="D373" t="s">
        <v>908</v>
      </c>
    </row>
    <row r="374" spans="1:4" x14ac:dyDescent="0.2">
      <c r="A374" t="s">
        <v>339</v>
      </c>
      <c r="B374" s="1">
        <f t="shared" si="22"/>
        <v>336</v>
      </c>
      <c r="C374" t="s">
        <v>909</v>
      </c>
      <c r="D374" t="s">
        <v>910</v>
      </c>
    </row>
    <row r="375" spans="1:4" x14ac:dyDescent="0.2">
      <c r="A375" t="s">
        <v>339</v>
      </c>
      <c r="B375" s="1">
        <f t="shared" si="22"/>
        <v>337</v>
      </c>
      <c r="C375" t="s">
        <v>911</v>
      </c>
      <c r="D375" t="s">
        <v>912</v>
      </c>
    </row>
    <row r="376" spans="1:4" x14ac:dyDescent="0.2">
      <c r="A376" t="s">
        <v>339</v>
      </c>
      <c r="B376" s="1">
        <f t="shared" si="22"/>
        <v>338</v>
      </c>
      <c r="C376" t="s">
        <v>913</v>
      </c>
      <c r="D376" t="s">
        <v>914</v>
      </c>
    </row>
    <row r="377" spans="1:4" x14ac:dyDescent="0.2">
      <c r="A377" t="s">
        <v>339</v>
      </c>
      <c r="B377" s="1">
        <f t="shared" si="22"/>
        <v>339</v>
      </c>
      <c r="C377" t="s">
        <v>915</v>
      </c>
      <c r="D377" t="s">
        <v>916</v>
      </c>
    </row>
    <row r="378" spans="1:4" x14ac:dyDescent="0.2">
      <c r="A378" t="s">
        <v>339</v>
      </c>
      <c r="B378" s="1">
        <f t="shared" si="22"/>
        <v>340</v>
      </c>
      <c r="C378" t="s">
        <v>917</v>
      </c>
      <c r="D378" t="s">
        <v>918</v>
      </c>
    </row>
    <row r="379" spans="1:4" x14ac:dyDescent="0.2">
      <c r="A379" t="s">
        <v>339</v>
      </c>
      <c r="B379" s="1">
        <f t="shared" si="22"/>
        <v>341</v>
      </c>
      <c r="C379" t="s">
        <v>919</v>
      </c>
      <c r="D379" t="s">
        <v>920</v>
      </c>
    </row>
    <row r="380" spans="1:4" x14ac:dyDescent="0.2">
      <c r="A380" t="s">
        <v>339</v>
      </c>
      <c r="B380" s="1">
        <f t="shared" si="22"/>
        <v>342</v>
      </c>
      <c r="C380" t="s">
        <v>921</v>
      </c>
      <c r="D380" t="s">
        <v>922</v>
      </c>
    </row>
    <row r="381" spans="1:4" x14ac:dyDescent="0.2">
      <c r="A381" t="s">
        <v>339</v>
      </c>
      <c r="B381" s="1">
        <f t="shared" si="22"/>
        <v>343</v>
      </c>
      <c r="C381" t="s">
        <v>923</v>
      </c>
      <c r="D381" t="s">
        <v>924</v>
      </c>
    </row>
    <row r="382" spans="1:4" x14ac:dyDescent="0.2">
      <c r="A382"/>
      <c r="B382" s="1">
        <f t="shared" si="22"/>
        <v>344</v>
      </c>
      <c r="C382" t="s">
        <v>925</v>
      </c>
      <c r="D382" t="s">
        <v>926</v>
      </c>
    </row>
    <row r="383" spans="1:4" x14ac:dyDescent="0.2">
      <c r="A383"/>
      <c r="B383" s="1">
        <f t="shared" si="22"/>
        <v>345</v>
      </c>
      <c r="C383" t="s">
        <v>927</v>
      </c>
      <c r="D383" t="s">
        <v>928</v>
      </c>
    </row>
    <row r="384" spans="1:4" x14ac:dyDescent="0.2">
      <c r="A384"/>
      <c r="B384" s="1">
        <f t="shared" si="22"/>
        <v>346</v>
      </c>
      <c r="C384" t="s">
        <v>929</v>
      </c>
      <c r="D384" t="s">
        <v>930</v>
      </c>
    </row>
    <row r="385" spans="1:4" x14ac:dyDescent="0.2">
      <c r="A385"/>
      <c r="B385" s="1">
        <f t="shared" si="22"/>
        <v>347</v>
      </c>
      <c r="C385" t="s">
        <v>931</v>
      </c>
      <c r="D385" t="s">
        <v>932</v>
      </c>
    </row>
    <row r="386" spans="1:4" x14ac:dyDescent="0.2">
      <c r="A386"/>
      <c r="B386" s="1">
        <f t="shared" si="22"/>
        <v>348</v>
      </c>
      <c r="C386" t="s">
        <v>933</v>
      </c>
      <c r="D386" t="s">
        <v>934</v>
      </c>
    </row>
    <row r="387" spans="1:4" x14ac:dyDescent="0.2">
      <c r="A387"/>
      <c r="B387" s="1">
        <f t="shared" si="22"/>
        <v>349</v>
      </c>
      <c r="C387" t="s">
        <v>935</v>
      </c>
      <c r="D387" t="s">
        <v>936</v>
      </c>
    </row>
    <row r="388" spans="1:4" x14ac:dyDescent="0.2">
      <c r="A388"/>
      <c r="B388" s="1">
        <f t="shared" si="22"/>
        <v>350</v>
      </c>
      <c r="C388" t="s">
        <v>937</v>
      </c>
      <c r="D388" t="s">
        <v>938</v>
      </c>
    </row>
    <row r="389" spans="1:4" x14ac:dyDescent="0.2">
      <c r="A389"/>
      <c r="B389" s="1">
        <f t="shared" si="22"/>
        <v>351</v>
      </c>
      <c r="C389" t="s">
        <v>939</v>
      </c>
      <c r="D389" t="s">
        <v>940</v>
      </c>
    </row>
    <row r="390" spans="1:4" x14ac:dyDescent="0.2">
      <c r="A390"/>
      <c r="B390" s="1">
        <f t="shared" si="22"/>
        <v>352</v>
      </c>
      <c r="C390" t="s">
        <v>941</v>
      </c>
      <c r="D390" t="s">
        <v>942</v>
      </c>
    </row>
    <row r="391" spans="1:4" x14ac:dyDescent="0.2">
      <c r="A391"/>
      <c r="B391" s="1">
        <f t="shared" si="22"/>
        <v>353</v>
      </c>
      <c r="C391" t="s">
        <v>943</v>
      </c>
      <c r="D391" t="s">
        <v>944</v>
      </c>
    </row>
    <row r="392" spans="1:4" x14ac:dyDescent="0.2">
      <c r="A392"/>
      <c r="B392" s="1">
        <f t="shared" si="22"/>
        <v>354</v>
      </c>
      <c r="C392" t="s">
        <v>945</v>
      </c>
      <c r="D392" t="s">
        <v>948</v>
      </c>
    </row>
    <row r="393" spans="1:4" x14ac:dyDescent="0.2">
      <c r="A393"/>
      <c r="B393" s="1">
        <f t="shared" si="22"/>
        <v>355</v>
      </c>
      <c r="C393" t="s">
        <v>946</v>
      </c>
      <c r="D393" t="s">
        <v>947</v>
      </c>
    </row>
    <row r="394" spans="1:4" x14ac:dyDescent="0.2">
      <c r="A394"/>
      <c r="B394" s="1">
        <f t="shared" si="22"/>
        <v>356</v>
      </c>
      <c r="C394" t="s">
        <v>951</v>
      </c>
      <c r="D394" t="s">
        <v>952</v>
      </c>
    </row>
    <row r="395" spans="1:4" x14ac:dyDescent="0.2">
      <c r="A395"/>
      <c r="B395" s="1">
        <f t="shared" si="22"/>
        <v>357</v>
      </c>
      <c r="C395" t="s">
        <v>955</v>
      </c>
      <c r="D395" t="s">
        <v>956</v>
      </c>
    </row>
    <row r="396" spans="1:4" x14ac:dyDescent="0.2">
      <c r="A396"/>
      <c r="B396" s="1">
        <f t="shared" si="22"/>
        <v>358</v>
      </c>
      <c r="C396" t="s">
        <v>957</v>
      </c>
      <c r="D396" t="s">
        <v>958</v>
      </c>
    </row>
    <row r="397" spans="1:4" x14ac:dyDescent="0.2">
      <c r="A397"/>
      <c r="B397" s="1">
        <f t="shared" si="22"/>
        <v>359</v>
      </c>
      <c r="C397" t="s">
        <v>959</v>
      </c>
      <c r="D397" t="s">
        <v>960</v>
      </c>
    </row>
    <row r="398" spans="1:4" x14ac:dyDescent="0.2">
      <c r="A398"/>
      <c r="B398" s="1">
        <f t="shared" si="22"/>
        <v>360</v>
      </c>
      <c r="C398" t="s">
        <v>961</v>
      </c>
      <c r="D398" t="s">
        <v>962</v>
      </c>
    </row>
    <row r="399" spans="1:4" x14ac:dyDescent="0.2">
      <c r="A399"/>
      <c r="B399" s="1">
        <f t="shared" si="22"/>
        <v>361</v>
      </c>
      <c r="C399" t="s">
        <v>963</v>
      </c>
      <c r="D399" t="s">
        <v>964</v>
      </c>
    </row>
    <row r="400" spans="1:4" x14ac:dyDescent="0.2">
      <c r="A400"/>
      <c r="B400" s="1">
        <f t="shared" si="22"/>
        <v>362</v>
      </c>
      <c r="C400" t="s">
        <v>967</v>
      </c>
      <c r="D400" t="s">
        <v>968</v>
      </c>
    </row>
    <row r="401" spans="1:11" x14ac:dyDescent="0.2">
      <c r="A401"/>
      <c r="B401" s="1">
        <f t="shared" si="22"/>
        <v>363</v>
      </c>
      <c r="C401" t="s">
        <v>969</v>
      </c>
      <c r="D401" t="s">
        <v>970</v>
      </c>
    </row>
    <row r="402" spans="1:11" x14ac:dyDescent="0.2">
      <c r="A402"/>
      <c r="B402" s="1">
        <f t="shared" si="22"/>
        <v>364</v>
      </c>
      <c r="C402" t="s">
        <v>971</v>
      </c>
      <c r="D402" t="s">
        <v>972</v>
      </c>
    </row>
    <row r="403" spans="1:11" x14ac:dyDescent="0.2">
      <c r="A403"/>
      <c r="B403" s="1">
        <f t="shared" si="22"/>
        <v>365</v>
      </c>
      <c r="C403" t="s">
        <v>973</v>
      </c>
      <c r="D403" t="s">
        <v>974</v>
      </c>
    </row>
    <row r="404" spans="1:11" x14ac:dyDescent="0.2">
      <c r="A404"/>
      <c r="B404" s="1">
        <f t="shared" si="22"/>
        <v>366</v>
      </c>
      <c r="C404" t="s">
        <v>975</v>
      </c>
      <c r="D404" t="s">
        <v>976</v>
      </c>
    </row>
    <row r="405" spans="1:11" x14ac:dyDescent="0.2">
      <c r="A405"/>
      <c r="B405" s="1">
        <f t="shared" si="22"/>
        <v>367</v>
      </c>
      <c r="C405" t="s">
        <v>977</v>
      </c>
      <c r="D405" t="s">
        <v>978</v>
      </c>
    </row>
    <row r="406" spans="1:11" x14ac:dyDescent="0.2">
      <c r="A406"/>
      <c r="B406" s="1">
        <f t="shared" si="22"/>
        <v>368</v>
      </c>
      <c r="C406" t="s">
        <v>979</v>
      </c>
      <c r="D406" t="s">
        <v>980</v>
      </c>
    </row>
    <row r="407" spans="1:11" x14ac:dyDescent="0.2">
      <c r="A407"/>
      <c r="B407" s="1">
        <f t="shared" si="22"/>
        <v>369</v>
      </c>
      <c r="C407" t="s">
        <v>981</v>
      </c>
      <c r="D407" t="s">
        <v>982</v>
      </c>
    </row>
    <row r="408" spans="1:11" x14ac:dyDescent="0.2">
      <c r="A408"/>
      <c r="B408" s="1">
        <f t="shared" si="22"/>
        <v>370</v>
      </c>
      <c r="C408" t="s">
        <v>983</v>
      </c>
      <c r="D408" t="s">
        <v>984</v>
      </c>
    </row>
    <row r="409" spans="1:11" x14ac:dyDescent="0.2">
      <c r="A409"/>
      <c r="B409" s="1">
        <f t="shared" si="22"/>
        <v>371</v>
      </c>
      <c r="C409" t="s">
        <v>985</v>
      </c>
      <c r="D409" t="s">
        <v>986</v>
      </c>
    </row>
    <row r="410" spans="1:11" x14ac:dyDescent="0.2">
      <c r="A410"/>
      <c r="B410" s="1">
        <f t="shared" si="22"/>
        <v>372</v>
      </c>
      <c r="C410" t="s">
        <v>987</v>
      </c>
      <c r="D410" t="s">
        <v>988</v>
      </c>
    </row>
    <row r="411" spans="1:11" x14ac:dyDescent="0.2">
      <c r="B411" s="1">
        <f t="shared" si="22"/>
        <v>373</v>
      </c>
      <c r="C411" s="1" t="s">
        <v>1122</v>
      </c>
      <c r="D411" s="1" t="s">
        <v>1123</v>
      </c>
    </row>
    <row r="412" spans="1:11" x14ac:dyDescent="0.2">
      <c r="B412" s="1">
        <f t="shared" si="22"/>
        <v>374</v>
      </c>
      <c r="C412" s="5" t="s">
        <v>1124</v>
      </c>
      <c r="D412" t="s">
        <v>1125</v>
      </c>
      <c r="E412" s="7">
        <v>5</v>
      </c>
      <c r="F412" s="6">
        <f>+E412*J412</f>
        <v>216.57198499999998</v>
      </c>
      <c r="G412" s="6">
        <f>+[123]Main!$J$5-[123]Main!$J$6</f>
        <v>104.35299999999999</v>
      </c>
      <c r="H412" s="6">
        <f>+F412-G412</f>
        <v>112.21898499999999</v>
      </c>
      <c r="I412" s="3" t="s">
        <v>1097</v>
      </c>
      <c r="J412" s="6">
        <f>+[123]Main!$J$3</f>
        <v>43.314397</v>
      </c>
      <c r="K412" s="9">
        <v>45525</v>
      </c>
    </row>
    <row r="413" spans="1:11" x14ac:dyDescent="0.2">
      <c r="B413" s="1">
        <f t="shared" ref="B413:B415" si="23">+B412+1</f>
        <v>375</v>
      </c>
      <c r="C413" s="41" t="s">
        <v>1155</v>
      </c>
      <c r="D413" s="1" t="s">
        <v>1156</v>
      </c>
      <c r="E413" s="7">
        <v>10.54</v>
      </c>
    </row>
    <row r="414" spans="1:11" x14ac:dyDescent="0.2">
      <c r="B414" s="1">
        <f t="shared" si="23"/>
        <v>376</v>
      </c>
      <c r="C414" t="s">
        <v>1188</v>
      </c>
      <c r="D414" t="s">
        <v>1189</v>
      </c>
    </row>
    <row r="415" spans="1:11" x14ac:dyDescent="0.2">
      <c r="B415" s="1">
        <f t="shared" si="23"/>
        <v>377</v>
      </c>
      <c r="C415" s="1" t="s">
        <v>1226</v>
      </c>
      <c r="D415" s="1" t="s">
        <v>1227</v>
      </c>
      <c r="E415" s="3">
        <v>0.28999999999999998</v>
      </c>
    </row>
  </sheetData>
  <sortState xmlns:xlrd2="http://schemas.microsoft.com/office/spreadsheetml/2017/richdata2" ref="A138:AC196">
    <sortCondition descending="1" ref="F138:F196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8" r:id="rId16" xr:uid="{6EF35D30-7113-4CE8-9077-C5BE97F74D36}"/>
    <hyperlink ref="C20" r:id="rId17" xr:uid="{1F769FA7-6B90-4B6B-9BCC-7D6679675B06}"/>
    <hyperlink ref="C27" r:id="rId18" xr:uid="{61277D68-67DC-475B-9B61-B7E2F3017110}"/>
    <hyperlink ref="C226" r:id="rId19" xr:uid="{14A63DAF-63A6-4B91-A2AF-AE28EA251457}"/>
    <hyperlink ref="C230" r:id="rId20" xr:uid="{4ACA7C7F-E42A-4687-A776-AB8065DB40FF}"/>
    <hyperlink ref="C225" r:id="rId21" xr:uid="{B3421391-7EC0-4253-8F62-5ED45A5BFA02}"/>
    <hyperlink ref="C231" r:id="rId22" xr:uid="{F6A45FC7-B73C-4143-9CAB-B3ADA19B5FD7}"/>
    <hyperlink ref="C227" r:id="rId23" xr:uid="{BBD267CB-7407-4913-9D05-6A6AA380019F}"/>
    <hyperlink ref="C233" r:id="rId24" xr:uid="{85368858-6D0F-4ABE-975C-AE5530342445}"/>
    <hyperlink ref="C223" r:id="rId25" xr:uid="{8B5BC1F5-14D4-45A0-B224-31FAF227EAF3}"/>
    <hyperlink ref="C232" r:id="rId26" xr:uid="{D5FB3BFE-F0A8-4C09-90A1-9F506EF0ADE4}"/>
    <hyperlink ref="C228" r:id="rId27" xr:uid="{11598046-2AED-42E7-ACA5-251A20A59427}"/>
    <hyperlink ref="C53" r:id="rId28" xr:uid="{A1C90F9B-FBBF-4C72-9A11-3798F692A0D2}"/>
    <hyperlink ref="C76" r:id="rId29" xr:uid="{F7B6503D-1F84-47C4-B87E-BDA7159D1B9F}"/>
    <hyperlink ref="C46" r:id="rId30" xr:uid="{D0EE43E7-C3F5-4256-99AE-DDCA9EC11DCF}"/>
    <hyperlink ref="C37" r:id="rId31" xr:uid="{1C25970A-A568-4869-A34A-5C6C7551D812}"/>
    <hyperlink ref="C198" r:id="rId32" xr:uid="{C3A06396-38CD-486E-9F4F-233A79292B4F}"/>
    <hyperlink ref="C125" r:id="rId33" xr:uid="{B83625D8-44D2-4842-9139-F29C8D5F2D8E}"/>
    <hyperlink ref="C202" r:id="rId34" xr:uid="{5FF32E6A-C6C7-4793-8271-BD230B9C7641}"/>
    <hyperlink ref="C70" r:id="rId35" xr:uid="{E5739E03-9FE4-4D05-90C8-36ABF7D078CB}"/>
    <hyperlink ref="C80" r:id="rId36" xr:uid="{25285F59-771C-40DB-8B78-E1E454C61406}"/>
    <hyperlink ref="C229" r:id="rId37" xr:uid="{C000061C-001D-4088-90A4-B672D181D3C5}"/>
    <hyperlink ref="C45" r:id="rId38" xr:uid="{6A1F812B-EA91-4B3C-B4DC-88F792A7D0DE}"/>
    <hyperlink ref="C86" r:id="rId39" xr:uid="{6930A656-C59A-465F-8634-B30B4FEF47BC}"/>
    <hyperlink ref="C83" r:id="rId40" xr:uid="{559FAD8A-D620-4B93-BE14-CC22630BD57E}"/>
    <hyperlink ref="C6" r:id="rId41" xr:uid="{467EEBCD-6BD7-4E71-B2C9-FCF3DB57F059}"/>
    <hyperlink ref="C224" r:id="rId42" xr:uid="{6A576FDB-A573-4A00-8381-4BECF13B35A1}"/>
    <hyperlink ref="C25" r:id="rId43" xr:uid="{994E2867-C411-41E7-8332-43A0B3B0CC2B}"/>
    <hyperlink ref="C120" r:id="rId44" xr:uid="{51C9506E-5D60-43F8-BADA-7F72A25DAFF6}"/>
    <hyperlink ref="C94" r:id="rId45" xr:uid="{9E4325F2-98CF-4735-96D0-66A9DC5A8E86}"/>
    <hyperlink ref="C203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60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1" r:id="rId61" xr:uid="{E9207892-DA1F-48D2-B2C3-EFA59FCA8A47}"/>
    <hyperlink ref="C79" r:id="rId62" xr:uid="{DE2D1DDB-B5B7-4055-B885-0CD9E7670070}"/>
    <hyperlink ref="C32" r:id="rId63" xr:uid="{9DD12163-063E-4F73-89A5-34D8E8AC0534}"/>
    <hyperlink ref="C82" r:id="rId64" xr:uid="{1D3A6A47-22C9-4CC1-94BD-20DE3BB08016}"/>
    <hyperlink ref="C51" r:id="rId65" xr:uid="{27FB3DB4-8430-405F-9558-F31A0B69ED5F}"/>
    <hyperlink ref="C42" r:id="rId66" xr:uid="{144D13FD-59BD-499B-A0B4-B06985623C68}"/>
    <hyperlink ref="C200" r:id="rId67" xr:uid="{E48CD1EB-CFA1-47B1-BD8B-09F09CDD4FA4}"/>
    <hyperlink ref="C95" r:id="rId68" xr:uid="{6E9AFF81-F520-4A86-9FC2-D5CFE68E7EB7}"/>
    <hyperlink ref="C69" r:id="rId69" xr:uid="{ED527D70-0B51-4151-8378-8C40B68FF19D}"/>
    <hyperlink ref="C44" r:id="rId70" xr:uid="{A902B26E-CA39-4DC5-9F23-4459D8D315E8}"/>
    <hyperlink ref="C52" r:id="rId71" xr:uid="{5F0313F8-3376-4F67-9822-E1412CAA5959}"/>
    <hyperlink ref="C91" r:id="rId72" xr:uid="{AE3A3FD9-E651-4A72-81DB-B29CC61B516B}"/>
    <hyperlink ref="C65" r:id="rId73" xr:uid="{6FA4EBE7-4729-4097-A12F-CAD4CB58FFA6}"/>
    <hyperlink ref="C119" r:id="rId74" xr:uid="{C6F461C3-F385-4BE1-8914-0B22F9A9FF52}"/>
    <hyperlink ref="C49" r:id="rId75" xr:uid="{98D02B7D-F218-457E-B156-7FE773CF515A}"/>
    <hyperlink ref="C48" r:id="rId76" xr:uid="{02CB6FD9-C55D-44A1-9F2E-6A96A222EE6B}"/>
    <hyperlink ref="C74" r:id="rId77" xr:uid="{C691BA46-1169-4CAF-84E5-2A83E1B5404A}"/>
    <hyperlink ref="C50" r:id="rId78" xr:uid="{425EA3DE-2A59-4B96-B380-B688A4EDE233}"/>
    <hyperlink ref="C59" r:id="rId79" xr:uid="{1F24E207-02BC-4A1F-B083-69F8E95AC067}"/>
    <hyperlink ref="C64" r:id="rId80" xr:uid="{CE56D1ED-1CAA-4667-A3D9-82426599D26C}"/>
    <hyperlink ref="C28" r:id="rId81" xr:uid="{A79848CD-7CC3-4C10-B9EC-DDD33362E673}"/>
    <hyperlink ref="C88" r:id="rId82" xr:uid="{ED810682-5208-4265-9E0E-6746A399EA34}"/>
    <hyperlink ref="C127" r:id="rId83" xr:uid="{44DEB74A-F098-4876-A279-D1E6237DF8DB}"/>
    <hyperlink ref="C68" r:id="rId84" xr:uid="{ADF59BEC-B8D8-4144-ADEB-041425B69409}"/>
    <hyperlink ref="C309" r:id="rId85" xr:uid="{69AB4316-2FED-44FC-B108-3CD00D6F57B9}"/>
    <hyperlink ref="C304" r:id="rId86" xr:uid="{172C358D-5501-4447-9FDE-DA046F6FED55}"/>
    <hyperlink ref="C121" r:id="rId87" xr:uid="{D181F941-FF02-423B-9F90-890B434046DD}"/>
    <hyperlink ref="C123" r:id="rId88" xr:uid="{1924D31B-B6B9-4CB2-936E-0F68E40FA2F5}"/>
    <hyperlink ref="C126" r:id="rId89" xr:uid="{8E97DA51-E6CD-4B11-B6F8-BD0A3CC93541}"/>
    <hyperlink ref="C84" r:id="rId90" xr:uid="{BACD6400-1341-654E-A5B2-576C65F8052B}"/>
    <hyperlink ref="C344" r:id="rId91" xr:uid="{C4CF7488-CAF7-4516-AB24-0FC50F0916A3}"/>
    <hyperlink ref="C85" r:id="rId92" xr:uid="{2B6C4E35-2657-4D1A-8D80-C54F892964F4}"/>
    <hyperlink ref="C10" r:id="rId93" xr:uid="{D4CC8F9A-CC3B-EE41-860B-629E01D90BFD}"/>
    <hyperlink ref="C412" r:id="rId94" xr:uid="{C4EB2FD5-19C2-4B46-A645-6A4B58B3BF48}"/>
    <hyperlink ref="C18" r:id="rId95" xr:uid="{29212F29-BB24-1048-9B2F-FC0168C49234}"/>
    <hyperlink ref="C197" r:id="rId96" xr:uid="{E2D5EE7E-5721-5749-A98C-474C4C00D036}"/>
    <hyperlink ref="C24" r:id="rId97" xr:uid="{AA34EED3-260C-48F6-B18F-9CB2123B2DB8}"/>
    <hyperlink ref="C34" r:id="rId98" xr:uid="{3556B95F-6CC1-4165-90C0-F95B358B441D}"/>
    <hyperlink ref="C413" r:id="rId99" xr:uid="{E9466C79-B428-4906-B5D4-8A65E345C46A}"/>
    <hyperlink ref="C73" r:id="rId100" xr:uid="{0F64F384-8187-4F0A-B6D5-472BB2A5904F}"/>
    <hyperlink ref="C90" r:id="rId101" xr:uid="{5475D411-362D-4662-900D-6279A7227B29}"/>
    <hyperlink ref="C57" r:id="rId102" xr:uid="{6DB2BB02-C4A0-49AF-BAFF-B0F94FD8A18F}"/>
    <hyperlink ref="C56" r:id="rId103" xr:uid="{207C989E-621C-4033-9CCE-48EE8FC87164}"/>
    <hyperlink ref="C35" r:id="rId104" xr:uid="{EAE06527-C521-4E27-80DB-BF20330157C9}"/>
    <hyperlink ref="C66" r:id="rId105" xr:uid="{5E221389-B42A-4ECC-B5CE-DEA05F90F52F}"/>
    <hyperlink ref="C92" r:id="rId106" xr:uid="{50F9FE65-F347-4AD5-8CB3-AEF68BBB9AA8}"/>
    <hyperlink ref="C96" r:id="rId107" xr:uid="{75D04E08-C11D-42F6-A0B8-9E185A6BA249}"/>
    <hyperlink ref="C97" r:id="rId108" xr:uid="{DD06A32A-D1AE-4DFA-957F-7E5F6848399D}"/>
    <hyperlink ref="C54" r:id="rId109" xr:uid="{A9CCEE93-948C-4958-9273-229E876026E5}"/>
    <hyperlink ref="C62" r:id="rId110" xr:uid="{8A039020-76D6-4648-8559-2E66BD4069E8}"/>
    <hyperlink ref="C72" r:id="rId111" xr:uid="{57A317C3-FCD5-4B9D-9890-302872D6263D}"/>
    <hyperlink ref="C93" r:id="rId112" xr:uid="{7DEB18EF-0653-42AE-848B-1CD34B6185B1}"/>
    <hyperlink ref="C306" r:id="rId113" xr:uid="{500E1EB4-5BFA-41DA-B498-9CADDCBC3BD8}"/>
    <hyperlink ref="C207" r:id="rId114" xr:uid="{DA843767-B487-45EC-B6B6-4CAF3C575C50}"/>
    <hyperlink ref="C75" r:id="rId115" xr:uid="{5DA9C2AA-A278-4FF3-A2FD-E53617E5E8B8}"/>
    <hyperlink ref="C234" r:id="rId116" xr:uid="{91A036B5-0E03-4930-B738-BF1C076ACF18}"/>
    <hyperlink ref="C89" r:id="rId117" xr:uid="{8068ED1A-3B17-4C79-9022-B1BEE306CC58}"/>
    <hyperlink ref="C87" r:id="rId118" xr:uid="{DEB94AB7-6F89-44AE-9C77-B3E2D1E51B70}"/>
    <hyperlink ref="C307" r:id="rId119" xr:uid="{C5AE6E9D-13C3-40F4-80F9-EB86590BF332}"/>
    <hyperlink ref="C201" r:id="rId120" xr:uid="{47C928EF-242B-4B5F-9296-FA878004232C}"/>
    <hyperlink ref="C352" r:id="rId121" xr:uid="{B0C9190D-D136-462D-B004-BE374B10A4F0}"/>
    <hyperlink ref="C78" r:id="rId122" xr:uid="{1C0EAF20-C59C-4E14-90E0-E67EED291627}"/>
    <hyperlink ref="C305" r:id="rId123" xr:uid="{820E74E5-32AF-43AF-A75C-37305E58D952}"/>
    <hyperlink ref="C199" r:id="rId124" xr:uid="{C2EF7A04-6E03-432E-AE39-F9FC0944E6B7}"/>
    <hyperlink ref="C81" r:id="rId125" xr:uid="{4A53B476-D8D4-4433-B5B3-B626DD5ECAA5}"/>
    <hyperlink ref="C308" r:id="rId126" xr:uid="{0E69FC1D-F608-42EA-B683-C53C409C70F7}"/>
    <hyperlink ref="C145" r:id="rId127" xr:uid="{058DC54B-6F58-47B5-B00D-CB85499F0661}"/>
    <hyperlink ref="C146" r:id="rId128" xr:uid="{E3F91124-A68C-481A-9F88-5F0B403E12FC}"/>
    <hyperlink ref="C211" r:id="rId129" xr:uid="{879666A1-6AD0-495B-B29D-1523E9F3BF37}"/>
    <hyperlink ref="C55" r:id="rId130" xr:uid="{3E4416C1-24BA-4833-B8A9-810255675E01}"/>
    <hyperlink ref="C124" r:id="rId131" xr:uid="{CEEF1ECE-36B3-482E-AA72-8B9DAE4D2730}"/>
    <hyperlink ref="C98" r:id="rId132" xr:uid="{80739158-DB58-4D0E-8015-4407904D5E4C}"/>
    <hyperlink ref="C63" r:id="rId133" xr:uid="{FAC64BC1-A38C-4704-8DED-7AC1F6D784BD}"/>
    <hyperlink ref="C310" r:id="rId134" xr:uid="{B8FF6BDF-ECF2-42BA-996C-B33320BF3BB8}"/>
    <hyperlink ref="C122" r:id="rId135" xr:uid="{3C9F7D37-C376-486A-BD65-0A06F1A1BA4E}"/>
    <hyperlink ref="C71" r:id="rId136" xr:uid="{A739B306-7AF4-4BC1-B603-405E1AD42DA9}"/>
    <hyperlink ref="C67" r:id="rId137" xr:uid="{D16D1630-A1AE-4CF8-B35B-01F574ECC4EC}"/>
    <hyperlink ref="C77" r:id="rId138" xr:uid="{A96FF32D-8546-4297-AE3C-E279BBEB2988}"/>
  </hyperlinks>
  <pageMargins left="0.7" right="0.7" top="0.75" bottom="0.75" header="0.3" footer="0.3"/>
  <pageSetup paperSize="9" orientation="portrait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1157</v>
      </c>
    </row>
    <row r="3" spans="2:2" x14ac:dyDescent="0.2">
      <c r="B3" t="s">
        <v>1158</v>
      </c>
    </row>
    <row r="4" spans="2:2" x14ac:dyDescent="0.2">
      <c r="B4" t="s">
        <v>1171</v>
      </c>
    </row>
    <row r="5" spans="2:2" x14ac:dyDescent="0.2">
      <c r="B5" t="s">
        <v>1183</v>
      </c>
    </row>
    <row r="6" spans="2:2" x14ac:dyDescent="0.2">
      <c r="B6" t="s">
        <v>1180</v>
      </c>
    </row>
    <row r="7" spans="2:2" x14ac:dyDescent="0.2">
      <c r="B7" t="s">
        <v>1181</v>
      </c>
    </row>
    <row r="8" spans="2:2" x14ac:dyDescent="0.2">
      <c r="B8" t="s">
        <v>1173</v>
      </c>
    </row>
    <row r="9" spans="2:2" x14ac:dyDescent="0.2">
      <c r="B9" t="s">
        <v>1185</v>
      </c>
    </row>
    <row r="10" spans="2:2" x14ac:dyDescent="0.2">
      <c r="B10" t="s">
        <v>1182</v>
      </c>
    </row>
    <row r="11" spans="2:2" x14ac:dyDescent="0.2">
      <c r="B11" t="s">
        <v>1184</v>
      </c>
    </row>
    <row r="12" spans="2:2" x14ac:dyDescent="0.2">
      <c r="B12" t="s">
        <v>1159</v>
      </c>
    </row>
    <row r="13" spans="2:2" x14ac:dyDescent="0.2">
      <c r="B13" t="s">
        <v>238</v>
      </c>
    </row>
    <row r="14" spans="2:2" x14ac:dyDescent="0.2">
      <c r="B14" t="s">
        <v>1160</v>
      </c>
    </row>
    <row r="15" spans="2:2" x14ac:dyDescent="0.2">
      <c r="B15" t="s">
        <v>1161</v>
      </c>
    </row>
    <row r="16" spans="2:2" x14ac:dyDescent="0.2">
      <c r="B16" t="s">
        <v>1162</v>
      </c>
    </row>
    <row r="17" spans="2:2" x14ac:dyDescent="0.2">
      <c r="B17" t="s">
        <v>1163</v>
      </c>
    </row>
    <row r="18" spans="2:2" x14ac:dyDescent="0.2">
      <c r="B18" t="s">
        <v>1164</v>
      </c>
    </row>
    <row r="19" spans="2:2" x14ac:dyDescent="0.2">
      <c r="B19" t="s">
        <v>1165</v>
      </c>
    </row>
    <row r="20" spans="2:2" x14ac:dyDescent="0.2">
      <c r="B20" t="s">
        <v>1166</v>
      </c>
    </row>
    <row r="21" spans="2:2" x14ac:dyDescent="0.2">
      <c r="B21" t="s">
        <v>1167</v>
      </c>
    </row>
    <row r="22" spans="2:2" x14ac:dyDescent="0.2">
      <c r="B22" t="s">
        <v>1172</v>
      </c>
    </row>
    <row r="23" spans="2:2" x14ac:dyDescent="0.2">
      <c r="B23" t="s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21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1034</v>
      </c>
      <c r="C2" t="s">
        <v>335</v>
      </c>
      <c r="D2" t="s">
        <v>1039</v>
      </c>
      <c r="E2" t="s">
        <v>9</v>
      </c>
      <c r="F2" t="s">
        <v>1036</v>
      </c>
      <c r="G2" t="s">
        <v>1044</v>
      </c>
    </row>
    <row r="3" spans="1:7" x14ac:dyDescent="0.2">
      <c r="B3" t="s">
        <v>1035</v>
      </c>
      <c r="D3" t="s">
        <v>1037</v>
      </c>
    </row>
    <row r="4" spans="1:7" x14ac:dyDescent="0.2">
      <c r="B4" t="s">
        <v>240</v>
      </c>
      <c r="D4" t="s">
        <v>1037</v>
      </c>
    </row>
    <row r="5" spans="1:7" x14ac:dyDescent="0.2">
      <c r="B5" t="s">
        <v>147</v>
      </c>
      <c r="C5" s="13">
        <v>45079</v>
      </c>
      <c r="D5" s="13" t="s">
        <v>1037</v>
      </c>
      <c r="E5">
        <v>40.96</v>
      </c>
      <c r="F5">
        <v>8</v>
      </c>
      <c r="G5">
        <v>20</v>
      </c>
    </row>
    <row r="6" spans="1:7" x14ac:dyDescent="0.2">
      <c r="B6" t="s">
        <v>1032</v>
      </c>
      <c r="C6" s="13">
        <v>45079</v>
      </c>
      <c r="D6" s="13" t="s">
        <v>1037</v>
      </c>
      <c r="E6">
        <v>14.37</v>
      </c>
      <c r="F6">
        <v>3</v>
      </c>
      <c r="G6">
        <v>31.26</v>
      </c>
    </row>
    <row r="7" spans="1:7" x14ac:dyDescent="0.2">
      <c r="B7" t="s">
        <v>1033</v>
      </c>
      <c r="C7" s="13">
        <v>45079</v>
      </c>
      <c r="D7" s="13" t="s">
        <v>1037</v>
      </c>
      <c r="E7">
        <v>63.96</v>
      </c>
      <c r="F7">
        <v>3</v>
      </c>
      <c r="G7" s="42">
        <v>78</v>
      </c>
    </row>
    <row r="8" spans="1:7" x14ac:dyDescent="0.2">
      <c r="B8" t="s">
        <v>796</v>
      </c>
      <c r="C8" s="13">
        <v>45079</v>
      </c>
      <c r="D8" s="13" t="s">
        <v>1038</v>
      </c>
      <c r="E8">
        <v>25.18</v>
      </c>
      <c r="F8">
        <v>3</v>
      </c>
      <c r="G8">
        <v>3.25</v>
      </c>
    </row>
    <row r="9" spans="1:7" x14ac:dyDescent="0.2">
      <c r="B9" t="s">
        <v>787</v>
      </c>
      <c r="D9" s="13" t="s">
        <v>1038</v>
      </c>
      <c r="E9">
        <v>29.52</v>
      </c>
      <c r="F9">
        <v>10</v>
      </c>
    </row>
    <row r="10" spans="1:7" x14ac:dyDescent="0.2">
      <c r="B10" t="s">
        <v>1215</v>
      </c>
      <c r="D10" s="13" t="s">
        <v>1037</v>
      </c>
    </row>
    <row r="11" spans="1:7" x14ac:dyDescent="0.2">
      <c r="B11" t="s">
        <v>218</v>
      </c>
      <c r="D11" s="13" t="s">
        <v>1037</v>
      </c>
    </row>
    <row r="12" spans="1:7" x14ac:dyDescent="0.2">
      <c r="B12" t="s">
        <v>1216</v>
      </c>
      <c r="D12" s="13" t="s">
        <v>1037</v>
      </c>
    </row>
    <row r="13" spans="1:7" x14ac:dyDescent="0.2">
      <c r="B13" t="s">
        <v>1217</v>
      </c>
      <c r="D13" s="13" t="s">
        <v>1037</v>
      </c>
    </row>
    <row r="14" spans="1:7" x14ac:dyDescent="0.2">
      <c r="B14" t="s">
        <v>1218</v>
      </c>
      <c r="D14" s="13" t="s">
        <v>1037</v>
      </c>
    </row>
    <row r="15" spans="1:7" x14ac:dyDescent="0.2">
      <c r="B15" t="s">
        <v>1219</v>
      </c>
      <c r="D15" t="s">
        <v>1037</v>
      </c>
      <c r="F15">
        <v>1</v>
      </c>
    </row>
    <row r="16" spans="1:7" x14ac:dyDescent="0.2">
      <c r="B16" t="s">
        <v>94</v>
      </c>
      <c r="D16" t="s">
        <v>1037</v>
      </c>
    </row>
    <row r="17" spans="2:6" x14ac:dyDescent="0.2">
      <c r="B17" t="s">
        <v>1210</v>
      </c>
      <c r="D17" t="s">
        <v>1038</v>
      </c>
      <c r="F17">
        <v>3</v>
      </c>
    </row>
    <row r="18" spans="2:6" x14ac:dyDescent="0.2">
      <c r="B18" t="s">
        <v>1220</v>
      </c>
      <c r="D18" t="s">
        <v>1038</v>
      </c>
      <c r="F18">
        <v>1</v>
      </c>
    </row>
    <row r="19" spans="2:6" x14ac:dyDescent="0.2">
      <c r="B19" t="s">
        <v>1221</v>
      </c>
      <c r="D19" t="s">
        <v>1037</v>
      </c>
    </row>
    <row r="20" spans="2:6" x14ac:dyDescent="0.2">
      <c r="B20" t="s">
        <v>1222</v>
      </c>
      <c r="D20" t="s">
        <v>1037</v>
      </c>
    </row>
    <row r="21" spans="2:6" x14ac:dyDescent="0.2">
      <c r="B21" t="s">
        <v>1223</v>
      </c>
      <c r="D21" t="s">
        <v>1037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1120</v>
      </c>
      <c r="C2" t="s">
        <v>645</v>
      </c>
      <c r="D2" t="s">
        <v>642</v>
      </c>
      <c r="E2" s="28" t="s">
        <v>1111</v>
      </c>
      <c r="F2" s="28" t="s">
        <v>1112</v>
      </c>
      <c r="G2" s="28" t="s">
        <v>1113</v>
      </c>
      <c r="H2" s="28" t="s">
        <v>1116</v>
      </c>
      <c r="I2" s="28" t="s">
        <v>1117</v>
      </c>
      <c r="J2" s="28" t="s">
        <v>1118</v>
      </c>
      <c r="K2" s="28" t="s">
        <v>1119</v>
      </c>
      <c r="M2" s="28" t="s">
        <v>635</v>
      </c>
      <c r="N2" s="28" t="s">
        <v>636</v>
      </c>
      <c r="O2" s="28" t="s">
        <v>637</v>
      </c>
      <c r="P2" s="28" t="s">
        <v>638</v>
      </c>
      <c r="Q2" s="28" t="s">
        <v>639</v>
      </c>
      <c r="R2" s="28" t="s">
        <v>640</v>
      </c>
      <c r="S2" s="28" t="s">
        <v>1068</v>
      </c>
      <c r="T2" s="28" t="s">
        <v>1069</v>
      </c>
      <c r="U2" s="28" t="s">
        <v>1070</v>
      </c>
      <c r="V2" s="28" t="s">
        <v>1071</v>
      </c>
      <c r="W2" s="28" t="s">
        <v>1072</v>
      </c>
      <c r="X2" s="28" t="s">
        <v>1073</v>
      </c>
      <c r="Y2" s="28" t="s">
        <v>1077</v>
      </c>
      <c r="Z2" s="28" t="s">
        <v>1078</v>
      </c>
      <c r="AA2" s="28" t="s">
        <v>1079</v>
      </c>
      <c r="AB2" s="28" t="s">
        <v>1080</v>
      </c>
      <c r="AC2" s="28" t="s">
        <v>1098</v>
      </c>
      <c r="AD2" s="28" t="s">
        <v>1099</v>
      </c>
      <c r="AE2" s="28" t="s">
        <v>1100</v>
      </c>
      <c r="AF2" s="28" t="s">
        <v>1101</v>
      </c>
      <c r="AG2" s="28" t="s">
        <v>1102</v>
      </c>
      <c r="AH2" s="28" t="s">
        <v>1103</v>
      </c>
      <c r="AI2" s="28" t="s">
        <v>1104</v>
      </c>
      <c r="AJ2" s="28" t="s">
        <v>1105</v>
      </c>
      <c r="AK2" s="28" t="s">
        <v>1106</v>
      </c>
      <c r="AL2" s="28" t="s">
        <v>1107</v>
      </c>
      <c r="AM2" s="28" t="s">
        <v>1108</v>
      </c>
      <c r="AN2" s="28" t="s">
        <v>1109</v>
      </c>
      <c r="AO2" s="28" t="s">
        <v>1110</v>
      </c>
    </row>
    <row r="3" spans="1:109" x14ac:dyDescent="0.2">
      <c r="B3" t="s">
        <v>1074</v>
      </c>
      <c r="C3" t="s">
        <v>1075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641</v>
      </c>
      <c r="C4" t="s">
        <v>20</v>
      </c>
      <c r="D4" t="s">
        <v>643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665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669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1114</v>
      </c>
      <c r="C7" t="s">
        <v>1115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663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658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1121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652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661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666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667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662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664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672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650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646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668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660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654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657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644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656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670</v>
      </c>
      <c r="C26" t="s">
        <v>671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648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647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649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651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653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655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1126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1127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1128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1129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1130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1131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1132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1133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1134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1135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1136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1137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1076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Main!B101+1</f>
        <v>64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604</v>
      </c>
      <c r="D11" t="s">
        <v>605</v>
      </c>
    </row>
    <row r="12" spans="1:28" x14ac:dyDescent="0.2">
      <c r="C12" t="s">
        <v>444</v>
      </c>
      <c r="D12" s="23" t="s">
        <v>701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1089</v>
      </c>
      <c r="D13" t="s">
        <v>1090</v>
      </c>
    </row>
    <row r="15" spans="1:28" x14ac:dyDescent="0.2">
      <c r="B15" s="1"/>
      <c r="C15" s="1" t="s">
        <v>1143</v>
      </c>
      <c r="D15" t="s">
        <v>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2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M42" sqref="M42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1051</v>
      </c>
    </row>
    <row r="3" spans="1:10" x14ac:dyDescent="0.2">
      <c r="B3" t="s">
        <v>508</v>
      </c>
      <c r="E3" t="s">
        <v>330</v>
      </c>
      <c r="F3">
        <v>3000</v>
      </c>
      <c r="G3" t="s">
        <v>509</v>
      </c>
    </row>
    <row r="4" spans="1:10" x14ac:dyDescent="0.2">
      <c r="B4" t="s">
        <v>487</v>
      </c>
      <c r="E4" t="s">
        <v>623</v>
      </c>
      <c r="F4">
        <v>401</v>
      </c>
      <c r="G4" t="s">
        <v>1046</v>
      </c>
      <c r="H4" s="38">
        <v>45070</v>
      </c>
    </row>
    <row r="5" spans="1:10" x14ac:dyDescent="0.2">
      <c r="B5" t="s">
        <v>449</v>
      </c>
      <c r="C5">
        <v>2018</v>
      </c>
      <c r="D5" t="s">
        <v>450</v>
      </c>
      <c r="E5" t="s">
        <v>398</v>
      </c>
      <c r="F5">
        <v>400</v>
      </c>
    </row>
    <row r="6" spans="1:10" x14ac:dyDescent="0.2">
      <c r="B6" t="s">
        <v>505</v>
      </c>
      <c r="E6" t="s">
        <v>330</v>
      </c>
      <c r="F6">
        <v>350</v>
      </c>
      <c r="G6" t="s">
        <v>1058</v>
      </c>
      <c r="H6" s="38">
        <v>44754</v>
      </c>
    </row>
    <row r="7" spans="1:10" x14ac:dyDescent="0.2">
      <c r="B7" t="s">
        <v>465</v>
      </c>
      <c r="C7">
        <v>2018</v>
      </c>
      <c r="E7" t="s">
        <v>398</v>
      </c>
      <c r="F7">
        <v>300</v>
      </c>
      <c r="G7" t="s">
        <v>1049</v>
      </c>
      <c r="J7">
        <v>1700</v>
      </c>
    </row>
    <row r="8" spans="1:10" x14ac:dyDescent="0.2">
      <c r="B8" t="s">
        <v>1064</v>
      </c>
      <c r="E8" t="s">
        <v>330</v>
      </c>
      <c r="F8">
        <v>290</v>
      </c>
      <c r="G8" t="s">
        <v>1065</v>
      </c>
      <c r="H8" s="38">
        <v>45400</v>
      </c>
    </row>
    <row r="9" spans="1:10" x14ac:dyDescent="0.2">
      <c r="B9" t="s">
        <v>460</v>
      </c>
      <c r="E9" t="s">
        <v>612</v>
      </c>
      <c r="F9">
        <v>221</v>
      </c>
      <c r="G9" t="s">
        <v>1049</v>
      </c>
      <c r="H9" s="38">
        <v>44670</v>
      </c>
    </row>
    <row r="10" spans="1:10" x14ac:dyDescent="0.2">
      <c r="B10" t="s">
        <v>485</v>
      </c>
    </row>
    <row r="11" spans="1:10" x14ac:dyDescent="0.2">
      <c r="B11" t="s">
        <v>486</v>
      </c>
    </row>
    <row r="12" spans="1:10" x14ac:dyDescent="0.2">
      <c r="B12" t="s">
        <v>488</v>
      </c>
      <c r="C12">
        <v>2019</v>
      </c>
      <c r="I12" t="s">
        <v>511</v>
      </c>
    </row>
    <row r="13" spans="1:10" x14ac:dyDescent="0.2">
      <c r="B13" t="s">
        <v>489</v>
      </c>
    </row>
    <row r="14" spans="1:10" x14ac:dyDescent="0.2">
      <c r="B14" t="s">
        <v>490</v>
      </c>
    </row>
    <row r="15" spans="1:10" x14ac:dyDescent="0.2">
      <c r="B15" t="s">
        <v>491</v>
      </c>
    </row>
    <row r="16" spans="1:10" x14ac:dyDescent="0.2">
      <c r="B16" t="s">
        <v>492</v>
      </c>
      <c r="E16" t="s">
        <v>398</v>
      </c>
      <c r="F16">
        <v>270</v>
      </c>
      <c r="G16" t="s">
        <v>1138</v>
      </c>
      <c r="H16" s="38">
        <v>44697</v>
      </c>
    </row>
    <row r="17" spans="2:9" x14ac:dyDescent="0.2">
      <c r="B17" t="s">
        <v>493</v>
      </c>
    </row>
    <row r="18" spans="2:9" x14ac:dyDescent="0.2">
      <c r="B18" t="s">
        <v>1017</v>
      </c>
      <c r="C18">
        <v>2020</v>
      </c>
      <c r="E18" t="s">
        <v>612</v>
      </c>
      <c r="F18">
        <v>150</v>
      </c>
      <c r="H18" s="38">
        <v>44657</v>
      </c>
      <c r="I18" t="s">
        <v>1018</v>
      </c>
    </row>
    <row r="19" spans="2:9" x14ac:dyDescent="0.2">
      <c r="B19" t="s">
        <v>494</v>
      </c>
    </row>
    <row r="20" spans="2:9" x14ac:dyDescent="0.2">
      <c r="B20" t="s">
        <v>1139</v>
      </c>
      <c r="E20" t="s">
        <v>612</v>
      </c>
      <c r="F20">
        <v>110</v>
      </c>
    </row>
    <row r="21" spans="2:9" x14ac:dyDescent="0.2">
      <c r="B21" t="s">
        <v>495</v>
      </c>
      <c r="C21">
        <v>2018</v>
      </c>
      <c r="E21" t="s">
        <v>623</v>
      </c>
      <c r="F21">
        <v>160</v>
      </c>
      <c r="G21" t="s">
        <v>626</v>
      </c>
      <c r="H21" s="38">
        <v>44817</v>
      </c>
      <c r="I21" t="s">
        <v>622</v>
      </c>
    </row>
    <row r="22" spans="2:9" x14ac:dyDescent="0.2">
      <c r="B22" t="s">
        <v>495</v>
      </c>
      <c r="C22">
        <v>2018</v>
      </c>
      <c r="E22" t="s">
        <v>398</v>
      </c>
      <c r="F22">
        <v>108</v>
      </c>
      <c r="G22" t="s">
        <v>625</v>
      </c>
      <c r="H22" s="38">
        <v>44362</v>
      </c>
    </row>
    <row r="23" spans="2:9" x14ac:dyDescent="0.2">
      <c r="B23" t="s">
        <v>495</v>
      </c>
      <c r="C23">
        <v>2018</v>
      </c>
      <c r="E23" t="s">
        <v>612</v>
      </c>
      <c r="F23">
        <v>105</v>
      </c>
      <c r="G23" t="s">
        <v>625</v>
      </c>
      <c r="H23" s="38">
        <v>44173</v>
      </c>
    </row>
    <row r="24" spans="2:9" x14ac:dyDescent="0.2">
      <c r="B24" t="s">
        <v>495</v>
      </c>
      <c r="C24">
        <v>2018</v>
      </c>
      <c r="E24" t="s">
        <v>330</v>
      </c>
      <c r="F24">
        <v>45</v>
      </c>
      <c r="G24" t="s">
        <v>624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1061</v>
      </c>
      <c r="F26">
        <v>145</v>
      </c>
      <c r="G26" t="s">
        <v>1062</v>
      </c>
      <c r="H26" s="38">
        <v>45352</v>
      </c>
    </row>
    <row r="27" spans="2:9" x14ac:dyDescent="0.2">
      <c r="B27" t="s">
        <v>397</v>
      </c>
      <c r="E27" t="s">
        <v>623</v>
      </c>
      <c r="F27">
        <v>178</v>
      </c>
      <c r="G27" t="s">
        <v>1063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1054</v>
      </c>
      <c r="E31" t="s">
        <v>612</v>
      </c>
      <c r="F31">
        <v>75</v>
      </c>
      <c r="G31" t="s">
        <v>1055</v>
      </c>
      <c r="H31" s="38">
        <v>45308</v>
      </c>
    </row>
    <row r="32" spans="2:9" x14ac:dyDescent="0.2">
      <c r="B32" t="s">
        <v>1056</v>
      </c>
      <c r="E32" t="s">
        <v>398</v>
      </c>
      <c r="F32">
        <v>75</v>
      </c>
      <c r="G32" t="s">
        <v>1057</v>
      </c>
      <c r="H32" s="38">
        <v>45314</v>
      </c>
    </row>
    <row r="33" spans="2:8" x14ac:dyDescent="0.2">
      <c r="B33" t="s">
        <v>1140</v>
      </c>
      <c r="H33" s="38"/>
    </row>
    <row r="34" spans="2:8" x14ac:dyDescent="0.2">
      <c r="B34" t="s">
        <v>496</v>
      </c>
      <c r="E34" t="s">
        <v>398</v>
      </c>
      <c r="F34">
        <v>259</v>
      </c>
    </row>
    <row r="35" spans="2:8" x14ac:dyDescent="0.2">
      <c r="B35" t="s">
        <v>497</v>
      </c>
    </row>
    <row r="36" spans="2:8" x14ac:dyDescent="0.2">
      <c r="B36" t="s">
        <v>498</v>
      </c>
    </row>
    <row r="37" spans="2:8" x14ac:dyDescent="0.2">
      <c r="B37" t="s">
        <v>499</v>
      </c>
    </row>
    <row r="38" spans="2:8" x14ac:dyDescent="0.2">
      <c r="B38" t="s">
        <v>500</v>
      </c>
    </row>
    <row r="39" spans="2:8" x14ac:dyDescent="0.2">
      <c r="B39" t="s">
        <v>501</v>
      </c>
    </row>
    <row r="40" spans="2:8" x14ac:dyDescent="0.2">
      <c r="B40" t="s">
        <v>1024</v>
      </c>
      <c r="C40">
        <v>2021</v>
      </c>
      <c r="F40">
        <v>20</v>
      </c>
      <c r="H40" s="38">
        <v>45030</v>
      </c>
    </row>
    <row r="41" spans="2:8" x14ac:dyDescent="0.2">
      <c r="B41" t="s">
        <v>1025</v>
      </c>
      <c r="C41">
        <v>2020</v>
      </c>
      <c r="F41">
        <v>20</v>
      </c>
      <c r="H41" s="38">
        <v>44987</v>
      </c>
    </row>
    <row r="42" spans="2:8" x14ac:dyDescent="0.2">
      <c r="B42" t="s">
        <v>1023</v>
      </c>
    </row>
    <row r="43" spans="2:8" x14ac:dyDescent="0.2">
      <c r="B43" t="s">
        <v>1026</v>
      </c>
      <c r="C43" s="13">
        <v>44188</v>
      </c>
      <c r="F43">
        <v>19</v>
      </c>
      <c r="H43" s="38">
        <v>44545</v>
      </c>
    </row>
    <row r="44" spans="2:8" x14ac:dyDescent="0.2">
      <c r="B44" t="s">
        <v>1059</v>
      </c>
      <c r="C44" s="13"/>
      <c r="E44" t="s">
        <v>330</v>
      </c>
      <c r="F44">
        <v>16.8</v>
      </c>
      <c r="G44" t="s">
        <v>1060</v>
      </c>
      <c r="H44" s="38">
        <v>45349</v>
      </c>
    </row>
    <row r="45" spans="2:8" x14ac:dyDescent="0.2">
      <c r="B45" t="s">
        <v>1206</v>
      </c>
      <c r="C45" s="13"/>
      <c r="H45" s="38"/>
    </row>
    <row r="46" spans="2:8" x14ac:dyDescent="0.2">
      <c r="B46" t="s">
        <v>1052</v>
      </c>
      <c r="C46" s="13"/>
      <c r="E46" t="s">
        <v>330</v>
      </c>
      <c r="F46">
        <v>14</v>
      </c>
      <c r="G46" t="s">
        <v>1053</v>
      </c>
      <c r="H46" s="38">
        <v>45307</v>
      </c>
    </row>
    <row r="47" spans="2:8" x14ac:dyDescent="0.2">
      <c r="B47" t="s">
        <v>502</v>
      </c>
    </row>
    <row r="48" spans="2:8" x14ac:dyDescent="0.2">
      <c r="B48" t="s">
        <v>1022</v>
      </c>
    </row>
    <row r="49" spans="2:8" x14ac:dyDescent="0.2">
      <c r="B49" t="s">
        <v>1211</v>
      </c>
    </row>
    <row r="50" spans="2:8" x14ac:dyDescent="0.2">
      <c r="B50" t="s">
        <v>503</v>
      </c>
    </row>
    <row r="51" spans="2:8" x14ac:dyDescent="0.2">
      <c r="B51" t="s">
        <v>504</v>
      </c>
    </row>
    <row r="52" spans="2:8" x14ac:dyDescent="0.2">
      <c r="B52" t="s">
        <v>452</v>
      </c>
    </row>
    <row r="53" spans="2:8" x14ac:dyDescent="0.2">
      <c r="B53" t="s">
        <v>1168</v>
      </c>
      <c r="E53" t="s">
        <v>612</v>
      </c>
      <c r="F53">
        <v>120</v>
      </c>
      <c r="H53" s="38">
        <v>45511</v>
      </c>
    </row>
    <row r="54" spans="2:8" x14ac:dyDescent="0.2">
      <c r="B54" t="s">
        <v>453</v>
      </c>
    </row>
    <row r="55" spans="2:8" x14ac:dyDescent="0.2">
      <c r="B55" t="s">
        <v>454</v>
      </c>
    </row>
    <row r="56" spans="2:8" x14ac:dyDescent="0.2">
      <c r="B56" t="s">
        <v>455</v>
      </c>
    </row>
    <row r="57" spans="2:8" x14ac:dyDescent="0.2">
      <c r="B57" t="s">
        <v>456</v>
      </c>
    </row>
    <row r="58" spans="2:8" x14ac:dyDescent="0.2">
      <c r="B58" t="s">
        <v>458</v>
      </c>
    </row>
    <row r="59" spans="2:8" x14ac:dyDescent="0.2">
      <c r="B59" t="s">
        <v>457</v>
      </c>
    </row>
    <row r="60" spans="2:8" x14ac:dyDescent="0.2">
      <c r="B60" t="s">
        <v>459</v>
      </c>
      <c r="E60" t="s">
        <v>612</v>
      </c>
      <c r="F60">
        <v>500</v>
      </c>
    </row>
    <row r="61" spans="2:8" x14ac:dyDescent="0.2">
      <c r="B61" t="s">
        <v>461</v>
      </c>
    </row>
    <row r="62" spans="2:8" x14ac:dyDescent="0.2">
      <c r="B62" t="s">
        <v>462</v>
      </c>
    </row>
    <row r="63" spans="2:8" x14ac:dyDescent="0.2">
      <c r="B63" t="s">
        <v>463</v>
      </c>
    </row>
    <row r="64" spans="2:8" x14ac:dyDescent="0.2">
      <c r="B64" t="s">
        <v>464</v>
      </c>
    </row>
    <row r="65" spans="2:6" x14ac:dyDescent="0.2">
      <c r="B65" t="s">
        <v>481</v>
      </c>
    </row>
    <row r="66" spans="2:6" x14ac:dyDescent="0.2">
      <c r="B66" t="s">
        <v>482</v>
      </c>
    </row>
    <row r="67" spans="2:6" x14ac:dyDescent="0.2">
      <c r="B67" t="s">
        <v>484</v>
      </c>
    </row>
    <row r="68" spans="2:6" x14ac:dyDescent="0.2">
      <c r="B68" t="s">
        <v>483</v>
      </c>
    </row>
    <row r="69" spans="2:6" x14ac:dyDescent="0.2">
      <c r="B69" t="s">
        <v>466</v>
      </c>
    </row>
    <row r="70" spans="2:6" x14ac:dyDescent="0.2">
      <c r="B70" t="s">
        <v>467</v>
      </c>
    </row>
    <row r="71" spans="2:6" x14ac:dyDescent="0.2">
      <c r="B71" t="s">
        <v>469</v>
      </c>
    </row>
    <row r="72" spans="2:6" x14ac:dyDescent="0.2">
      <c r="B72" t="s">
        <v>470</v>
      </c>
    </row>
    <row r="73" spans="2:6" x14ac:dyDescent="0.2">
      <c r="B73" t="s">
        <v>471</v>
      </c>
    </row>
    <row r="74" spans="2:6" x14ac:dyDescent="0.2">
      <c r="B74" t="s">
        <v>472</v>
      </c>
    </row>
    <row r="75" spans="2:6" x14ac:dyDescent="0.2">
      <c r="B75" t="s">
        <v>474</v>
      </c>
    </row>
    <row r="76" spans="2:6" x14ac:dyDescent="0.2">
      <c r="B76" t="s">
        <v>475</v>
      </c>
    </row>
    <row r="77" spans="2:6" x14ac:dyDescent="0.2">
      <c r="B77" t="s">
        <v>476</v>
      </c>
    </row>
    <row r="78" spans="2:6" x14ac:dyDescent="0.2">
      <c r="B78" t="s">
        <v>477</v>
      </c>
    </row>
    <row r="79" spans="2:6" x14ac:dyDescent="0.2">
      <c r="B79" t="s">
        <v>478</v>
      </c>
      <c r="E79" t="s">
        <v>612</v>
      </c>
      <c r="F79" t="s">
        <v>1019</v>
      </c>
    </row>
    <row r="80" spans="2:6" x14ac:dyDescent="0.2">
      <c r="B80" t="s">
        <v>1020</v>
      </c>
      <c r="E80" t="s">
        <v>330</v>
      </c>
      <c r="F80" t="s">
        <v>1021</v>
      </c>
    </row>
    <row r="81" spans="2:8" x14ac:dyDescent="0.2">
      <c r="B81" t="s">
        <v>479</v>
      </c>
    </row>
    <row r="82" spans="2:8" x14ac:dyDescent="0.2">
      <c r="B82" t="s">
        <v>480</v>
      </c>
    </row>
    <row r="83" spans="2:8" x14ac:dyDescent="0.2">
      <c r="B83" t="s">
        <v>473</v>
      </c>
    </row>
    <row r="84" spans="2:8" x14ac:dyDescent="0.2">
      <c r="B84" t="s">
        <v>468</v>
      </c>
    </row>
    <row r="85" spans="2:8" x14ac:dyDescent="0.2">
      <c r="B85" t="s">
        <v>451</v>
      </c>
    </row>
    <row r="86" spans="2:8" x14ac:dyDescent="0.2">
      <c r="B86" t="s">
        <v>0</v>
      </c>
    </row>
    <row r="87" spans="2:8" x14ac:dyDescent="0.2">
      <c r="B87" t="s">
        <v>283</v>
      </c>
    </row>
    <row r="88" spans="2:8" x14ac:dyDescent="0.2">
      <c r="B88" t="s">
        <v>284</v>
      </c>
    </row>
    <row r="89" spans="2:8" x14ac:dyDescent="0.2">
      <c r="B89" t="s">
        <v>285</v>
      </c>
      <c r="C89">
        <v>2019</v>
      </c>
      <c r="D89" t="s">
        <v>286</v>
      </c>
    </row>
    <row r="90" spans="2:8" x14ac:dyDescent="0.2">
      <c r="B90" t="s">
        <v>288</v>
      </c>
    </row>
    <row r="91" spans="2:8" x14ac:dyDescent="0.2">
      <c r="B91" t="s">
        <v>290</v>
      </c>
    </row>
    <row r="92" spans="2:8" x14ac:dyDescent="0.2">
      <c r="B92" t="s">
        <v>293</v>
      </c>
    </row>
    <row r="93" spans="2:8" x14ac:dyDescent="0.2">
      <c r="B93" t="s">
        <v>328</v>
      </c>
      <c r="C93">
        <v>2019</v>
      </c>
      <c r="D93" t="s">
        <v>336</v>
      </c>
      <c r="E93" t="s">
        <v>330</v>
      </c>
      <c r="F93" t="s">
        <v>334</v>
      </c>
      <c r="G93" t="s">
        <v>333</v>
      </c>
      <c r="H93" s="38">
        <v>44599</v>
      </c>
    </row>
    <row r="94" spans="2:8" x14ac:dyDescent="0.2">
      <c r="B94" t="s">
        <v>343</v>
      </c>
      <c r="E94" t="s">
        <v>330</v>
      </c>
      <c r="F94" t="s">
        <v>344</v>
      </c>
    </row>
    <row r="95" spans="2:8" x14ac:dyDescent="0.2">
      <c r="B95" t="s">
        <v>345</v>
      </c>
    </row>
    <row r="96" spans="2:8" x14ac:dyDescent="0.2">
      <c r="B96" t="s">
        <v>1066</v>
      </c>
    </row>
    <row r="97" spans="2:9" x14ac:dyDescent="0.2">
      <c r="B97" t="s">
        <v>346</v>
      </c>
      <c r="I97" t="s">
        <v>347</v>
      </c>
    </row>
    <row r="98" spans="2:9" x14ac:dyDescent="0.2">
      <c r="B98" t="s">
        <v>389</v>
      </c>
    </row>
    <row r="99" spans="2:9" x14ac:dyDescent="0.2">
      <c r="B99" t="s">
        <v>392</v>
      </c>
      <c r="C99" t="s">
        <v>393</v>
      </c>
      <c r="E99" t="s">
        <v>330</v>
      </c>
      <c r="F99" t="s">
        <v>394</v>
      </c>
      <c r="H99" s="38">
        <v>43466</v>
      </c>
      <c r="I99" t="s">
        <v>395</v>
      </c>
    </row>
    <row r="100" spans="2:9" x14ac:dyDescent="0.2">
      <c r="B100" t="s">
        <v>396</v>
      </c>
    </row>
    <row r="102" spans="2:9" x14ac:dyDescent="0.2">
      <c r="B102" t="s">
        <v>403</v>
      </c>
      <c r="E102" t="s">
        <v>398</v>
      </c>
      <c r="F102">
        <v>121</v>
      </c>
    </row>
    <row r="103" spans="2:9" x14ac:dyDescent="0.2">
      <c r="B103" t="s">
        <v>420</v>
      </c>
    </row>
    <row r="104" spans="2:9" x14ac:dyDescent="0.2">
      <c r="B104" t="s">
        <v>424</v>
      </c>
    </row>
    <row r="105" spans="2:9" x14ac:dyDescent="0.2">
      <c r="B105" t="s">
        <v>426</v>
      </c>
    </row>
    <row r="106" spans="2:9" x14ac:dyDescent="0.2">
      <c r="B106" t="s">
        <v>431</v>
      </c>
      <c r="I106" t="s">
        <v>432</v>
      </c>
    </row>
    <row r="107" spans="2:9" x14ac:dyDescent="0.2">
      <c r="B107" t="s">
        <v>448</v>
      </c>
    </row>
    <row r="108" spans="2:9" x14ac:dyDescent="0.2">
      <c r="B108" t="s">
        <v>510</v>
      </c>
    </row>
    <row r="109" spans="2:9" x14ac:dyDescent="0.2">
      <c r="B109" t="s">
        <v>526</v>
      </c>
      <c r="I109" t="s">
        <v>527</v>
      </c>
    </row>
    <row r="110" spans="2:9" x14ac:dyDescent="0.2">
      <c r="B110" t="s">
        <v>530</v>
      </c>
      <c r="I110" t="s">
        <v>527</v>
      </c>
    </row>
    <row r="111" spans="2:9" x14ac:dyDescent="0.2">
      <c r="B111" t="s">
        <v>616</v>
      </c>
      <c r="C111">
        <v>2018</v>
      </c>
      <c r="D111" t="s">
        <v>619</v>
      </c>
      <c r="E111" t="s">
        <v>617</v>
      </c>
      <c r="F111" t="s">
        <v>618</v>
      </c>
      <c r="H111" s="38">
        <v>43251</v>
      </c>
    </row>
    <row r="112" spans="2:9" x14ac:dyDescent="0.2">
      <c r="B112" t="s">
        <v>616</v>
      </c>
      <c r="C112">
        <v>2018</v>
      </c>
      <c r="D112" t="s">
        <v>619</v>
      </c>
      <c r="E112" t="s">
        <v>615</v>
      </c>
      <c r="F112" t="s">
        <v>614</v>
      </c>
    </row>
    <row r="113" spans="2:9" x14ac:dyDescent="0.2">
      <c r="B113" t="s">
        <v>616</v>
      </c>
      <c r="C113">
        <v>2018</v>
      </c>
      <c r="D113" t="s">
        <v>619</v>
      </c>
      <c r="E113" t="s">
        <v>612</v>
      </c>
      <c r="F113" t="s">
        <v>613</v>
      </c>
    </row>
    <row r="114" spans="2:9" x14ac:dyDescent="0.2">
      <c r="B114" t="s">
        <v>620</v>
      </c>
      <c r="I114" t="s">
        <v>621</v>
      </c>
    </row>
    <row r="115" spans="2:9" x14ac:dyDescent="0.2">
      <c r="B115" t="s">
        <v>627</v>
      </c>
      <c r="E115" t="s">
        <v>612</v>
      </c>
      <c r="F115" t="s">
        <v>629</v>
      </c>
    </row>
    <row r="116" spans="2:9" x14ac:dyDescent="0.2">
      <c r="B116" t="s">
        <v>627</v>
      </c>
      <c r="E116" t="s">
        <v>330</v>
      </c>
      <c r="F116" t="s">
        <v>628</v>
      </c>
      <c r="G116" t="s">
        <v>630</v>
      </c>
    </row>
    <row r="117" spans="2:9" x14ac:dyDescent="0.2">
      <c r="B117" t="s">
        <v>631</v>
      </c>
      <c r="E117" t="s">
        <v>398</v>
      </c>
      <c r="F117" t="s">
        <v>632</v>
      </c>
    </row>
    <row r="118" spans="2:9" x14ac:dyDescent="0.2">
      <c r="B118" t="s">
        <v>631</v>
      </c>
      <c r="E118" t="s">
        <v>623</v>
      </c>
      <c r="F118" t="s">
        <v>618</v>
      </c>
    </row>
    <row r="119" spans="2:9" x14ac:dyDescent="0.2">
      <c r="B119" t="s">
        <v>1027</v>
      </c>
      <c r="E119" t="s">
        <v>612</v>
      </c>
      <c r="F119" t="s">
        <v>1028</v>
      </c>
    </row>
    <row r="120" spans="2:9" x14ac:dyDescent="0.2">
      <c r="B120" t="s">
        <v>1029</v>
      </c>
      <c r="E120" t="s">
        <v>330</v>
      </c>
      <c r="F120" t="s">
        <v>1030</v>
      </c>
    </row>
    <row r="121" spans="2:9" x14ac:dyDescent="0.2">
      <c r="B121" t="s">
        <v>1040</v>
      </c>
      <c r="E121" t="s">
        <v>1041</v>
      </c>
      <c r="F121" t="s">
        <v>1042</v>
      </c>
    </row>
    <row r="122" spans="2:9" x14ac:dyDescent="0.2">
      <c r="B122" t="s">
        <v>1043</v>
      </c>
    </row>
    <row r="123" spans="2:9" x14ac:dyDescent="0.2">
      <c r="B123" t="s">
        <v>1045</v>
      </c>
    </row>
    <row r="126" spans="2:9" x14ac:dyDescent="0.2">
      <c r="B126" t="s">
        <v>1047</v>
      </c>
      <c r="E126" t="s">
        <v>1041</v>
      </c>
      <c r="F126" t="s">
        <v>1048</v>
      </c>
      <c r="G126" t="s">
        <v>1049</v>
      </c>
      <c r="H126" s="38">
        <v>44915</v>
      </c>
      <c r="I126" t="s">
        <v>1050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2" sqref="C42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  <col min="10" max="10" width="10.5703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1014</v>
      </c>
      <c r="C20" t="s">
        <v>258</v>
      </c>
      <c r="E20">
        <v>2021</v>
      </c>
    </row>
    <row r="21" spans="1:15" x14ac:dyDescent="0.2">
      <c r="B21" t="s">
        <v>1015</v>
      </c>
      <c r="C21" t="s">
        <v>258</v>
      </c>
      <c r="E21">
        <v>2020</v>
      </c>
    </row>
    <row r="22" spans="1:15" x14ac:dyDescent="0.2">
      <c r="B22" t="s">
        <v>1016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+[124]Main!$K$5-[124]Main!$K$6</f>
        <v>1763.7020000000002</v>
      </c>
      <c r="G23" s="6">
        <f>+E23-F23</f>
        <v>34738.017536599997</v>
      </c>
      <c r="H23" s="3" t="s">
        <v>425</v>
      </c>
      <c r="I23" s="6">
        <f>+[124]Main!$K$3</f>
        <v>185.66490099999999</v>
      </c>
      <c r="J23" s="9">
        <v>44919</v>
      </c>
      <c r="K23" s="7">
        <f>+[124]Model!$AO$27</f>
        <v>119.56497461195261</v>
      </c>
      <c r="L23" s="10">
        <f>+K23/D23-1</f>
        <v>-0.39183634480186869</v>
      </c>
      <c r="M23" s="10">
        <f>+[124]Model!$AO$25</f>
        <v>0.03</v>
      </c>
      <c r="N23" s="10">
        <f>+[124]Model!$AO$24</f>
        <v>-0.01</v>
      </c>
      <c r="O23" s="10">
        <f>+[124]Model!$AO$23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+[125]Main!$L$5-[125]Main!$L$6</f>
        <v>-434.61299999999983</v>
      </c>
      <c r="G24" s="6">
        <f>E24-F24</f>
        <v>26084.613000000001</v>
      </c>
      <c r="H24" s="3" t="s">
        <v>425</v>
      </c>
      <c r="I24" s="6">
        <f>+[125]Main!$L$3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([126]Main!$J$5-[126]Main!$J$6)/HKD</f>
        <v>991.71512820512828</v>
      </c>
      <c r="G25" s="6">
        <f>+E25-F25</f>
        <v>23523.572694544873</v>
      </c>
      <c r="H25" s="3" t="s">
        <v>305</v>
      </c>
      <c r="I25" s="6">
        <f>+[126]Main!$J$3</f>
        <v>4263.5283170000002</v>
      </c>
      <c r="J25" s="9">
        <v>45086</v>
      </c>
    </row>
    <row r="26" spans="1:15" x14ac:dyDescent="0.2">
      <c r="A26" s="1">
        <f>Main!B70+1</f>
        <v>60</v>
      </c>
      <c r="B26" s="5" t="s">
        <v>608</v>
      </c>
      <c r="C26" t="s">
        <v>609</v>
      </c>
      <c r="D26" s="7">
        <v>176</v>
      </c>
      <c r="E26" s="6">
        <f>D26*I26</f>
        <v>6074.6458080000002</v>
      </c>
      <c r="F26" s="6">
        <f>[127]Main!$L$5-[127]Main!$L$6</f>
        <v>1124.0440000000001</v>
      </c>
      <c r="G26" s="6">
        <f>E26-F26</f>
        <v>4950.6018080000003</v>
      </c>
      <c r="H26" s="3" t="s">
        <v>525</v>
      </c>
      <c r="I26" s="6">
        <f>[127]Main!$L$3</f>
        <v>34.515033000000003</v>
      </c>
      <c r="J26" s="9">
        <v>45008</v>
      </c>
    </row>
    <row r="27" spans="1:15" x14ac:dyDescent="0.2">
      <c r="A27" s="1">
        <f>Main!B103+1</f>
        <v>66</v>
      </c>
      <c r="B27" t="s">
        <v>610</v>
      </c>
      <c r="C27" t="s">
        <v>611</v>
      </c>
      <c r="D27" s="7">
        <v>43</v>
      </c>
      <c r="E27" s="6">
        <v>2510</v>
      </c>
    </row>
    <row r="28" spans="1:15" x14ac:dyDescent="0.2">
      <c r="A28" s="1">
        <f>Main!B117+1</f>
        <v>80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Main!B129+1</f>
        <v>92</v>
      </c>
      <c r="B29" t="s">
        <v>1031</v>
      </c>
      <c r="C29" t="s">
        <v>1032</v>
      </c>
      <c r="D29" s="3">
        <v>14.34</v>
      </c>
    </row>
    <row r="30" spans="1:15" x14ac:dyDescent="0.2">
      <c r="A30" s="1">
        <f>Main!B75+1</f>
        <v>65</v>
      </c>
      <c r="B30" t="s">
        <v>699</v>
      </c>
      <c r="C30" t="s">
        <v>700</v>
      </c>
      <c r="D30" s="3">
        <v>92.93</v>
      </c>
      <c r="E30" s="6">
        <v>3490</v>
      </c>
    </row>
    <row r="31" spans="1:15" x14ac:dyDescent="0.2">
      <c r="A31" s="1">
        <f>Main!B135+1</f>
        <v>98</v>
      </c>
      <c r="B31" s="25" t="s">
        <v>516</v>
      </c>
      <c r="C31" s="25" t="s">
        <v>517</v>
      </c>
      <c r="D31" s="7">
        <v>23.01</v>
      </c>
      <c r="E31" s="6">
        <v>2080</v>
      </c>
    </row>
    <row r="32" spans="1:15" x14ac:dyDescent="0.2">
      <c r="A32" s="1">
        <f>Main!B78+1</f>
        <v>68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Main!B167+1</f>
        <v>130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Main!B340+1</f>
        <v>303</v>
      </c>
      <c r="B34" t="s">
        <v>839</v>
      </c>
      <c r="C34" t="s">
        <v>840</v>
      </c>
    </row>
    <row r="35" spans="1:5" x14ac:dyDescent="0.2">
      <c r="A35" s="1">
        <f>Main!B334+1</f>
        <v>297</v>
      </c>
      <c r="B35" t="s">
        <v>735</v>
      </c>
      <c r="C35" t="s">
        <v>736</v>
      </c>
    </row>
    <row r="36" spans="1:5" x14ac:dyDescent="0.2">
      <c r="B36" t="s">
        <v>1094</v>
      </c>
      <c r="C36" t="s">
        <v>39</v>
      </c>
    </row>
    <row r="37" spans="1:5" x14ac:dyDescent="0.2">
      <c r="B37" t="s">
        <v>148</v>
      </c>
      <c r="C37" t="s">
        <v>18</v>
      </c>
    </row>
    <row r="38" spans="1:5" x14ac:dyDescent="0.2">
      <c r="B38" t="s">
        <v>1169</v>
      </c>
      <c r="C38" t="s">
        <v>67</v>
      </c>
    </row>
    <row r="39" spans="1:5" x14ac:dyDescent="0.2">
      <c r="B39" t="s">
        <v>1174</v>
      </c>
    </row>
    <row r="40" spans="1:5" x14ac:dyDescent="0.2">
      <c r="B40" t="s">
        <v>1177</v>
      </c>
      <c r="C40" t="s">
        <v>39</v>
      </c>
    </row>
    <row r="41" spans="1:5" x14ac:dyDescent="0.2">
      <c r="B41" t="s">
        <v>1178</v>
      </c>
      <c r="C41" t="s">
        <v>39</v>
      </c>
    </row>
    <row r="42" spans="1:5" x14ac:dyDescent="0.2">
      <c r="B42" t="s">
        <v>1179</v>
      </c>
      <c r="C42" t="s">
        <v>15</v>
      </c>
    </row>
    <row r="43" spans="1:5" x14ac:dyDescent="0.2">
      <c r="B43" t="s">
        <v>1192</v>
      </c>
      <c r="C43" t="s">
        <v>39</v>
      </c>
    </row>
    <row r="44" spans="1:5" x14ac:dyDescent="0.2">
      <c r="B44" t="s">
        <v>1224</v>
      </c>
      <c r="C44" t="s">
        <v>1225</v>
      </c>
    </row>
    <row r="45" spans="1:5" x14ac:dyDescent="0.2">
      <c r="B45" t="s">
        <v>1225</v>
      </c>
      <c r="C45" t="s">
        <v>61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2024-10-01T23:22:47Z</dcterms:modified>
</cp:coreProperties>
</file>