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ervo" sheetId="15" r:id="rId1"/>
    <sheet name="VSENSE" sheetId="10" r:id="rId2"/>
    <sheet name="Servo_position_conversion" sheetId="11" r:id="rId3"/>
  </sheets>
  <calcPr calcId="152511"/>
</workbook>
</file>

<file path=xl/calcChain.xml><?xml version="1.0" encoding="utf-8"?>
<calcChain xmlns="http://schemas.openxmlformats.org/spreadsheetml/2006/main">
  <c r="J9" i="10" l="1"/>
  <c r="G32" i="10"/>
  <c r="J10" i="10"/>
  <c r="J11" i="10"/>
  <c r="J12" i="10"/>
  <c r="J13" i="10"/>
  <c r="J8" i="10"/>
  <c r="I15" i="10"/>
  <c r="G15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B3" i="15" l="1"/>
  <c r="K18" i="15" s="1"/>
  <c r="K16" i="15"/>
  <c r="K12" i="15"/>
  <c r="L12" i="15" s="1"/>
  <c r="K13" i="15"/>
  <c r="K14" i="15"/>
  <c r="L14" i="15" s="1"/>
  <c r="K15" i="15"/>
  <c r="K11" i="15"/>
  <c r="L11" i="15" s="1"/>
  <c r="N51" i="15"/>
  <c r="N49" i="15"/>
  <c r="J49" i="15"/>
  <c r="D36" i="15"/>
  <c r="D33" i="15"/>
  <c r="C33" i="15"/>
  <c r="D32" i="15"/>
  <c r="C32" i="15"/>
  <c r="D31" i="15"/>
  <c r="C31" i="15"/>
  <c r="D30" i="15"/>
  <c r="C30" i="15"/>
  <c r="D29" i="15"/>
  <c r="C29" i="15"/>
  <c r="D28" i="15"/>
  <c r="C28" i="15"/>
  <c r="D26" i="15"/>
  <c r="C26" i="15"/>
  <c r="D25" i="15"/>
  <c r="C25" i="15"/>
  <c r="D24" i="15"/>
  <c r="C24" i="15"/>
  <c r="D23" i="15"/>
  <c r="C23" i="15"/>
  <c r="D22" i="15"/>
  <c r="C22" i="15"/>
  <c r="D21" i="15"/>
  <c r="C21" i="15"/>
  <c r="D19" i="15"/>
  <c r="C19" i="15"/>
  <c r="D18" i="15"/>
  <c r="C18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B7" i="15"/>
  <c r="O24" i="11"/>
  <c r="E24" i="11"/>
  <c r="G24" i="11" s="1"/>
  <c r="H24" i="11" s="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" i="11"/>
  <c r="H7" i="11"/>
  <c r="N7" i="11" s="1"/>
  <c r="H8" i="11"/>
  <c r="J8" i="11" s="1"/>
  <c r="H9" i="11"/>
  <c r="J9" i="11" s="1"/>
  <c r="H10" i="11"/>
  <c r="J10" i="11" s="1"/>
  <c r="H2" i="11"/>
  <c r="J2" i="11" s="1"/>
  <c r="E3" i="11"/>
  <c r="G3" i="11" s="1"/>
  <c r="H3" i="11" s="1"/>
  <c r="J3" i="11" s="1"/>
  <c r="E4" i="11"/>
  <c r="G4" i="11" s="1"/>
  <c r="H4" i="11" s="1"/>
  <c r="J4" i="11" s="1"/>
  <c r="E5" i="11"/>
  <c r="G5" i="11" s="1"/>
  <c r="H5" i="11" s="1"/>
  <c r="J5" i="11" s="1"/>
  <c r="E6" i="11"/>
  <c r="E7" i="11"/>
  <c r="G7" i="11" s="1"/>
  <c r="E8" i="11"/>
  <c r="G8" i="11" s="1"/>
  <c r="E9" i="11"/>
  <c r="G9" i="11" s="1"/>
  <c r="E10" i="11"/>
  <c r="G10" i="11" s="1"/>
  <c r="E11" i="11"/>
  <c r="G11" i="11" s="1"/>
  <c r="H11" i="11" s="1"/>
  <c r="J11" i="11" s="1"/>
  <c r="E12" i="11"/>
  <c r="G12" i="11" s="1"/>
  <c r="H12" i="11" s="1"/>
  <c r="J12" i="11" s="1"/>
  <c r="E13" i="11"/>
  <c r="G13" i="11" s="1"/>
  <c r="H13" i="11" s="1"/>
  <c r="J13" i="11" s="1"/>
  <c r="E14" i="11"/>
  <c r="E15" i="11"/>
  <c r="G15" i="11" s="1"/>
  <c r="H15" i="11" s="1"/>
  <c r="E16" i="11"/>
  <c r="G16" i="11" s="1"/>
  <c r="H16" i="11" s="1"/>
  <c r="E17" i="11"/>
  <c r="G17" i="11" s="1"/>
  <c r="H17" i="11" s="1"/>
  <c r="E18" i="11"/>
  <c r="G18" i="11" s="1"/>
  <c r="H18" i="11" s="1"/>
  <c r="E19" i="11"/>
  <c r="G19" i="11" s="1"/>
  <c r="H19" i="11" s="1"/>
  <c r="J19" i="11" s="1"/>
  <c r="E20" i="11"/>
  <c r="G20" i="11" s="1"/>
  <c r="H20" i="11" s="1"/>
  <c r="J20" i="11" s="1"/>
  <c r="E21" i="11"/>
  <c r="G21" i="11" s="1"/>
  <c r="H21" i="11" s="1"/>
  <c r="J21" i="11" s="1"/>
  <c r="E22" i="11"/>
  <c r="E2" i="11"/>
  <c r="G2" i="11" s="1"/>
  <c r="G6" i="11"/>
  <c r="H6" i="11" s="1"/>
  <c r="J6" i="11" s="1"/>
  <c r="G14" i="11"/>
  <c r="H14" i="11" s="1"/>
  <c r="J14" i="11" s="1"/>
  <c r="G22" i="11"/>
  <c r="H22" i="11" s="1"/>
  <c r="J22" i="11" s="1"/>
  <c r="C2" i="10"/>
  <c r="B2" i="10" s="1"/>
  <c r="B4" i="10"/>
  <c r="D16" i="10"/>
  <c r="C16" i="10"/>
  <c r="G19" i="10" l="1"/>
  <c r="G28" i="10"/>
  <c r="G18" i="10"/>
  <c r="G26" i="10"/>
  <c r="G20" i="10"/>
  <c r="G27" i="10"/>
  <c r="G21" i="10"/>
  <c r="G22" i="10"/>
  <c r="G29" i="10"/>
  <c r="G23" i="10"/>
  <c r="G30" i="10"/>
  <c r="G25" i="10"/>
  <c r="G16" i="10"/>
  <c r="J18" i="10"/>
  <c r="K19" i="15"/>
  <c r="K21" i="15"/>
  <c r="N52" i="15"/>
  <c r="N53" i="15" s="1"/>
  <c r="L15" i="15"/>
  <c r="L13" i="15"/>
  <c r="L16" i="15"/>
  <c r="J24" i="11"/>
  <c r="N24" i="11"/>
  <c r="J18" i="11"/>
  <c r="N18" i="11"/>
  <c r="J17" i="11"/>
  <c r="N17" i="11"/>
  <c r="J16" i="11"/>
  <c r="N16" i="11"/>
  <c r="J15" i="11"/>
  <c r="N15" i="11"/>
  <c r="N19" i="11"/>
  <c r="N8" i="11"/>
  <c r="N21" i="11"/>
  <c r="N13" i="11"/>
  <c r="N5" i="11"/>
  <c r="N20" i="11"/>
  <c r="N12" i="11"/>
  <c r="N4" i="11"/>
  <c r="N11" i="11"/>
  <c r="N10" i="11"/>
  <c r="N9" i="11"/>
  <c r="J7" i="11"/>
  <c r="N2" i="11"/>
  <c r="N3" i="11"/>
  <c r="N22" i="11"/>
  <c r="N14" i="11"/>
  <c r="N6" i="11"/>
  <c r="J25" i="10"/>
  <c r="C19" i="10"/>
  <c r="D19" i="10"/>
  <c r="C20" i="10"/>
  <c r="D20" i="10"/>
  <c r="C21" i="10"/>
  <c r="D21" i="10"/>
  <c r="C22" i="10"/>
  <c r="D22" i="10"/>
  <c r="C23" i="10"/>
  <c r="D23" i="10"/>
  <c r="D18" i="10"/>
  <c r="C18" i="10"/>
  <c r="L21" i="15" l="1"/>
  <c r="J21" i="15"/>
  <c r="L18" i="15"/>
  <c r="K28" i="15"/>
  <c r="J28" i="15" s="1"/>
  <c r="K22" i="15"/>
  <c r="L19" i="15"/>
  <c r="J19" i="15"/>
  <c r="K12" i="10"/>
  <c r="J16" i="10"/>
  <c r="I16" i="10" s="1"/>
  <c r="D32" i="10"/>
  <c r="K18" i="10"/>
  <c r="D15" i="10"/>
  <c r="C15" i="10"/>
  <c r="D13" i="10"/>
  <c r="C13" i="10"/>
  <c r="D12" i="10"/>
  <c r="C12" i="10"/>
  <c r="D11" i="10"/>
  <c r="C11" i="10"/>
  <c r="D10" i="10"/>
  <c r="C10" i="10"/>
  <c r="D9" i="10"/>
  <c r="C9" i="10"/>
  <c r="D8" i="10"/>
  <c r="C8" i="10"/>
  <c r="L28" i="15" l="1"/>
  <c r="J22" i="15"/>
  <c r="K23" i="15"/>
  <c r="L23" i="15" s="1"/>
  <c r="L22" i="15"/>
  <c r="K29" i="15"/>
  <c r="J29" i="15" s="1"/>
  <c r="K15" i="10"/>
  <c r="I18" i="10"/>
  <c r="J19" i="10"/>
  <c r="J20" i="10" s="1"/>
  <c r="K11" i="10"/>
  <c r="K13" i="10"/>
  <c r="K9" i="10"/>
  <c r="K10" i="10"/>
  <c r="J26" i="10" l="1"/>
  <c r="K30" i="15"/>
  <c r="J23" i="15"/>
  <c r="K24" i="15"/>
  <c r="L24" i="15" s="1"/>
  <c r="L29" i="15"/>
  <c r="K16" i="10"/>
  <c r="K19" i="10"/>
  <c r="I19" i="10"/>
  <c r="L30" i="15" l="1"/>
  <c r="J30" i="15"/>
  <c r="I26" i="10"/>
  <c r="K26" i="10"/>
  <c r="J21" i="10"/>
  <c r="J28" i="10" s="1"/>
  <c r="I28" i="10" s="1"/>
  <c r="J27" i="10"/>
  <c r="I27" i="10" s="1"/>
  <c r="K31" i="15"/>
  <c r="J24" i="15"/>
  <c r="K25" i="15"/>
  <c r="K32" i="15" s="1"/>
  <c r="I20" i="10"/>
  <c r="K20" i="10"/>
  <c r="L32" i="15" l="1"/>
  <c r="J32" i="15"/>
  <c r="L31" i="15"/>
  <c r="J31" i="15"/>
  <c r="K21" i="10"/>
  <c r="J22" i="10"/>
  <c r="J29" i="10" s="1"/>
  <c r="I21" i="10"/>
  <c r="L25" i="15"/>
  <c r="K26" i="15"/>
  <c r="J26" i="15" s="1"/>
  <c r="J25" i="15"/>
  <c r="K28" i="10"/>
  <c r="K27" i="10"/>
  <c r="I22" i="10" l="1"/>
  <c r="J23" i="10"/>
  <c r="K23" i="10" s="1"/>
  <c r="K22" i="10"/>
  <c r="K33" i="15"/>
  <c r="J33" i="15" s="1"/>
  <c r="L26" i="15"/>
  <c r="I29" i="10"/>
  <c r="K29" i="10"/>
  <c r="I23" i="10" l="1"/>
  <c r="J30" i="10"/>
  <c r="J32" i="10" s="1"/>
  <c r="L33" i="15"/>
  <c r="K35" i="15"/>
  <c r="K36" i="15" s="1"/>
  <c r="L36" i="15" l="1"/>
  <c r="J36" i="15"/>
  <c r="K30" i="10"/>
  <c r="I30" i="10"/>
  <c r="K8" i="10"/>
  <c r="K25" i="10" l="1"/>
  <c r="I25" i="10"/>
  <c r="I32" i="10" l="1"/>
  <c r="K32" i="10"/>
</calcChain>
</file>

<file path=xl/sharedStrings.xml><?xml version="1.0" encoding="utf-8"?>
<sst xmlns="http://schemas.openxmlformats.org/spreadsheetml/2006/main" count="188" uniqueCount="74">
  <si>
    <t>c5</t>
  </si>
  <si>
    <t>c4</t>
  </si>
  <si>
    <t>c3</t>
  </si>
  <si>
    <t>c2</t>
  </si>
  <si>
    <t>c1</t>
  </si>
  <si>
    <t>c0</t>
  </si>
  <si>
    <t>x</t>
  </si>
  <si>
    <t>c5*x^5</t>
  </si>
  <si>
    <t>c4*x^4</t>
  </si>
  <si>
    <t>c3*x^3</t>
  </si>
  <si>
    <t>c2*x^2</t>
  </si>
  <si>
    <t>c1*x^1</t>
  </si>
  <si>
    <t>Scale</t>
  </si>
  <si>
    <t>decimal</t>
  </si>
  <si>
    <t>x_calc^0</t>
  </si>
  <si>
    <t>x_calc^1</t>
  </si>
  <si>
    <t>x_calc^2</t>
  </si>
  <si>
    <t>x_calc^3</t>
  </si>
  <si>
    <t>x_calc^4</t>
  </si>
  <si>
    <t>x_calc^5</t>
  </si>
  <si>
    <t>PWM</t>
  </si>
  <si>
    <t>type</t>
  </si>
  <si>
    <t>int32_t</t>
  </si>
  <si>
    <t>int16_t</t>
  </si>
  <si>
    <t>uint16_t</t>
  </si>
  <si>
    <t>int64_t</t>
  </si>
  <si>
    <t>min supported</t>
  </si>
  <si>
    <t>max supported</t>
  </si>
  <si>
    <t>Up-scaled for calculation resolution.</t>
  </si>
  <si>
    <t>unit</t>
  </si>
  <si>
    <t>x_calc</t>
  </si>
  <si>
    <t>Coeff Mul</t>
  </si>
  <si>
    <t>Val Mul</t>
  </si>
  <si>
    <t>Calc Mul</t>
  </si>
  <si>
    <t>c0*x^0</t>
  </si>
  <si>
    <t>Out Mul</t>
  </si>
  <si>
    <t>[s]</t>
  </si>
  <si>
    <t>[s/rad^1]</t>
  </si>
  <si>
    <t>[s/rad^2]</t>
  </si>
  <si>
    <t>[s/rad^3]</t>
  </si>
  <si>
    <t>[s/rad^4]</t>
  </si>
  <si>
    <t>[s/rad^5]</t>
  </si>
  <si>
    <t>[rad]</t>
  </si>
  <si>
    <t>[rad^1]</t>
  </si>
  <si>
    <t>[rad^2]</t>
  </si>
  <si>
    <t>[rad^3]</t>
  </si>
  <si>
    <t>[rad^4]</t>
  </si>
  <si>
    <t>[rad^5]</t>
  </si>
  <si>
    <t>integer (number)</t>
  </si>
  <si>
    <t>integer (scientific)</t>
  </si>
  <si>
    <t>Multiplier</t>
  </si>
  <si>
    <t>Bit Shift</t>
  </si>
  <si>
    <t>Calc</t>
  </si>
  <si>
    <t>Number represented in Q2.30 format (i.e. 30 fractional bits).</t>
  </si>
  <si>
    <t>Corrected</t>
  </si>
  <si>
    <t>int</t>
  </si>
  <si>
    <t>input value</t>
  </si>
  <si>
    <t>scaled</t>
  </si>
  <si>
    <t>to base 2</t>
  </si>
  <si>
    <t>output value</t>
  </si>
  <si>
    <t>upscale to Q30</t>
  </si>
  <si>
    <t>multi-factor</t>
  </si>
  <si>
    <t>exact</t>
  </si>
  <si>
    <t>*</t>
  </si>
  <si>
    <t>1E8</t>
  </si>
  <si>
    <t>1E3</t>
  </si>
  <si>
    <t>1E6</t>
  </si>
  <si>
    <t>2^30</t>
  </si>
  <si>
    <t>1E8 * 2^30</t>
  </si>
  <si>
    <t>1E2</t>
  </si>
  <si>
    <t>1E4</t>
  </si>
  <si>
    <t>2^12</t>
  </si>
  <si>
    <t>1E4 * 2^30</t>
  </si>
  <si>
    <t>realterm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</si>
</sst>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"/>
    <numFmt numFmtId="165" formatCode="0.000000000"/>
    <numFmt numFmtId="166" formatCode="0.000"/>
    <numFmt numFmtId="167" formatCode="0.0000000"/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1" fontId="0" fillId="0" borderId="0" xfId="0" applyNumberFormat="1"/>
    <xf numFmtId="0" fontId="1" fillId="0" borderId="0" xfId="0" applyFont="1" applyBorder="1"/>
    <xf numFmtId="0" fontId="1" fillId="0" borderId="1" xfId="0" applyFont="1" applyBorder="1"/>
    <xf numFmtId="11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0" xfId="0" applyNumberFormat="1" applyBorder="1"/>
    <xf numFmtId="1" fontId="1" fillId="0" borderId="0" xfId="0" applyNumberFormat="1" applyFont="1" applyBorder="1"/>
    <xf numFmtId="11" fontId="0" fillId="0" borderId="0" xfId="0" applyNumberFormat="1" applyFont="1"/>
    <xf numFmtId="2" fontId="0" fillId="0" borderId="0" xfId="0" applyNumberFormat="1"/>
    <xf numFmtId="3" fontId="0" fillId="0" borderId="0" xfId="0" applyNumberFormat="1"/>
    <xf numFmtId="0" fontId="0" fillId="0" borderId="0" xfId="0" applyNumberFormat="1" applyFont="1" applyBorder="1"/>
    <xf numFmtId="0" fontId="0" fillId="0" borderId="0" xfId="0" applyFill="1" applyBorder="1"/>
    <xf numFmtId="165" fontId="0" fillId="0" borderId="0" xfId="0" applyNumberFormat="1"/>
    <xf numFmtId="164" fontId="1" fillId="0" borderId="0" xfId="0" applyNumberFormat="1" applyFont="1" applyBorder="1"/>
    <xf numFmtId="11" fontId="0" fillId="0" borderId="0" xfId="0" applyNumberFormat="1" applyFill="1" applyBorder="1"/>
    <xf numFmtId="0" fontId="1" fillId="0" borderId="0" xfId="0" applyFont="1" applyFill="1" applyBorder="1"/>
    <xf numFmtId="11" fontId="0" fillId="0" borderId="0" xfId="0" applyNumberFormat="1" applyFont="1" applyFill="1" applyBorder="1"/>
    <xf numFmtId="0" fontId="0" fillId="0" borderId="0" xfId="0" applyFill="1" applyBorder="1" applyAlignment="1">
      <alignment wrapText="1"/>
    </xf>
    <xf numFmtId="0" fontId="1" fillId="0" borderId="1" xfId="0" applyFont="1" applyFill="1" applyBorder="1"/>
    <xf numFmtId="0" fontId="1" fillId="0" borderId="0" xfId="0" applyNumberFormat="1" applyFont="1" applyBorder="1"/>
    <xf numFmtId="0" fontId="0" fillId="0" borderId="0" xfId="0" applyAlignment="1">
      <alignment horizontal="right"/>
    </xf>
    <xf numFmtId="166" fontId="0" fillId="0" borderId="0" xfId="0" applyNumberFormat="1"/>
    <xf numFmtId="0" fontId="0" fillId="0" borderId="0" xfId="0" applyNumberFormat="1"/>
    <xf numFmtId="166" fontId="0" fillId="0" borderId="0" xfId="0" applyNumberFormat="1" applyFont="1" applyBorder="1"/>
    <xf numFmtId="0" fontId="1" fillId="0" borderId="0" xfId="0" quotePrefix="1" applyFont="1"/>
    <xf numFmtId="49" fontId="0" fillId="0" borderId="0" xfId="0" applyNumberFormat="1" applyFill="1" applyBorder="1"/>
    <xf numFmtId="49" fontId="0" fillId="0" borderId="0" xfId="0" applyNumberFormat="1"/>
    <xf numFmtId="49" fontId="1" fillId="0" borderId="1" xfId="0" applyNumberFormat="1" applyFont="1" applyFill="1" applyBorder="1"/>
    <xf numFmtId="49" fontId="1" fillId="0" borderId="0" xfId="0" applyNumberFormat="1" applyFont="1" applyFill="1" applyBorder="1"/>
    <xf numFmtId="49" fontId="0" fillId="0" borderId="0" xfId="0" applyNumberFormat="1" applyFill="1" applyBorder="1" applyAlignment="1">
      <alignment wrapText="1"/>
    </xf>
    <xf numFmtId="49" fontId="0" fillId="0" borderId="0" xfId="0" applyNumberFormat="1" applyBorder="1"/>
    <xf numFmtId="11" fontId="0" fillId="0" borderId="0" xfId="0" applyNumberFormat="1" applyFont="1" applyBorder="1"/>
    <xf numFmtId="167" fontId="0" fillId="0" borderId="0" xfId="0" applyNumberFormat="1"/>
    <xf numFmtId="167" fontId="0" fillId="0" borderId="0" xfId="0" applyNumberFormat="1" applyFont="1" applyBorder="1"/>
    <xf numFmtId="168" fontId="1" fillId="0" borderId="0" xfId="0" applyNumberFormat="1" applyFont="1" applyBorder="1"/>
    <xf numFmtId="165" fontId="0" fillId="0" borderId="0" xfId="0" applyNumberFormat="1" applyBorder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zoomScale="85" zoomScaleNormal="85" workbookViewId="0">
      <selection activeCell="H23" sqref="H23"/>
    </sheetView>
  </sheetViews>
  <sheetFormatPr defaultRowHeight="14.4" x14ac:dyDescent="0.3"/>
  <cols>
    <col min="1" max="1" width="10" customWidth="1"/>
    <col min="2" max="2" width="12.6640625" customWidth="1"/>
    <col min="3" max="3" width="15" customWidth="1"/>
    <col min="4" max="4" width="12.21875" customWidth="1"/>
    <col min="5" max="5" width="12.5546875" bestFit="1" customWidth="1"/>
    <col min="6" max="6" width="11.88671875" bestFit="1" customWidth="1"/>
    <col min="7" max="7" width="12.109375" style="14" customWidth="1"/>
    <col min="8" max="8" width="17.33203125" style="28" customWidth="1"/>
    <col min="10" max="10" width="15.77734375" customWidth="1"/>
    <col min="11" max="11" width="19.5546875" bestFit="1" customWidth="1"/>
    <col min="12" max="12" width="16.5546875" bestFit="1" customWidth="1"/>
  </cols>
  <sheetData>
    <row r="1" spans="1:12" x14ac:dyDescent="0.3">
      <c r="B1" s="23" t="s">
        <v>50</v>
      </c>
      <c r="C1" s="23" t="s">
        <v>51</v>
      </c>
    </row>
    <row r="2" spans="1:12" x14ac:dyDescent="0.3">
      <c r="A2" t="s">
        <v>31</v>
      </c>
      <c r="B2" s="1">
        <v>100000000</v>
      </c>
    </row>
    <row r="3" spans="1:12" x14ac:dyDescent="0.3">
      <c r="A3" t="s">
        <v>32</v>
      </c>
      <c r="B3" s="1">
        <f xml:space="preserve"> 1000</f>
        <v>1000</v>
      </c>
    </row>
    <row r="4" spans="1:12" x14ac:dyDescent="0.3">
      <c r="A4" t="s">
        <v>33</v>
      </c>
      <c r="B4" s="1">
        <v>1000000000</v>
      </c>
    </row>
    <row r="5" spans="1:12" x14ac:dyDescent="0.3">
      <c r="A5" t="s">
        <v>35</v>
      </c>
      <c r="B5" s="1">
        <v>1000000</v>
      </c>
      <c r="G5" s="17"/>
    </row>
    <row r="6" spans="1:12" x14ac:dyDescent="0.3">
      <c r="B6" s="1"/>
    </row>
    <row r="7" spans="1:12" x14ac:dyDescent="0.3">
      <c r="A7" t="s">
        <v>52</v>
      </c>
      <c r="B7" s="1">
        <f t="shared" ref="B7" si="0">2^C7</f>
        <v>1073741824</v>
      </c>
      <c r="C7">
        <v>30</v>
      </c>
    </row>
    <row r="8" spans="1:12" x14ac:dyDescent="0.3">
      <c r="B8" s="1">
        <v>100</v>
      </c>
    </row>
    <row r="10" spans="1:12" x14ac:dyDescent="0.3">
      <c r="B10" s="3" t="s">
        <v>21</v>
      </c>
      <c r="C10" s="3" t="s">
        <v>26</v>
      </c>
      <c r="D10" s="3" t="s">
        <v>27</v>
      </c>
      <c r="E10" s="3"/>
      <c r="F10" s="3" t="s">
        <v>29</v>
      </c>
      <c r="G10" s="21" t="s">
        <v>12</v>
      </c>
      <c r="H10" s="30"/>
      <c r="I10" s="3"/>
      <c r="J10" s="3" t="s">
        <v>13</v>
      </c>
      <c r="K10" s="3" t="s">
        <v>48</v>
      </c>
      <c r="L10" s="3" t="s">
        <v>49</v>
      </c>
    </row>
    <row r="11" spans="1:12" x14ac:dyDescent="0.3">
      <c r="A11" s="2" t="s">
        <v>5</v>
      </c>
      <c r="B11" s="6" t="s">
        <v>22</v>
      </c>
      <c r="C11" s="10">
        <f>-(2^31)</f>
        <v>-2147483648</v>
      </c>
      <c r="D11" s="10">
        <f>2^31-1</f>
        <v>2147483647</v>
      </c>
      <c r="E11" s="2"/>
      <c r="F11" t="s">
        <v>36</v>
      </c>
      <c r="G11" s="17"/>
      <c r="H11" s="28" t="s">
        <v>64</v>
      </c>
      <c r="J11" s="16">
        <v>0</v>
      </c>
      <c r="K11" s="13">
        <f t="shared" ref="K11:K16" si="1">J11*$B$2</f>
        <v>0</v>
      </c>
      <c r="L11" s="1">
        <f t="shared" ref="L11:L16" si="2">K11</f>
        <v>0</v>
      </c>
    </row>
    <row r="12" spans="1:12" x14ac:dyDescent="0.3">
      <c r="A12" s="2" t="s">
        <v>4</v>
      </c>
      <c r="B12" s="6" t="s">
        <v>22</v>
      </c>
      <c r="C12" s="10">
        <f t="shared" ref="C12:C16" si="3">-(2^31)</f>
        <v>-2147483648</v>
      </c>
      <c r="D12" s="10">
        <f t="shared" ref="D12:D16" si="4">2^31-1</f>
        <v>2147483647</v>
      </c>
      <c r="E12" s="2"/>
      <c r="F12" t="s">
        <v>37</v>
      </c>
      <c r="G12" s="17"/>
      <c r="H12" s="28" t="s">
        <v>64</v>
      </c>
      <c r="J12" s="16">
        <v>1E-3</v>
      </c>
      <c r="K12" s="13">
        <f t="shared" si="1"/>
        <v>100000</v>
      </c>
      <c r="L12" s="1">
        <f t="shared" si="2"/>
        <v>100000</v>
      </c>
    </row>
    <row r="13" spans="1:12" x14ac:dyDescent="0.3">
      <c r="A13" s="2" t="s">
        <v>3</v>
      </c>
      <c r="B13" s="6" t="s">
        <v>22</v>
      </c>
      <c r="C13" s="10">
        <f t="shared" si="3"/>
        <v>-2147483648</v>
      </c>
      <c r="D13" s="10">
        <f t="shared" si="4"/>
        <v>2147483647</v>
      </c>
      <c r="E13" s="2"/>
      <c r="F13" t="s">
        <v>38</v>
      </c>
      <c r="G13" s="17"/>
      <c r="H13" s="28" t="s">
        <v>64</v>
      </c>
      <c r="J13" s="16">
        <v>1.5999999999999999E-5</v>
      </c>
      <c r="K13" s="13">
        <f t="shared" si="1"/>
        <v>1600</v>
      </c>
      <c r="L13" s="1">
        <f t="shared" si="2"/>
        <v>1600</v>
      </c>
    </row>
    <row r="14" spans="1:12" x14ac:dyDescent="0.3">
      <c r="A14" s="2" t="s">
        <v>2</v>
      </c>
      <c r="B14" s="6" t="s">
        <v>22</v>
      </c>
      <c r="C14" s="10">
        <f t="shared" si="3"/>
        <v>-2147483648</v>
      </c>
      <c r="D14" s="10">
        <f t="shared" si="4"/>
        <v>2147483647</v>
      </c>
      <c r="E14" s="2"/>
      <c r="F14" t="s">
        <v>39</v>
      </c>
      <c r="G14" s="17"/>
      <c r="H14" s="28" t="s">
        <v>64</v>
      </c>
      <c r="J14" s="16">
        <v>0</v>
      </c>
      <c r="K14" s="13">
        <f t="shared" si="1"/>
        <v>0</v>
      </c>
      <c r="L14" s="1">
        <f t="shared" si="2"/>
        <v>0</v>
      </c>
    </row>
    <row r="15" spans="1:12" x14ac:dyDescent="0.3">
      <c r="A15" s="2" t="s">
        <v>1</v>
      </c>
      <c r="B15" s="6" t="s">
        <v>22</v>
      </c>
      <c r="C15" s="10">
        <f t="shared" si="3"/>
        <v>-2147483648</v>
      </c>
      <c r="D15" s="10">
        <f t="shared" si="4"/>
        <v>2147483647</v>
      </c>
      <c r="E15" s="2"/>
      <c r="F15" t="s">
        <v>40</v>
      </c>
      <c r="G15" s="17"/>
      <c r="H15" s="28" t="s">
        <v>64</v>
      </c>
      <c r="J15" s="16">
        <v>0</v>
      </c>
      <c r="K15" s="13">
        <f t="shared" si="1"/>
        <v>0</v>
      </c>
      <c r="L15" s="1">
        <f t="shared" si="2"/>
        <v>0</v>
      </c>
    </row>
    <row r="16" spans="1:12" x14ac:dyDescent="0.3">
      <c r="A16" s="2" t="s">
        <v>0</v>
      </c>
      <c r="B16" s="6" t="s">
        <v>22</v>
      </c>
      <c r="C16" s="10">
        <f t="shared" si="3"/>
        <v>-2147483648</v>
      </c>
      <c r="D16" s="10">
        <f t="shared" si="4"/>
        <v>2147483647</v>
      </c>
      <c r="E16" s="2"/>
      <c r="F16" t="s">
        <v>41</v>
      </c>
      <c r="G16" s="17"/>
      <c r="H16" s="28" t="s">
        <v>64</v>
      </c>
      <c r="J16" s="16">
        <v>0</v>
      </c>
      <c r="K16" s="13">
        <f t="shared" si="1"/>
        <v>0</v>
      </c>
      <c r="L16" s="1">
        <f t="shared" si="2"/>
        <v>0</v>
      </c>
    </row>
    <row r="17" spans="1:14" x14ac:dyDescent="0.3">
      <c r="A17" s="5"/>
      <c r="B17" s="5"/>
      <c r="C17" s="1"/>
      <c r="D17" s="1"/>
      <c r="E17" s="5"/>
      <c r="J17" s="5"/>
      <c r="K17" s="6"/>
      <c r="L17" s="1"/>
    </row>
    <row r="18" spans="1:14" x14ac:dyDescent="0.3">
      <c r="A18" s="2" t="s">
        <v>6</v>
      </c>
      <c r="B18" t="s">
        <v>23</v>
      </c>
      <c r="C18" s="1">
        <f>-(2^15)</f>
        <v>-32768</v>
      </c>
      <c r="D18" s="1">
        <f>2^15-1</f>
        <v>32767</v>
      </c>
      <c r="E18" s="2"/>
      <c r="F18" t="s">
        <v>42</v>
      </c>
      <c r="G18" s="17"/>
      <c r="H18" s="28" t="s">
        <v>65</v>
      </c>
      <c r="J18" s="2">
        <v>0.25</v>
      </c>
      <c r="K18" s="13">
        <f>J18*B3</f>
        <v>250</v>
      </c>
      <c r="L18" s="1">
        <f>K18</f>
        <v>250</v>
      </c>
    </row>
    <row r="19" spans="1:14" x14ac:dyDescent="0.3">
      <c r="A19" s="6" t="s">
        <v>30</v>
      </c>
      <c r="B19" t="s">
        <v>25</v>
      </c>
      <c r="C19" s="10">
        <f>-(2^63)</f>
        <v>-9.2233720368547758E+18</v>
      </c>
      <c r="D19" s="10">
        <f>2^63-1</f>
        <v>9.2233720368547758E+18</v>
      </c>
      <c r="E19" s="2"/>
      <c r="F19" t="s">
        <v>42</v>
      </c>
      <c r="G19" s="17"/>
      <c r="H19" s="28" t="s">
        <v>67</v>
      </c>
      <c r="J19" s="26">
        <f>K19/(2^30)</f>
        <v>0.25</v>
      </c>
      <c r="K19" s="13">
        <f>INT((K18*(2^21))/1000)*2^9</f>
        <v>268435456</v>
      </c>
      <c r="L19" s="1">
        <f>K19</f>
        <v>268435456</v>
      </c>
      <c r="N19" t="s">
        <v>28</v>
      </c>
    </row>
    <row r="20" spans="1:14" x14ac:dyDescent="0.3">
      <c r="A20" s="2"/>
      <c r="B20" s="2"/>
      <c r="C20" s="1"/>
      <c r="D20" s="1"/>
      <c r="E20" s="2"/>
      <c r="G20" s="18"/>
      <c r="H20" s="31"/>
      <c r="J20" s="2"/>
      <c r="K20" s="2"/>
      <c r="L20" s="1"/>
    </row>
    <row r="21" spans="1:14" x14ac:dyDescent="0.3">
      <c r="A21" s="6" t="s">
        <v>14</v>
      </c>
      <c r="B21" s="6" t="s">
        <v>22</v>
      </c>
      <c r="C21" s="10">
        <f t="shared" ref="C21:C26" si="5">-(2^31)</f>
        <v>-2147483648</v>
      </c>
      <c r="D21" s="10">
        <f t="shared" ref="D21:D26" si="6">2^31-1</f>
        <v>2147483647</v>
      </c>
      <c r="E21" s="2"/>
      <c r="F21" s="1"/>
      <c r="G21" s="1"/>
      <c r="H21" s="28" t="s">
        <v>67</v>
      </c>
      <c r="J21" s="15">
        <f>K21/($B$7)</f>
        <v>1</v>
      </c>
      <c r="K21" s="7">
        <f>B7</f>
        <v>1073741824</v>
      </c>
      <c r="L21" s="1">
        <f t="shared" ref="L21:L26" si="7">K21</f>
        <v>1073741824</v>
      </c>
    </row>
    <row r="22" spans="1:14" x14ac:dyDescent="0.3">
      <c r="A22" s="6" t="s">
        <v>15</v>
      </c>
      <c r="B22" s="6" t="s">
        <v>22</v>
      </c>
      <c r="C22" s="10">
        <f t="shared" si="5"/>
        <v>-2147483648</v>
      </c>
      <c r="D22" s="10">
        <f t="shared" si="6"/>
        <v>2147483647</v>
      </c>
      <c r="E22" s="6"/>
      <c r="F22" t="s">
        <v>43</v>
      </c>
      <c r="G22" s="1"/>
      <c r="H22" s="28" t="s">
        <v>67</v>
      </c>
      <c r="J22" s="15">
        <f>K22/($B$7)</f>
        <v>0.25</v>
      </c>
      <c r="K22" s="7">
        <f>K19</f>
        <v>268435456</v>
      </c>
      <c r="L22" s="1">
        <f t="shared" si="7"/>
        <v>268435456</v>
      </c>
    </row>
    <row r="23" spans="1:14" x14ac:dyDescent="0.3">
      <c r="A23" s="6" t="s">
        <v>16</v>
      </c>
      <c r="B23" s="6" t="s">
        <v>22</v>
      </c>
      <c r="C23" s="10">
        <f t="shared" si="5"/>
        <v>-2147483648</v>
      </c>
      <c r="D23" s="10">
        <f t="shared" si="6"/>
        <v>2147483647</v>
      </c>
      <c r="E23" s="6"/>
      <c r="F23" t="s">
        <v>44</v>
      </c>
      <c r="G23" s="1"/>
      <c r="H23" s="28" t="s">
        <v>67</v>
      </c>
      <c r="J23" s="15">
        <f t="shared" ref="J23:J26" si="8">K23/($B$7)</f>
        <v>6.25E-2</v>
      </c>
      <c r="K23" s="7">
        <f>($K$19*K22)/(2^30)</f>
        <v>67108864</v>
      </c>
      <c r="L23" s="1">
        <f t="shared" si="7"/>
        <v>67108864</v>
      </c>
    </row>
    <row r="24" spans="1:14" x14ac:dyDescent="0.3">
      <c r="A24" s="6" t="s">
        <v>17</v>
      </c>
      <c r="B24" s="6" t="s">
        <v>22</v>
      </c>
      <c r="C24" s="10">
        <f t="shared" si="5"/>
        <v>-2147483648</v>
      </c>
      <c r="D24" s="10">
        <f t="shared" si="6"/>
        <v>2147483647</v>
      </c>
      <c r="E24" s="6"/>
      <c r="F24" t="s">
        <v>45</v>
      </c>
      <c r="G24" s="1"/>
      <c r="H24" s="28" t="s">
        <v>67</v>
      </c>
      <c r="J24" s="15">
        <f t="shared" si="8"/>
        <v>1.5625E-2</v>
      </c>
      <c r="K24" s="7">
        <f>INT(($K$19*K23)/(2^30))</f>
        <v>16777216</v>
      </c>
      <c r="L24" s="1">
        <f t="shared" si="7"/>
        <v>16777216</v>
      </c>
    </row>
    <row r="25" spans="1:14" x14ac:dyDescent="0.3">
      <c r="A25" s="6" t="s">
        <v>18</v>
      </c>
      <c r="B25" s="6" t="s">
        <v>22</v>
      </c>
      <c r="C25" s="10">
        <f t="shared" si="5"/>
        <v>-2147483648</v>
      </c>
      <c r="D25" s="10">
        <f t="shared" si="6"/>
        <v>2147483647</v>
      </c>
      <c r="E25" s="6"/>
      <c r="F25" t="s">
        <v>46</v>
      </c>
      <c r="G25" s="1"/>
      <c r="H25" s="28" t="s">
        <v>67</v>
      </c>
      <c r="J25" s="15">
        <f t="shared" si="8"/>
        <v>3.90625E-3</v>
      </c>
      <c r="K25" s="7">
        <f t="shared" ref="K25:K26" si="9">INT(($K$19*K24)/(2^30))</f>
        <v>4194304</v>
      </c>
      <c r="L25" s="1">
        <f t="shared" si="7"/>
        <v>4194304</v>
      </c>
    </row>
    <row r="26" spans="1:14" x14ac:dyDescent="0.3">
      <c r="A26" s="6" t="s">
        <v>19</v>
      </c>
      <c r="B26" s="6" t="s">
        <v>22</v>
      </c>
      <c r="C26" s="10">
        <f t="shared" si="5"/>
        <v>-2147483648</v>
      </c>
      <c r="D26" s="10">
        <f t="shared" si="6"/>
        <v>2147483647</v>
      </c>
      <c r="E26" s="6"/>
      <c r="F26" t="s">
        <v>47</v>
      </c>
      <c r="G26" s="1"/>
      <c r="H26" s="28" t="s">
        <v>67</v>
      </c>
      <c r="J26" s="15">
        <f t="shared" si="8"/>
        <v>9.765625E-4</v>
      </c>
      <c r="K26" s="7">
        <f t="shared" si="9"/>
        <v>1048576</v>
      </c>
      <c r="L26" s="1">
        <f t="shared" si="7"/>
        <v>1048576</v>
      </c>
    </row>
    <row r="27" spans="1:14" x14ac:dyDescent="0.3">
      <c r="A27" s="5"/>
      <c r="B27" s="5"/>
      <c r="C27" s="1"/>
      <c r="D27" s="1"/>
      <c r="E27" s="5"/>
      <c r="K27" s="8"/>
      <c r="L27" s="1"/>
    </row>
    <row r="28" spans="1:14" s="5" customFormat="1" x14ac:dyDescent="0.3">
      <c r="A28" s="5" t="s">
        <v>34</v>
      </c>
      <c r="B28" s="6" t="s">
        <v>25</v>
      </c>
      <c r="C28" s="10">
        <f>-(2^63)</f>
        <v>-9.2233720368547758E+18</v>
      </c>
      <c r="D28" s="10">
        <f>2^63-1</f>
        <v>9.2233720368547758E+18</v>
      </c>
      <c r="F28" t="s">
        <v>36</v>
      </c>
      <c r="G28" s="17"/>
      <c r="H28" s="28" t="s">
        <v>68</v>
      </c>
      <c r="J28" s="38">
        <f>K28/($B$2*$B$7)</f>
        <v>0</v>
      </c>
      <c r="K28" s="8">
        <f>K21*K11</f>
        <v>0</v>
      </c>
      <c r="L28" s="1">
        <f t="shared" ref="L28:L33" si="10">K28</f>
        <v>0</v>
      </c>
      <c r="M28"/>
    </row>
    <row r="29" spans="1:14" x14ac:dyDescent="0.3">
      <c r="A29" s="5" t="s">
        <v>11</v>
      </c>
      <c r="B29" s="6" t="s">
        <v>25</v>
      </c>
      <c r="C29" s="10">
        <f t="shared" ref="C29:C33" si="11">-(2^63)</f>
        <v>-9.2233720368547758E+18</v>
      </c>
      <c r="D29" s="10">
        <f t="shared" ref="D29:D33" si="12">2^63-1</f>
        <v>9.2233720368547758E+18</v>
      </c>
      <c r="E29" s="5"/>
      <c r="F29" t="s">
        <v>36</v>
      </c>
      <c r="G29" s="17"/>
      <c r="H29" s="28" t="s">
        <v>68</v>
      </c>
      <c r="J29" s="38">
        <f t="shared" ref="J29:J33" si="13">K29/($B$2*$B$7)</f>
        <v>2.5000000000000001E-4</v>
      </c>
      <c r="K29" s="8">
        <f xml:space="preserve"> K12*K22</f>
        <v>26843545600000</v>
      </c>
      <c r="L29" s="1">
        <f t="shared" si="10"/>
        <v>26843545600000</v>
      </c>
    </row>
    <row r="30" spans="1:14" x14ac:dyDescent="0.3">
      <c r="A30" s="5" t="s">
        <v>10</v>
      </c>
      <c r="B30" s="6" t="s">
        <v>25</v>
      </c>
      <c r="C30" s="10">
        <f t="shared" si="11"/>
        <v>-9.2233720368547758E+18</v>
      </c>
      <c r="D30" s="10">
        <f t="shared" si="12"/>
        <v>9.2233720368547758E+18</v>
      </c>
      <c r="E30" s="5"/>
      <c r="F30" t="s">
        <v>36</v>
      </c>
      <c r="G30" s="17"/>
      <c r="H30" s="28" t="s">
        <v>68</v>
      </c>
      <c r="J30" s="38">
        <f t="shared" si="13"/>
        <v>9.9999999999999995E-7</v>
      </c>
      <c r="K30" s="8">
        <f xml:space="preserve"> K13*K23</f>
        <v>107374182400</v>
      </c>
      <c r="L30" s="1">
        <f t="shared" si="10"/>
        <v>107374182400</v>
      </c>
    </row>
    <row r="31" spans="1:14" x14ac:dyDescent="0.3">
      <c r="A31" s="5" t="s">
        <v>9</v>
      </c>
      <c r="B31" s="6" t="s">
        <v>25</v>
      </c>
      <c r="C31" s="10">
        <f t="shared" si="11"/>
        <v>-9.2233720368547758E+18</v>
      </c>
      <c r="D31" s="10">
        <f t="shared" si="12"/>
        <v>9.2233720368547758E+18</v>
      </c>
      <c r="E31" s="5"/>
      <c r="F31" t="s">
        <v>36</v>
      </c>
      <c r="G31" s="17"/>
      <c r="H31" s="28" t="s">
        <v>68</v>
      </c>
      <c r="J31" s="38">
        <f t="shared" si="13"/>
        <v>0</v>
      </c>
      <c r="K31" s="8">
        <f xml:space="preserve"> K14*K24</f>
        <v>0</v>
      </c>
      <c r="L31" s="1">
        <f t="shared" si="10"/>
        <v>0</v>
      </c>
    </row>
    <row r="32" spans="1:14" x14ac:dyDescent="0.3">
      <c r="A32" s="5" t="s">
        <v>8</v>
      </c>
      <c r="B32" s="6" t="s">
        <v>25</v>
      </c>
      <c r="C32" s="10">
        <f t="shared" si="11"/>
        <v>-9.2233720368547758E+18</v>
      </c>
      <c r="D32" s="10">
        <f t="shared" si="12"/>
        <v>9.2233720368547758E+18</v>
      </c>
      <c r="E32" s="5"/>
      <c r="F32" t="s">
        <v>36</v>
      </c>
      <c r="G32" s="17"/>
      <c r="H32" s="28" t="s">
        <v>68</v>
      </c>
      <c r="J32" s="38">
        <f t="shared" si="13"/>
        <v>0</v>
      </c>
      <c r="K32" s="8">
        <f xml:space="preserve"> K15*K25</f>
        <v>0</v>
      </c>
      <c r="L32" s="1">
        <f t="shared" si="10"/>
        <v>0</v>
      </c>
    </row>
    <row r="33" spans="1:12" x14ac:dyDescent="0.3">
      <c r="A33" s="5" t="s">
        <v>7</v>
      </c>
      <c r="B33" s="6" t="s">
        <v>25</v>
      </c>
      <c r="C33" s="10">
        <f t="shared" si="11"/>
        <v>-9.2233720368547758E+18</v>
      </c>
      <c r="D33" s="10">
        <f t="shared" si="12"/>
        <v>9.2233720368547758E+18</v>
      </c>
      <c r="E33" s="5"/>
      <c r="F33" t="s">
        <v>36</v>
      </c>
      <c r="G33" s="17"/>
      <c r="H33" s="28" t="s">
        <v>68</v>
      </c>
      <c r="J33" s="38">
        <f t="shared" si="13"/>
        <v>0</v>
      </c>
      <c r="K33" s="8">
        <f xml:space="preserve"> K16*K26</f>
        <v>0</v>
      </c>
      <c r="L33" s="1">
        <f t="shared" si="10"/>
        <v>0</v>
      </c>
    </row>
    <row r="34" spans="1:12" s="5" customFormat="1" x14ac:dyDescent="0.3">
      <c r="C34" s="4"/>
      <c r="D34" s="4"/>
      <c r="G34" s="14"/>
      <c r="H34" s="28"/>
      <c r="K34" s="8"/>
      <c r="L34" s="1"/>
    </row>
    <row r="35" spans="1:12" s="5" customFormat="1" x14ac:dyDescent="0.3">
      <c r="C35" s="4"/>
      <c r="D35" s="4"/>
      <c r="G35" s="14"/>
      <c r="H35" s="28"/>
      <c r="K35" s="9">
        <f>INT(SUM(K28:K33)/(B7))</f>
        <v>25100</v>
      </c>
      <c r="L35" s="1"/>
    </row>
    <row r="36" spans="1:12" x14ac:dyDescent="0.3">
      <c r="A36" s="2" t="s">
        <v>20</v>
      </c>
      <c r="B36" s="6" t="s">
        <v>24</v>
      </c>
      <c r="C36" s="1">
        <v>0</v>
      </c>
      <c r="D36" s="1">
        <f>2^16</f>
        <v>65536</v>
      </c>
      <c r="E36" s="2"/>
      <c r="F36" t="s">
        <v>36</v>
      </c>
      <c r="G36" s="17"/>
      <c r="H36" s="28" t="s">
        <v>66</v>
      </c>
      <c r="J36" s="39">
        <f>K36/B5</f>
        <v>2.5099999999999998E-4</v>
      </c>
      <c r="K36" s="9">
        <f>INT(K35/B8)</f>
        <v>251</v>
      </c>
      <c r="L36" s="1">
        <f>K36</f>
        <v>251</v>
      </c>
    </row>
    <row r="38" spans="1:12" x14ac:dyDescent="0.3">
      <c r="E38" t="s">
        <v>73</v>
      </c>
      <c r="G38" s="20"/>
      <c r="H38" s="32"/>
    </row>
    <row r="39" spans="1:12" x14ac:dyDescent="0.3">
      <c r="K39" s="12"/>
    </row>
    <row r="40" spans="1:12" x14ac:dyDescent="0.3">
      <c r="K40" s="11"/>
    </row>
    <row r="49" spans="10:14" x14ac:dyDescent="0.3">
      <c r="J49">
        <f>2^4</f>
        <v>16</v>
      </c>
      <c r="M49" s="23">
        <v>2</v>
      </c>
      <c r="N49">
        <f>M49*J50</f>
        <v>8</v>
      </c>
    </row>
    <row r="50" spans="10:14" x14ac:dyDescent="0.3">
      <c r="J50">
        <v>4</v>
      </c>
      <c r="M50" s="23" t="s">
        <v>63</v>
      </c>
    </row>
    <row r="51" spans="10:14" x14ac:dyDescent="0.3">
      <c r="M51" s="23">
        <v>3</v>
      </c>
      <c r="N51">
        <f>M51*J50</f>
        <v>12</v>
      </c>
    </row>
    <row r="52" spans="10:14" x14ac:dyDescent="0.3">
      <c r="N52">
        <f>N49*N51</f>
        <v>96</v>
      </c>
    </row>
    <row r="53" spans="10:14" x14ac:dyDescent="0.3">
      <c r="N53">
        <f>N52/J50/J50</f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zoomScale="85" zoomScaleNormal="85" workbookViewId="0">
      <selection activeCell="G22" sqref="G22"/>
    </sheetView>
  </sheetViews>
  <sheetFormatPr defaultRowHeight="14.4" x14ac:dyDescent="0.3"/>
  <cols>
    <col min="1" max="1" width="10" customWidth="1"/>
    <col min="3" max="3" width="13" bestFit="1" customWidth="1"/>
    <col min="4" max="4" width="16.44140625" customWidth="1"/>
    <col min="6" max="6" width="11.109375" customWidth="1"/>
    <col min="7" max="7" width="12.109375" style="14" customWidth="1"/>
    <col min="9" max="9" width="14.6640625" customWidth="1"/>
    <col min="10" max="10" width="21" bestFit="1" customWidth="1"/>
    <col min="11" max="11" width="16.5546875" bestFit="1" customWidth="1"/>
  </cols>
  <sheetData>
    <row r="1" spans="1:13" x14ac:dyDescent="0.3">
      <c r="B1" s="23" t="s">
        <v>50</v>
      </c>
      <c r="C1" s="23" t="s">
        <v>51</v>
      </c>
    </row>
    <row r="2" spans="1:13" x14ac:dyDescent="0.3">
      <c r="A2" t="s">
        <v>32</v>
      </c>
      <c r="B2" s="1">
        <f t="shared" ref="B2:B4" si="0">2^C2</f>
        <v>262144</v>
      </c>
      <c r="C2">
        <f>C4-12</f>
        <v>18</v>
      </c>
    </row>
    <row r="3" spans="1:13" x14ac:dyDescent="0.3">
      <c r="A3" t="s">
        <v>31</v>
      </c>
      <c r="B3" s="1">
        <v>10000</v>
      </c>
    </row>
    <row r="4" spans="1:13" x14ac:dyDescent="0.3">
      <c r="A4" t="s">
        <v>52</v>
      </c>
      <c r="B4" s="1">
        <f t="shared" si="0"/>
        <v>1073741824</v>
      </c>
      <c r="C4">
        <v>30</v>
      </c>
      <c r="E4" t="s">
        <v>53</v>
      </c>
    </row>
    <row r="5" spans="1:13" x14ac:dyDescent="0.3">
      <c r="A5" t="s">
        <v>35</v>
      </c>
      <c r="B5" s="1">
        <v>100</v>
      </c>
    </row>
    <row r="7" spans="1:13" x14ac:dyDescent="0.3">
      <c r="B7" s="3" t="s">
        <v>21</v>
      </c>
      <c r="C7" s="3" t="s">
        <v>26</v>
      </c>
      <c r="D7" s="3" t="s">
        <v>27</v>
      </c>
      <c r="E7" s="3"/>
      <c r="F7" s="3" t="s">
        <v>12</v>
      </c>
      <c r="G7" s="21" t="s">
        <v>12</v>
      </c>
      <c r="H7" s="3"/>
      <c r="I7" s="3" t="s">
        <v>13</v>
      </c>
      <c r="J7" s="3" t="s">
        <v>48</v>
      </c>
      <c r="K7" s="3" t="s">
        <v>49</v>
      </c>
    </row>
    <row r="8" spans="1:13" x14ac:dyDescent="0.3">
      <c r="A8" s="2" t="s">
        <v>5</v>
      </c>
      <c r="B8" s="6" t="s">
        <v>22</v>
      </c>
      <c r="C8" s="10">
        <f>-(2^31)</f>
        <v>-2147483648</v>
      </c>
      <c r="D8" s="10">
        <f>2^31-1</f>
        <v>2147483647</v>
      </c>
      <c r="E8" s="2"/>
      <c r="F8" s="29" t="s">
        <v>70</v>
      </c>
      <c r="G8" s="17">
        <v>10000</v>
      </c>
      <c r="I8" s="37">
        <v>1</v>
      </c>
      <c r="J8" s="7">
        <f>I8*G8</f>
        <v>10000</v>
      </c>
      <c r="K8" s="1">
        <f t="shared" ref="K8:K13" si="1">J8</f>
        <v>10000</v>
      </c>
    </row>
    <row r="9" spans="1:13" x14ac:dyDescent="0.3">
      <c r="A9" s="2" t="s">
        <v>4</v>
      </c>
      <c r="B9" s="6" t="s">
        <v>22</v>
      </c>
      <c r="C9" s="10">
        <f t="shared" ref="C9:C13" si="2">-(2^31)</f>
        <v>-2147483648</v>
      </c>
      <c r="D9" s="10">
        <f t="shared" ref="D9:D13" si="3">2^31-1</f>
        <v>2147483647</v>
      </c>
      <c r="E9" s="2"/>
      <c r="F9" s="29" t="s">
        <v>70</v>
      </c>
      <c r="G9" s="17">
        <v>10000</v>
      </c>
      <c r="I9" s="37">
        <v>4</v>
      </c>
      <c r="J9" s="7">
        <f t="shared" ref="J9:J13" si="4">I9*G9</f>
        <v>40000</v>
      </c>
      <c r="K9" s="1">
        <f t="shared" si="1"/>
        <v>40000</v>
      </c>
    </row>
    <row r="10" spans="1:13" x14ac:dyDescent="0.3">
      <c r="A10" s="2" t="s">
        <v>3</v>
      </c>
      <c r="B10" s="6" t="s">
        <v>22</v>
      </c>
      <c r="C10" s="10">
        <f t="shared" si="2"/>
        <v>-2147483648</v>
      </c>
      <c r="D10" s="10">
        <f t="shared" si="3"/>
        <v>2147483647</v>
      </c>
      <c r="E10" s="2"/>
      <c r="F10" s="29" t="s">
        <v>70</v>
      </c>
      <c r="G10" s="17">
        <v>10000</v>
      </c>
      <c r="I10" s="37">
        <v>16</v>
      </c>
      <c r="J10" s="7">
        <f t="shared" si="4"/>
        <v>160000</v>
      </c>
      <c r="K10" s="1">
        <f t="shared" si="1"/>
        <v>160000</v>
      </c>
    </row>
    <row r="11" spans="1:13" x14ac:dyDescent="0.3">
      <c r="A11" s="2" t="s">
        <v>2</v>
      </c>
      <c r="B11" s="6" t="s">
        <v>22</v>
      </c>
      <c r="C11" s="10">
        <f t="shared" si="2"/>
        <v>-2147483648</v>
      </c>
      <c r="D11" s="10">
        <f t="shared" si="3"/>
        <v>2147483647</v>
      </c>
      <c r="E11" s="2"/>
      <c r="F11" s="29" t="s">
        <v>70</v>
      </c>
      <c r="G11" s="17">
        <v>10000</v>
      </c>
      <c r="I11" s="37">
        <v>64</v>
      </c>
      <c r="J11" s="7">
        <f t="shared" si="4"/>
        <v>640000</v>
      </c>
      <c r="K11" s="1">
        <f t="shared" si="1"/>
        <v>640000</v>
      </c>
    </row>
    <row r="12" spans="1:13" x14ac:dyDescent="0.3">
      <c r="A12" s="2" t="s">
        <v>1</v>
      </c>
      <c r="B12" s="6" t="s">
        <v>22</v>
      </c>
      <c r="C12" s="10">
        <f t="shared" si="2"/>
        <v>-2147483648</v>
      </c>
      <c r="D12" s="10">
        <f t="shared" si="3"/>
        <v>2147483647</v>
      </c>
      <c r="E12" s="2"/>
      <c r="F12" s="29" t="s">
        <v>70</v>
      </c>
      <c r="G12" s="17">
        <v>10000</v>
      </c>
      <c r="I12" s="37">
        <v>256</v>
      </c>
      <c r="J12" s="7">
        <f t="shared" si="4"/>
        <v>2560000</v>
      </c>
      <c r="K12" s="1">
        <f t="shared" si="1"/>
        <v>2560000</v>
      </c>
    </row>
    <row r="13" spans="1:13" x14ac:dyDescent="0.3">
      <c r="A13" s="2" t="s">
        <v>0</v>
      </c>
      <c r="B13" s="6" t="s">
        <v>22</v>
      </c>
      <c r="C13" s="10">
        <f t="shared" si="2"/>
        <v>-2147483648</v>
      </c>
      <c r="D13" s="10">
        <f t="shared" si="3"/>
        <v>2147483647</v>
      </c>
      <c r="E13" s="2"/>
      <c r="F13" s="29" t="s">
        <v>70</v>
      </c>
      <c r="G13" s="17">
        <v>10000</v>
      </c>
      <c r="I13" s="37">
        <v>1024</v>
      </c>
      <c r="J13" s="7">
        <f t="shared" si="4"/>
        <v>10240000</v>
      </c>
      <c r="K13" s="1">
        <f t="shared" si="1"/>
        <v>10240000</v>
      </c>
    </row>
    <row r="14" spans="1:13" x14ac:dyDescent="0.3">
      <c r="A14" s="5"/>
      <c r="B14" s="5"/>
      <c r="C14" s="1"/>
      <c r="D14" s="1"/>
      <c r="E14" s="5"/>
      <c r="F14" s="29"/>
      <c r="I14" s="5"/>
      <c r="J14" s="6"/>
      <c r="K14" s="1"/>
    </row>
    <row r="15" spans="1:13" x14ac:dyDescent="0.3">
      <c r="A15" s="2" t="s">
        <v>6</v>
      </c>
      <c r="B15" t="s">
        <v>23</v>
      </c>
      <c r="C15" s="1">
        <f>-(2^15)</f>
        <v>-32768</v>
      </c>
      <c r="D15" s="1">
        <f>2^15-1</f>
        <v>32767</v>
      </c>
      <c r="E15" s="2"/>
      <c r="F15" s="29" t="s">
        <v>71</v>
      </c>
      <c r="G15" s="17">
        <f>2^12</f>
        <v>4096</v>
      </c>
      <c r="I15" s="36">
        <f>J15/G15</f>
        <v>0.25</v>
      </c>
      <c r="J15" s="22">
        <v>1024</v>
      </c>
      <c r="K15" s="1">
        <f>J15</f>
        <v>1024</v>
      </c>
    </row>
    <row r="16" spans="1:13" x14ac:dyDescent="0.3">
      <c r="A16" s="6" t="s">
        <v>30</v>
      </c>
      <c r="B16" t="s">
        <v>22</v>
      </c>
      <c r="C16" s="10">
        <f t="shared" ref="C16:C23" si="5">-(2^31)</f>
        <v>-2147483648</v>
      </c>
      <c r="D16" s="10">
        <f t="shared" ref="D16:D23" si="6">2^31-1</f>
        <v>2147483647</v>
      </c>
      <c r="E16" s="2"/>
      <c r="F16" s="29" t="s">
        <v>67</v>
      </c>
      <c r="G16" s="19">
        <f>B4</f>
        <v>1073741824</v>
      </c>
      <c r="I16" s="36">
        <f>J16/G16</f>
        <v>0.25</v>
      </c>
      <c r="J16" s="34">
        <f>J15*B2</f>
        <v>268435456</v>
      </c>
      <c r="K16" s="1">
        <f>J16</f>
        <v>268435456</v>
      </c>
      <c r="M16" t="s">
        <v>28</v>
      </c>
    </row>
    <row r="17" spans="1:12" x14ac:dyDescent="0.3">
      <c r="A17" s="2"/>
      <c r="B17" s="2"/>
      <c r="C17" s="1"/>
      <c r="D17" s="1"/>
      <c r="E17" s="2"/>
      <c r="F17" s="29"/>
      <c r="G17" s="18"/>
      <c r="I17" s="2"/>
      <c r="J17" s="22"/>
      <c r="K17" s="1"/>
    </row>
    <row r="18" spans="1:12" x14ac:dyDescent="0.3">
      <c r="A18" s="6" t="s">
        <v>14</v>
      </c>
      <c r="B18" s="6" t="s">
        <v>22</v>
      </c>
      <c r="C18" s="10">
        <f t="shared" si="5"/>
        <v>-2147483648</v>
      </c>
      <c r="D18" s="10">
        <f t="shared" si="6"/>
        <v>2147483647</v>
      </c>
      <c r="E18" s="2"/>
      <c r="F18" s="29" t="s">
        <v>67</v>
      </c>
      <c r="G18" s="19">
        <f>$B$4</f>
        <v>1073741824</v>
      </c>
      <c r="I18" s="35">
        <f t="shared" ref="I18:I32" si="7">J18/G18</f>
        <v>1</v>
      </c>
      <c r="J18" s="13">
        <f>B4</f>
        <v>1073741824</v>
      </c>
      <c r="K18" s="1">
        <f t="shared" ref="K18:K23" si="8">J18</f>
        <v>1073741824</v>
      </c>
    </row>
    <row r="19" spans="1:12" x14ac:dyDescent="0.3">
      <c r="A19" s="6" t="s">
        <v>15</v>
      </c>
      <c r="B19" s="6" t="s">
        <v>22</v>
      </c>
      <c r="C19" s="10">
        <f t="shared" si="5"/>
        <v>-2147483648</v>
      </c>
      <c r="D19" s="10">
        <f t="shared" si="6"/>
        <v>2147483647</v>
      </c>
      <c r="E19" s="6"/>
      <c r="F19" s="29" t="s">
        <v>67</v>
      </c>
      <c r="G19" s="19">
        <f t="shared" ref="G19:G23" si="9">$B$4</f>
        <v>1073741824</v>
      </c>
      <c r="I19" s="35">
        <f t="shared" si="7"/>
        <v>0.25</v>
      </c>
      <c r="J19" s="13">
        <f>J16</f>
        <v>268435456</v>
      </c>
      <c r="K19" s="1">
        <f t="shared" si="8"/>
        <v>268435456</v>
      </c>
    </row>
    <row r="20" spans="1:12" x14ac:dyDescent="0.3">
      <c r="A20" s="6" t="s">
        <v>16</v>
      </c>
      <c r="B20" s="6" t="s">
        <v>22</v>
      </c>
      <c r="C20" s="10">
        <f t="shared" si="5"/>
        <v>-2147483648</v>
      </c>
      <c r="D20" s="10">
        <f t="shared" si="6"/>
        <v>2147483647</v>
      </c>
      <c r="E20" s="6"/>
      <c r="F20" s="29" t="s">
        <v>67</v>
      </c>
      <c r="G20" s="19">
        <f t="shared" si="9"/>
        <v>1073741824</v>
      </c>
      <c r="I20" s="35">
        <f t="shared" si="7"/>
        <v>6.25E-2</v>
      </c>
      <c r="J20" s="7">
        <f>INT(($J$16*J19)/$B$4)</f>
        <v>67108864</v>
      </c>
      <c r="K20" s="1">
        <f t="shared" si="8"/>
        <v>67108864</v>
      </c>
    </row>
    <row r="21" spans="1:12" x14ac:dyDescent="0.3">
      <c r="A21" s="6" t="s">
        <v>17</v>
      </c>
      <c r="B21" s="6" t="s">
        <v>22</v>
      </c>
      <c r="C21" s="10">
        <f t="shared" si="5"/>
        <v>-2147483648</v>
      </c>
      <c r="D21" s="10">
        <f t="shared" si="6"/>
        <v>2147483647</v>
      </c>
      <c r="E21" s="6"/>
      <c r="F21" s="29" t="s">
        <v>67</v>
      </c>
      <c r="G21" s="19">
        <f t="shared" si="9"/>
        <v>1073741824</v>
      </c>
      <c r="I21" s="35">
        <f t="shared" si="7"/>
        <v>1.5625E-2</v>
      </c>
      <c r="J21" s="7">
        <f>INT(($J$16*J20)/$B$4)</f>
        <v>16777216</v>
      </c>
      <c r="K21" s="1">
        <f t="shared" si="8"/>
        <v>16777216</v>
      </c>
    </row>
    <row r="22" spans="1:12" x14ac:dyDescent="0.3">
      <c r="A22" s="6" t="s">
        <v>18</v>
      </c>
      <c r="B22" s="6" t="s">
        <v>22</v>
      </c>
      <c r="C22" s="10">
        <f t="shared" si="5"/>
        <v>-2147483648</v>
      </c>
      <c r="D22" s="10">
        <f t="shared" si="6"/>
        <v>2147483647</v>
      </c>
      <c r="E22" s="6"/>
      <c r="F22" s="29" t="s">
        <v>67</v>
      </c>
      <c r="G22" s="19">
        <f t="shared" si="9"/>
        <v>1073741824</v>
      </c>
      <c r="I22" s="35">
        <f t="shared" si="7"/>
        <v>3.90625E-3</v>
      </c>
      <c r="J22" s="7">
        <f>INT(($J$16*J21)/$B$4)</f>
        <v>4194304</v>
      </c>
      <c r="K22" s="1">
        <f t="shared" si="8"/>
        <v>4194304</v>
      </c>
    </row>
    <row r="23" spans="1:12" x14ac:dyDescent="0.3">
      <c r="A23" s="6" t="s">
        <v>19</v>
      </c>
      <c r="B23" s="6" t="s">
        <v>22</v>
      </c>
      <c r="C23" s="10">
        <f t="shared" si="5"/>
        <v>-2147483648</v>
      </c>
      <c r="D23" s="10">
        <f t="shared" si="6"/>
        <v>2147483647</v>
      </c>
      <c r="E23" s="6"/>
      <c r="F23" s="29" t="s">
        <v>67</v>
      </c>
      <c r="G23" s="19">
        <f t="shared" si="9"/>
        <v>1073741824</v>
      </c>
      <c r="I23" s="35">
        <f t="shared" si="7"/>
        <v>9.765625E-4</v>
      </c>
      <c r="J23" s="7">
        <f>INT(($J$16*J22)/$B$4)</f>
        <v>1048576</v>
      </c>
      <c r="K23" s="1">
        <f t="shared" si="8"/>
        <v>1048576</v>
      </c>
    </row>
    <row r="24" spans="1:12" x14ac:dyDescent="0.3">
      <c r="A24" s="5"/>
      <c r="B24" s="5"/>
      <c r="C24" s="1"/>
      <c r="D24" s="1"/>
      <c r="E24" s="5"/>
      <c r="F24" s="29"/>
      <c r="J24" s="8"/>
      <c r="K24" s="1"/>
    </row>
    <row r="25" spans="1:12" s="5" customFormat="1" x14ac:dyDescent="0.3">
      <c r="A25" s="5" t="s">
        <v>34</v>
      </c>
      <c r="B25" s="6" t="s">
        <v>25</v>
      </c>
      <c r="C25" s="10">
        <f>-(2^63)</f>
        <v>-9.2233720368547758E+18</v>
      </c>
      <c r="D25" s="10">
        <f>2^63-1</f>
        <v>9.2233720368547758E+18</v>
      </c>
      <c r="F25" s="29" t="s">
        <v>72</v>
      </c>
      <c r="G25" s="19">
        <f>$B$3*$B$4</f>
        <v>10737418240000</v>
      </c>
      <c r="I25" s="35">
        <f t="shared" si="7"/>
        <v>1</v>
      </c>
      <c r="J25" s="8">
        <f>(J18*J8)</f>
        <v>10737418240000</v>
      </c>
      <c r="K25" s="1">
        <f t="shared" ref="K25:K30" si="10">J25</f>
        <v>10737418240000</v>
      </c>
      <c r="L25"/>
    </row>
    <row r="26" spans="1:12" x14ac:dyDescent="0.3">
      <c r="A26" s="5" t="s">
        <v>11</v>
      </c>
      <c r="B26" s="6" t="s">
        <v>25</v>
      </c>
      <c r="C26" s="10">
        <f t="shared" ref="C26:C30" si="11">-(2^63)</f>
        <v>-9.2233720368547758E+18</v>
      </c>
      <c r="D26" s="10">
        <f t="shared" ref="D26:D30" si="12">2^63-1</f>
        <v>9.2233720368547758E+18</v>
      </c>
      <c r="E26" s="5"/>
      <c r="F26" s="29" t="s">
        <v>72</v>
      </c>
      <c r="G26" s="19">
        <f t="shared" ref="G26:G30" si="13">$B$3*$B$4</f>
        <v>10737418240000</v>
      </c>
      <c r="I26" s="35">
        <f t="shared" si="7"/>
        <v>1</v>
      </c>
      <c r="J26" s="8">
        <f t="shared" ref="J26:J30" si="14">(J19*J9)</f>
        <v>10737418240000</v>
      </c>
      <c r="K26" s="1">
        <f t="shared" si="10"/>
        <v>10737418240000</v>
      </c>
    </row>
    <row r="27" spans="1:12" x14ac:dyDescent="0.3">
      <c r="A27" s="5" t="s">
        <v>10</v>
      </c>
      <c r="B27" s="6" t="s">
        <v>25</v>
      </c>
      <c r="C27" s="10">
        <f t="shared" si="11"/>
        <v>-9.2233720368547758E+18</v>
      </c>
      <c r="D27" s="10">
        <f t="shared" si="12"/>
        <v>9.2233720368547758E+18</v>
      </c>
      <c r="E27" s="5"/>
      <c r="F27" s="29" t="s">
        <v>72</v>
      </c>
      <c r="G27" s="19">
        <f t="shared" si="13"/>
        <v>10737418240000</v>
      </c>
      <c r="I27" s="35">
        <f t="shared" si="7"/>
        <v>1</v>
      </c>
      <c r="J27" s="8">
        <f t="shared" si="14"/>
        <v>10737418240000</v>
      </c>
      <c r="K27" s="1">
        <f t="shared" si="10"/>
        <v>10737418240000</v>
      </c>
    </row>
    <row r="28" spans="1:12" x14ac:dyDescent="0.3">
      <c r="A28" s="5" t="s">
        <v>9</v>
      </c>
      <c r="B28" s="6" t="s">
        <v>25</v>
      </c>
      <c r="C28" s="10">
        <f t="shared" si="11"/>
        <v>-9.2233720368547758E+18</v>
      </c>
      <c r="D28" s="10">
        <f t="shared" si="12"/>
        <v>9.2233720368547758E+18</v>
      </c>
      <c r="E28" s="5"/>
      <c r="F28" s="29" t="s">
        <v>72</v>
      </c>
      <c r="G28" s="19">
        <f t="shared" si="13"/>
        <v>10737418240000</v>
      </c>
      <c r="I28" s="35">
        <f t="shared" si="7"/>
        <v>1</v>
      </c>
      <c r="J28" s="8">
        <f t="shared" si="14"/>
        <v>10737418240000</v>
      </c>
      <c r="K28" s="1">
        <f t="shared" si="10"/>
        <v>10737418240000</v>
      </c>
    </row>
    <row r="29" spans="1:12" x14ac:dyDescent="0.3">
      <c r="A29" s="5" t="s">
        <v>8</v>
      </c>
      <c r="B29" s="6" t="s">
        <v>25</v>
      </c>
      <c r="C29" s="10">
        <f t="shared" si="11"/>
        <v>-9.2233720368547758E+18</v>
      </c>
      <c r="D29" s="10">
        <f t="shared" si="12"/>
        <v>9.2233720368547758E+18</v>
      </c>
      <c r="E29" s="5"/>
      <c r="F29" s="29" t="s">
        <v>72</v>
      </c>
      <c r="G29" s="19">
        <f t="shared" si="13"/>
        <v>10737418240000</v>
      </c>
      <c r="I29" s="35">
        <f t="shared" si="7"/>
        <v>1</v>
      </c>
      <c r="J29" s="8">
        <f t="shared" si="14"/>
        <v>10737418240000</v>
      </c>
      <c r="K29" s="1">
        <f t="shared" si="10"/>
        <v>10737418240000</v>
      </c>
    </row>
    <row r="30" spans="1:12" x14ac:dyDescent="0.3">
      <c r="A30" s="5" t="s">
        <v>7</v>
      </c>
      <c r="B30" s="6" t="s">
        <v>25</v>
      </c>
      <c r="C30" s="10">
        <f t="shared" si="11"/>
        <v>-9.2233720368547758E+18</v>
      </c>
      <c r="D30" s="10">
        <f t="shared" si="12"/>
        <v>9.2233720368547758E+18</v>
      </c>
      <c r="E30" s="5"/>
      <c r="F30" s="29" t="s">
        <v>72</v>
      </c>
      <c r="G30" s="19">
        <f t="shared" si="13"/>
        <v>10737418240000</v>
      </c>
      <c r="I30" s="35">
        <f t="shared" si="7"/>
        <v>1</v>
      </c>
      <c r="J30" s="8">
        <f t="shared" si="14"/>
        <v>10737418240000</v>
      </c>
      <c r="K30" s="1">
        <f t="shared" si="10"/>
        <v>10737418240000</v>
      </c>
    </row>
    <row r="31" spans="1:12" s="5" customFormat="1" x14ac:dyDescent="0.3">
      <c r="C31" s="4"/>
      <c r="D31" s="4"/>
      <c r="F31" s="33"/>
      <c r="G31" s="14"/>
      <c r="J31" s="8"/>
      <c r="K31" s="1"/>
    </row>
    <row r="32" spans="1:12" x14ac:dyDescent="0.3">
      <c r="A32" s="2" t="s">
        <v>54</v>
      </c>
      <c r="B32" s="6" t="s">
        <v>24</v>
      </c>
      <c r="C32" s="1">
        <v>0</v>
      </c>
      <c r="D32" s="1">
        <f>2^16</f>
        <v>65536</v>
      </c>
      <c r="E32" s="2"/>
      <c r="F32" s="29" t="s">
        <v>69</v>
      </c>
      <c r="G32" s="19">
        <f>B5</f>
        <v>100</v>
      </c>
      <c r="I32" s="35">
        <f t="shared" si="7"/>
        <v>6</v>
      </c>
      <c r="J32" s="9">
        <f>INT(SUM(J25:J30)/(B4*(B3/B5)))</f>
        <v>600</v>
      </c>
      <c r="K32" s="1">
        <f>J32</f>
        <v>600</v>
      </c>
    </row>
    <row r="34" spans="7:10" x14ac:dyDescent="0.3">
      <c r="G34" s="20"/>
    </row>
    <row r="35" spans="7:10" x14ac:dyDescent="0.3">
      <c r="J35" s="12"/>
    </row>
    <row r="36" spans="7:10" x14ac:dyDescent="0.3">
      <c r="J36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J24" sqref="J24"/>
    </sheetView>
  </sheetViews>
  <sheetFormatPr defaultRowHeight="14.4" x14ac:dyDescent="0.3"/>
  <cols>
    <col min="1" max="1" width="9.88671875" bestFit="1" customWidth="1"/>
    <col min="3" max="3" width="6.88671875" customWidth="1"/>
    <col min="5" max="5" width="10.6640625" customWidth="1"/>
    <col min="8" max="8" width="13.21875" bestFit="1" customWidth="1"/>
    <col min="10" max="10" width="12.5546875" customWidth="1"/>
    <col min="11" max="11" width="11" bestFit="1" customWidth="1"/>
    <col min="13" max="14" width="14.6640625" customWidth="1"/>
    <col min="15" max="15" width="10.33203125" customWidth="1"/>
  </cols>
  <sheetData>
    <row r="1" spans="1:15" x14ac:dyDescent="0.3">
      <c r="A1" t="s">
        <v>56</v>
      </c>
      <c r="C1" t="s">
        <v>55</v>
      </c>
      <c r="E1" t="s">
        <v>57</v>
      </c>
      <c r="G1" t="s">
        <v>58</v>
      </c>
      <c r="H1" t="s">
        <v>60</v>
      </c>
      <c r="J1" t="s">
        <v>59</v>
      </c>
      <c r="N1" s="23" t="s">
        <v>61</v>
      </c>
      <c r="O1" s="23" t="s">
        <v>62</v>
      </c>
    </row>
    <row r="2" spans="1:15" x14ac:dyDescent="0.3">
      <c r="A2" s="24">
        <v>0.98</v>
      </c>
      <c r="B2" s="24"/>
      <c r="C2">
        <v>980</v>
      </c>
      <c r="E2">
        <f>C2*(2^21)</f>
        <v>2055208960</v>
      </c>
      <c r="G2">
        <f>INT(E2/1000)</f>
        <v>2055208</v>
      </c>
      <c r="H2" s="25">
        <f>G2*2^9</f>
        <v>1052266496</v>
      </c>
      <c r="J2">
        <f>H2/2^30</f>
        <v>0.97999954223632813</v>
      </c>
      <c r="N2">
        <f t="shared" ref="N2:N22" si="0">H2/C2</f>
        <v>1073741.3224489796</v>
      </c>
      <c r="O2">
        <f>((2^21)/1000)*2^9</f>
        <v>1073741.824</v>
      </c>
    </row>
    <row r="3" spans="1:15" x14ac:dyDescent="0.3">
      <c r="A3">
        <v>0.98099999999999998</v>
      </c>
      <c r="C3">
        <v>981</v>
      </c>
      <c r="E3">
        <f t="shared" ref="E3:E22" si="1">C3*(2^21)</f>
        <v>2057306112</v>
      </c>
      <c r="G3">
        <f t="shared" ref="G3:G22" si="2">INT(E3/1000)</f>
        <v>2057306</v>
      </c>
      <c r="H3" s="25">
        <f t="shared" ref="H3:H24" si="3">G3*2^9</f>
        <v>1053340672</v>
      </c>
      <c r="J3">
        <f t="shared" ref="J3:J22" si="4">H3/2^30</f>
        <v>0.98099994659423828</v>
      </c>
      <c r="N3">
        <f t="shared" si="0"/>
        <v>1073741.7655453619</v>
      </c>
      <c r="O3">
        <f t="shared" ref="O3:O24" si="5">((2^21)/1000)*2^9</f>
        <v>1073741.824</v>
      </c>
    </row>
    <row r="4" spans="1:15" x14ac:dyDescent="0.3">
      <c r="A4" s="24">
        <v>0.98199999999999998</v>
      </c>
      <c r="B4" s="24"/>
      <c r="C4">
        <v>982</v>
      </c>
      <c r="E4">
        <f t="shared" si="1"/>
        <v>2059403264</v>
      </c>
      <c r="G4">
        <f t="shared" si="2"/>
        <v>2059403</v>
      </c>
      <c r="H4" s="25">
        <f t="shared" si="3"/>
        <v>1054414336</v>
      </c>
      <c r="J4">
        <f t="shared" si="4"/>
        <v>0.98199987411499023</v>
      </c>
      <c r="N4">
        <f t="shared" si="0"/>
        <v>1073741.6863543787</v>
      </c>
      <c r="O4">
        <f t="shared" si="5"/>
        <v>1073741.824</v>
      </c>
    </row>
    <row r="5" spans="1:15" x14ac:dyDescent="0.3">
      <c r="A5">
        <v>0.98299999999999998</v>
      </c>
      <c r="C5">
        <v>983</v>
      </c>
      <c r="E5">
        <f t="shared" si="1"/>
        <v>2061500416</v>
      </c>
      <c r="G5">
        <f t="shared" si="2"/>
        <v>2061500</v>
      </c>
      <c r="H5" s="25">
        <f t="shared" si="3"/>
        <v>1055488000</v>
      </c>
      <c r="J5">
        <f t="shared" si="4"/>
        <v>0.98299980163574219</v>
      </c>
      <c r="N5">
        <f t="shared" si="0"/>
        <v>1073741.6073245169</v>
      </c>
      <c r="O5">
        <f t="shared" si="5"/>
        <v>1073741.824</v>
      </c>
    </row>
    <row r="6" spans="1:15" x14ac:dyDescent="0.3">
      <c r="A6" s="24">
        <v>0.98399999999999999</v>
      </c>
      <c r="B6" s="24"/>
      <c r="C6">
        <v>984</v>
      </c>
      <c r="E6">
        <f t="shared" si="1"/>
        <v>2063597568</v>
      </c>
      <c r="G6">
        <f t="shared" si="2"/>
        <v>2063597</v>
      </c>
      <c r="H6" s="25">
        <f t="shared" si="3"/>
        <v>1056561664</v>
      </c>
      <c r="J6">
        <f t="shared" si="4"/>
        <v>0.98399972915649414</v>
      </c>
      <c r="N6">
        <f t="shared" si="0"/>
        <v>1073741.5284552847</v>
      </c>
      <c r="O6">
        <f t="shared" si="5"/>
        <v>1073741.824</v>
      </c>
    </row>
    <row r="7" spans="1:15" x14ac:dyDescent="0.3">
      <c r="A7">
        <v>0.98499999999999999</v>
      </c>
      <c r="C7">
        <v>985</v>
      </c>
      <c r="E7">
        <f t="shared" si="1"/>
        <v>2065694720</v>
      </c>
      <c r="G7">
        <f t="shared" si="2"/>
        <v>2065694</v>
      </c>
      <c r="H7" s="25">
        <f t="shared" si="3"/>
        <v>1057635328</v>
      </c>
      <c r="J7">
        <f t="shared" si="4"/>
        <v>0.98499965667724609</v>
      </c>
      <c r="N7">
        <f t="shared" si="0"/>
        <v>1073741.4497461929</v>
      </c>
      <c r="O7">
        <f t="shared" si="5"/>
        <v>1073741.824</v>
      </c>
    </row>
    <row r="8" spans="1:15" x14ac:dyDescent="0.3">
      <c r="A8" s="24">
        <v>0.98599999999999999</v>
      </c>
      <c r="B8" s="24"/>
      <c r="C8">
        <v>986</v>
      </c>
      <c r="E8">
        <f t="shared" si="1"/>
        <v>2067791872</v>
      </c>
      <c r="G8">
        <f t="shared" si="2"/>
        <v>2067791</v>
      </c>
      <c r="H8" s="25">
        <f t="shared" si="3"/>
        <v>1058708992</v>
      </c>
      <c r="J8">
        <f t="shared" si="4"/>
        <v>0.98599958419799805</v>
      </c>
      <c r="N8">
        <f t="shared" si="0"/>
        <v>1073741.3711967545</v>
      </c>
      <c r="O8">
        <f t="shared" si="5"/>
        <v>1073741.824</v>
      </c>
    </row>
    <row r="9" spans="1:15" x14ac:dyDescent="0.3">
      <c r="A9">
        <v>0.98699999999999999</v>
      </c>
      <c r="C9">
        <v>987</v>
      </c>
      <c r="E9">
        <f t="shared" si="1"/>
        <v>2069889024</v>
      </c>
      <c r="G9">
        <f t="shared" si="2"/>
        <v>2069889</v>
      </c>
      <c r="H9" s="25">
        <f t="shared" si="3"/>
        <v>1059783168</v>
      </c>
      <c r="J9">
        <f t="shared" si="4"/>
        <v>0.9869999885559082</v>
      </c>
      <c r="N9">
        <f t="shared" si="0"/>
        <v>1073741.811550152</v>
      </c>
      <c r="O9">
        <f t="shared" si="5"/>
        <v>1073741.824</v>
      </c>
    </row>
    <row r="10" spans="1:15" x14ac:dyDescent="0.3">
      <c r="A10" s="24">
        <v>0.98799999999999999</v>
      </c>
      <c r="B10" s="24"/>
      <c r="C10">
        <v>988</v>
      </c>
      <c r="E10">
        <f t="shared" si="1"/>
        <v>2071986176</v>
      </c>
      <c r="G10">
        <f t="shared" si="2"/>
        <v>2071986</v>
      </c>
      <c r="H10" s="25">
        <f t="shared" si="3"/>
        <v>1060856832</v>
      </c>
      <c r="J10">
        <f t="shared" si="4"/>
        <v>0.98799991607666016</v>
      </c>
      <c r="K10" s="1"/>
      <c r="N10">
        <f t="shared" si="0"/>
        <v>1073741.7327935223</v>
      </c>
      <c r="O10">
        <f t="shared" si="5"/>
        <v>1073741.824</v>
      </c>
    </row>
    <row r="11" spans="1:15" x14ac:dyDescent="0.3">
      <c r="A11">
        <v>0.98899999999999999</v>
      </c>
      <c r="C11">
        <v>989</v>
      </c>
      <c r="E11">
        <f t="shared" si="1"/>
        <v>2074083328</v>
      </c>
      <c r="G11">
        <f t="shared" si="2"/>
        <v>2074083</v>
      </c>
      <c r="H11" s="25">
        <f t="shared" si="3"/>
        <v>1061930496</v>
      </c>
      <c r="J11">
        <f t="shared" si="4"/>
        <v>0.98899984359741211</v>
      </c>
      <c r="N11">
        <f t="shared" si="0"/>
        <v>1073741.6541961578</v>
      </c>
      <c r="O11">
        <f t="shared" si="5"/>
        <v>1073741.824</v>
      </c>
    </row>
    <row r="12" spans="1:15" x14ac:dyDescent="0.3">
      <c r="A12" s="24">
        <v>0.99</v>
      </c>
      <c r="B12" s="24"/>
      <c r="C12">
        <v>990</v>
      </c>
      <c r="E12">
        <f t="shared" si="1"/>
        <v>2076180480</v>
      </c>
      <c r="G12">
        <f t="shared" si="2"/>
        <v>2076180</v>
      </c>
      <c r="H12" s="25">
        <f t="shared" si="3"/>
        <v>1063004160</v>
      </c>
      <c r="J12">
        <f t="shared" si="4"/>
        <v>0.98999977111816406</v>
      </c>
      <c r="N12">
        <f t="shared" si="0"/>
        <v>1073741.5757575757</v>
      </c>
      <c r="O12">
        <f t="shared" si="5"/>
        <v>1073741.824</v>
      </c>
    </row>
    <row r="13" spans="1:15" x14ac:dyDescent="0.3">
      <c r="A13">
        <v>0.99099999999999999</v>
      </c>
      <c r="C13">
        <v>991</v>
      </c>
      <c r="E13">
        <f t="shared" si="1"/>
        <v>2078277632</v>
      </c>
      <c r="G13">
        <f t="shared" si="2"/>
        <v>2078277</v>
      </c>
      <c r="H13" s="25">
        <f t="shared" si="3"/>
        <v>1064077824</v>
      </c>
      <c r="J13">
        <f t="shared" si="4"/>
        <v>0.99099969863891602</v>
      </c>
      <c r="N13">
        <f t="shared" si="0"/>
        <v>1073741.4974772956</v>
      </c>
      <c r="O13">
        <f t="shared" si="5"/>
        <v>1073741.824</v>
      </c>
    </row>
    <row r="14" spans="1:15" x14ac:dyDescent="0.3">
      <c r="A14" s="24">
        <v>0.99199999999999999</v>
      </c>
      <c r="B14" s="24"/>
      <c r="C14">
        <v>992</v>
      </c>
      <c r="E14">
        <f t="shared" si="1"/>
        <v>2080374784</v>
      </c>
      <c r="G14">
        <f t="shared" si="2"/>
        <v>2080374</v>
      </c>
      <c r="H14" s="25">
        <f t="shared" si="3"/>
        <v>1065151488</v>
      </c>
      <c r="J14">
        <f t="shared" si="4"/>
        <v>0.99199962615966797</v>
      </c>
      <c r="N14">
        <f t="shared" si="0"/>
        <v>1073741.4193548388</v>
      </c>
      <c r="O14">
        <f t="shared" si="5"/>
        <v>1073741.824</v>
      </c>
    </row>
    <row r="15" spans="1:15" x14ac:dyDescent="0.3">
      <c r="A15">
        <v>0.99299999999999999</v>
      </c>
      <c r="C15">
        <v>993</v>
      </c>
      <c r="E15">
        <f t="shared" si="1"/>
        <v>2082471936</v>
      </c>
      <c r="G15">
        <f t="shared" si="2"/>
        <v>2082471</v>
      </c>
      <c r="H15" s="25">
        <f t="shared" si="3"/>
        <v>1066225152</v>
      </c>
      <c r="J15">
        <f t="shared" si="4"/>
        <v>0.99299955368041992</v>
      </c>
      <c r="N15">
        <f t="shared" si="0"/>
        <v>1073741.341389728</v>
      </c>
      <c r="O15">
        <f t="shared" si="5"/>
        <v>1073741.824</v>
      </c>
    </row>
    <row r="16" spans="1:15" x14ac:dyDescent="0.3">
      <c r="A16" s="24">
        <v>0.99399999999999999</v>
      </c>
      <c r="B16" s="24"/>
      <c r="C16">
        <v>994</v>
      </c>
      <c r="E16">
        <f t="shared" si="1"/>
        <v>2084569088</v>
      </c>
      <c r="G16">
        <f t="shared" si="2"/>
        <v>2084569</v>
      </c>
      <c r="H16" s="25">
        <f t="shared" si="3"/>
        <v>1067299328</v>
      </c>
      <c r="J16">
        <f t="shared" si="4"/>
        <v>0.99399995803833008</v>
      </c>
      <c r="N16">
        <f t="shared" si="0"/>
        <v>1073741.7786720323</v>
      </c>
      <c r="O16">
        <f t="shared" si="5"/>
        <v>1073741.824</v>
      </c>
    </row>
    <row r="17" spans="1:15" x14ac:dyDescent="0.3">
      <c r="A17">
        <v>0.995</v>
      </c>
      <c r="C17">
        <v>995</v>
      </c>
      <c r="E17">
        <f t="shared" si="1"/>
        <v>2086666240</v>
      </c>
      <c r="G17">
        <f t="shared" si="2"/>
        <v>2086666</v>
      </c>
      <c r="H17" s="25">
        <f t="shared" si="3"/>
        <v>1068372992</v>
      </c>
      <c r="J17">
        <f t="shared" si="4"/>
        <v>0.99499988555908203</v>
      </c>
      <c r="N17">
        <f t="shared" si="0"/>
        <v>1073741.7005025125</v>
      </c>
      <c r="O17">
        <f t="shared" si="5"/>
        <v>1073741.824</v>
      </c>
    </row>
    <row r="18" spans="1:15" x14ac:dyDescent="0.3">
      <c r="A18" s="24">
        <v>0.996</v>
      </c>
      <c r="B18" s="24"/>
      <c r="C18">
        <v>996</v>
      </c>
      <c r="E18">
        <f t="shared" si="1"/>
        <v>2088763392</v>
      </c>
      <c r="G18">
        <f t="shared" si="2"/>
        <v>2088763</v>
      </c>
      <c r="H18" s="25">
        <f t="shared" si="3"/>
        <v>1069446656</v>
      </c>
      <c r="J18">
        <f t="shared" si="4"/>
        <v>0.99599981307983398</v>
      </c>
      <c r="N18">
        <f t="shared" si="0"/>
        <v>1073741.6224899599</v>
      </c>
      <c r="O18">
        <f t="shared" si="5"/>
        <v>1073741.824</v>
      </c>
    </row>
    <row r="19" spans="1:15" x14ac:dyDescent="0.3">
      <c r="A19">
        <v>0.997</v>
      </c>
      <c r="C19">
        <v>997</v>
      </c>
      <c r="E19">
        <f t="shared" si="1"/>
        <v>2090860544</v>
      </c>
      <c r="G19">
        <f t="shared" si="2"/>
        <v>2090860</v>
      </c>
      <c r="H19" s="25">
        <f t="shared" si="3"/>
        <v>1070520320</v>
      </c>
      <c r="J19">
        <f t="shared" si="4"/>
        <v>0.99699974060058594</v>
      </c>
      <c r="N19">
        <f t="shared" si="0"/>
        <v>1073741.5446339017</v>
      </c>
      <c r="O19">
        <f t="shared" si="5"/>
        <v>1073741.824</v>
      </c>
    </row>
    <row r="20" spans="1:15" x14ac:dyDescent="0.3">
      <c r="A20" s="24">
        <v>0.998</v>
      </c>
      <c r="B20" s="24"/>
      <c r="C20">
        <v>998</v>
      </c>
      <c r="E20">
        <f t="shared" si="1"/>
        <v>2092957696</v>
      </c>
      <c r="G20">
        <f t="shared" si="2"/>
        <v>2092957</v>
      </c>
      <c r="H20" s="25">
        <f t="shared" si="3"/>
        <v>1071593984</v>
      </c>
      <c r="J20">
        <f t="shared" si="4"/>
        <v>0.99799966812133789</v>
      </c>
      <c r="N20">
        <f t="shared" si="0"/>
        <v>1073741.4669338677</v>
      </c>
      <c r="O20">
        <f t="shared" si="5"/>
        <v>1073741.824</v>
      </c>
    </row>
    <row r="21" spans="1:15" x14ac:dyDescent="0.3">
      <c r="A21">
        <v>0.999</v>
      </c>
      <c r="C21">
        <v>999</v>
      </c>
      <c r="E21">
        <f t="shared" si="1"/>
        <v>2095054848</v>
      </c>
      <c r="G21">
        <f t="shared" si="2"/>
        <v>2095054</v>
      </c>
      <c r="H21" s="25">
        <f t="shared" si="3"/>
        <v>1072667648</v>
      </c>
      <c r="J21">
        <f t="shared" si="4"/>
        <v>0.99899959564208984</v>
      </c>
      <c r="N21">
        <f t="shared" si="0"/>
        <v>1073741.3893893894</v>
      </c>
      <c r="O21">
        <f t="shared" si="5"/>
        <v>1073741.824</v>
      </c>
    </row>
    <row r="22" spans="1:15" x14ac:dyDescent="0.3">
      <c r="A22" s="24">
        <v>1</v>
      </c>
      <c r="B22" s="24"/>
      <c r="C22">
        <v>1000</v>
      </c>
      <c r="E22">
        <f t="shared" si="1"/>
        <v>2097152000</v>
      </c>
      <c r="G22">
        <f t="shared" si="2"/>
        <v>2097152</v>
      </c>
      <c r="H22" s="25">
        <f t="shared" si="3"/>
        <v>1073741824</v>
      </c>
      <c r="J22">
        <f t="shared" si="4"/>
        <v>1</v>
      </c>
      <c r="N22">
        <f t="shared" si="0"/>
        <v>1073741.824</v>
      </c>
      <c r="O22">
        <f t="shared" si="5"/>
        <v>1073741.824</v>
      </c>
    </row>
    <row r="24" spans="1:15" x14ac:dyDescent="0.3">
      <c r="A24" s="24">
        <v>45</v>
      </c>
      <c r="C24">
        <v>45000</v>
      </c>
      <c r="E24">
        <f t="shared" ref="E24" si="6">C24*(2^21)</f>
        <v>94371840000</v>
      </c>
      <c r="G24">
        <f t="shared" ref="G24" si="7">INT(E24/1000)</f>
        <v>94371840</v>
      </c>
      <c r="H24" s="25">
        <f t="shared" si="3"/>
        <v>48318382080</v>
      </c>
      <c r="J24">
        <f t="shared" ref="J24" si="8">H24/2^30</f>
        <v>45</v>
      </c>
      <c r="N24">
        <f>H24/C24</f>
        <v>1073741.824</v>
      </c>
      <c r="O24">
        <f t="shared" si="5"/>
        <v>1073741.824</v>
      </c>
    </row>
    <row r="27" spans="1:15" x14ac:dyDescent="0.3">
      <c r="G27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Servo</vt:lpstr>
      <vt:lpstr>VSENSE</vt:lpstr>
      <vt:lpstr>Servo_position_conversion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2015-07-24T17:39:35Z</dcterms:modified>
</cp:coreProperties>
</file>