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teaching\clases 2021 2022\1. INF AERO\ateaching material ing\practices\4\4.2\"/>
    </mc:Choice>
  </mc:AlternateContent>
  <xr:revisionPtr revIDLastSave="0" documentId="13_ncr:1_{B97F9C79-D6AE-4D5B-8494-78EDEFA935EE}" xr6:coauthVersionLast="47" xr6:coauthVersionMax="47" xr10:uidLastSave="{00000000-0000-0000-0000-000000000000}"/>
  <bookViews>
    <workbookView xWindow="-120" yWindow="-120" windowWidth="29040" windowHeight="15990" tabRatio="685" activeTab="2" xr2:uid="{00000000-000D-0000-FFFF-FFFF00000000}"/>
  </bookViews>
  <sheets>
    <sheet name="Cover Page" sheetId="26" r:id="rId1"/>
    <sheet name="3 Statement Model" sheetId="25" r:id="rId2"/>
    <sheet name="3 Statement Model BEP OL" sheetId="27" r:id="rId3"/>
  </sheets>
  <definedNames>
    <definedName name="asd">#REF!</definedName>
    <definedName name="CIQWBGuid" hidden="1">"2cd8126d-26c3-430c-b7fa-a069e3a1fc62"</definedName>
    <definedName name="Forecast" localSheetId="1">#REF!</definedName>
    <definedName name="Forecast" localSheetId="2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'3 Statement Model'!$A$1:$N$104</definedName>
    <definedName name="_xlnm.Print_Area" localSheetId="2">'3 Statement Model BEP OL'!$A$1:$N$104</definedName>
    <definedName name="_xlnm.Print_Area" localSheetId="0">'Cover Page'!$A$1:$P$27</definedName>
    <definedName name="_xlnm.Print_Titles" localSheetId="1">'3 Statement Model'!$1:$3</definedName>
    <definedName name="_xlnm.Print_Titles" localSheetId="2">'3 Statement Model BEP OL'!$1:$3</definedName>
    <definedName name="Step_1" localSheetId="1">#REF!</definedName>
    <definedName name="Step_1" localSheetId="2">#REF!</definedName>
    <definedName name="Step_1">#REF!</definedName>
    <definedName name="Step_2" localSheetId="1">#REF!</definedName>
    <definedName name="Step_2" localSheetId="2">#REF!</definedName>
    <definedName name="Step_2">#REF!</definedName>
    <definedName name="Step_3" localSheetId="1">#REF!</definedName>
    <definedName name="Step_3" localSheetId="2">#REF!</definedName>
    <definedName name="Step_3">#REF!</definedName>
    <definedName name="Step_4" localSheetId="1">#REF!</definedName>
    <definedName name="Step_4" localSheetId="2">#REF!</definedName>
    <definedName name="Step_4">#REF!</definedName>
    <definedName name="Step_5" localSheetId="1">#REF!</definedName>
    <definedName name="Step_5" localSheetId="2">#REF!</definedName>
    <definedName name="Step_5">#REF!</definedName>
    <definedName name="Step_6" localSheetId="1">#REF!</definedName>
    <definedName name="Step_6" localSheetId="2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8" i="27" l="1"/>
  <c r="D339" i="27"/>
  <c r="D340" i="27"/>
  <c r="D341" i="27"/>
  <c r="D342" i="27" s="1"/>
  <c r="D343" i="27" s="1"/>
  <c r="D344" i="27" s="1"/>
  <c r="D345" i="27" s="1"/>
  <c r="D346" i="27" s="1"/>
  <c r="D347" i="27" s="1"/>
  <c r="D348" i="27" s="1"/>
  <c r="D349" i="27" s="1"/>
  <c r="D350" i="27" s="1"/>
  <c r="D351" i="27" s="1"/>
  <c r="D352" i="27" s="1"/>
  <c r="D353" i="27" s="1"/>
  <c r="D354" i="27" s="1"/>
  <c r="D355" i="27" s="1"/>
  <c r="D356" i="27" s="1"/>
  <c r="D357" i="27" s="1"/>
  <c r="D358" i="27" s="1"/>
  <c r="D359" i="27" s="1"/>
  <c r="D360" i="27" s="1"/>
  <c r="D361" i="27" s="1"/>
  <c r="D362" i="27" s="1"/>
  <c r="D363" i="27" s="1"/>
  <c r="D364" i="27" s="1"/>
  <c r="D365" i="27" s="1"/>
  <c r="D338" i="27"/>
  <c r="G309" i="27"/>
  <c r="G311" i="27" s="1"/>
  <c r="G318" i="27" s="1"/>
  <c r="G336" i="27"/>
  <c r="G328" i="27"/>
  <c r="E331" i="27"/>
  <c r="F318" i="27"/>
  <c r="E318" i="27"/>
  <c r="F311" i="27"/>
  <c r="E330" i="27"/>
  <c r="F309" i="27"/>
  <c r="G332" i="27"/>
  <c r="F332" i="27"/>
  <c r="E332" i="27"/>
  <c r="E336" i="27" s="1"/>
  <c r="E329" i="27"/>
  <c r="E311" i="27"/>
  <c r="G330" i="27" l="1"/>
  <c r="F330" i="27"/>
  <c r="F331" i="27" l="1"/>
  <c r="F336" i="27" s="1"/>
  <c r="G331" i="27"/>
  <c r="D259" i="27" l="1"/>
  <c r="D260" i="27" s="1"/>
  <c r="D261" i="27" s="1"/>
  <c r="D262" i="27" s="1"/>
  <c r="D263" i="27" s="1"/>
  <c r="D264" i="27" s="1"/>
  <c r="D265" i="27" s="1"/>
  <c r="D266" i="27" s="1"/>
  <c r="D267" i="27" s="1"/>
  <c r="D268" i="27" s="1"/>
  <c r="D269" i="27" s="1"/>
  <c r="D270" i="27" s="1"/>
  <c r="D271" i="27" s="1"/>
  <c r="D272" i="27" s="1"/>
  <c r="D273" i="27" s="1"/>
  <c r="D274" i="27" s="1"/>
  <c r="D275" i="27" s="1"/>
  <c r="D276" i="27" s="1"/>
  <c r="D277" i="27" s="1"/>
  <c r="D278" i="27" s="1"/>
  <c r="D279" i="27" s="1"/>
  <c r="D280" i="27" s="1"/>
  <c r="D281" i="27" s="1"/>
  <c r="D282" i="27" s="1"/>
  <c r="D283" i="27" s="1"/>
  <c r="D284" i="27" s="1"/>
  <c r="D285" i="27" s="1"/>
  <c r="D286" i="27" s="1"/>
  <c r="F249" i="27"/>
  <c r="F251" i="27" s="1"/>
  <c r="F250" i="27"/>
  <c r="G250" i="27" s="1"/>
  <c r="H250" i="27" s="1"/>
  <c r="I250" i="27" s="1"/>
  <c r="J250" i="27" s="1"/>
  <c r="K250" i="27" s="1"/>
  <c r="L250" i="27" s="1"/>
  <c r="M250" i="27" s="1"/>
  <c r="N250" i="27" s="1"/>
  <c r="E252" i="27"/>
  <c r="E251" i="27"/>
  <c r="F253" i="27"/>
  <c r="G253" i="27"/>
  <c r="H253" i="27"/>
  <c r="I253" i="27"/>
  <c r="J253" i="27"/>
  <c r="K253" i="27"/>
  <c r="L253" i="27"/>
  <c r="M253" i="27"/>
  <c r="N253" i="27"/>
  <c r="E253" i="27"/>
  <c r="E257" i="27" s="1"/>
  <c r="F239" i="27"/>
  <c r="G239" i="27"/>
  <c r="M239" i="27"/>
  <c r="N239" i="27"/>
  <c r="E239" i="27"/>
  <c r="F232" i="27"/>
  <c r="G232" i="27"/>
  <c r="H232" i="27"/>
  <c r="H239" i="27" s="1"/>
  <c r="I232" i="27"/>
  <c r="I239" i="27" s="1"/>
  <c r="J232" i="27"/>
  <c r="J239" i="27" s="1"/>
  <c r="K232" i="27"/>
  <c r="K239" i="27" s="1"/>
  <c r="L232" i="27"/>
  <c r="L239" i="27" s="1"/>
  <c r="M232" i="27"/>
  <c r="N232" i="27"/>
  <c r="E232" i="27"/>
  <c r="E250" i="27"/>
  <c r="E45" i="27"/>
  <c r="F45" i="27"/>
  <c r="G45" i="27"/>
  <c r="H45" i="27"/>
  <c r="I45" i="27"/>
  <c r="E50" i="27"/>
  <c r="F50" i="27"/>
  <c r="G50" i="27"/>
  <c r="H50" i="27"/>
  <c r="I50" i="27"/>
  <c r="J52" i="27"/>
  <c r="E54" i="27"/>
  <c r="F54" i="27"/>
  <c r="G54" i="27"/>
  <c r="H54" i="27"/>
  <c r="I54" i="27"/>
  <c r="E63" i="27"/>
  <c r="F63" i="27"/>
  <c r="G63" i="27"/>
  <c r="H63" i="27"/>
  <c r="I63" i="27"/>
  <c r="J68" i="27"/>
  <c r="K68" i="27"/>
  <c r="K69" i="27" s="1"/>
  <c r="L68" i="27"/>
  <c r="L69" i="27" s="1"/>
  <c r="M68" i="27"/>
  <c r="M69" i="27" s="1"/>
  <c r="N68" i="27"/>
  <c r="N69" i="27" s="1"/>
  <c r="E69" i="27"/>
  <c r="E126" i="27" s="1"/>
  <c r="F69" i="27"/>
  <c r="G69" i="27"/>
  <c r="G126" i="27" s="1"/>
  <c r="H69" i="27"/>
  <c r="I69" i="27"/>
  <c r="I126" i="27" s="1"/>
  <c r="J69" i="27"/>
  <c r="J72" i="27"/>
  <c r="J74" i="27" s="1"/>
  <c r="K72" i="27"/>
  <c r="L72" i="27"/>
  <c r="M72" i="27"/>
  <c r="N72" i="27"/>
  <c r="J73" i="27"/>
  <c r="K73" i="27"/>
  <c r="L73" i="27"/>
  <c r="M73" i="27"/>
  <c r="N73" i="27"/>
  <c r="E74" i="27"/>
  <c r="E127" i="27" s="1"/>
  <c r="F74" i="27"/>
  <c r="F127" i="27" s="1"/>
  <c r="G74" i="27"/>
  <c r="H74" i="27"/>
  <c r="I74" i="27"/>
  <c r="I127" i="27" s="1"/>
  <c r="E77" i="27"/>
  <c r="E88" i="27"/>
  <c r="E89" i="27" s="1"/>
  <c r="F88" i="27"/>
  <c r="F89" i="27" s="1"/>
  <c r="G88" i="27"/>
  <c r="H88" i="27"/>
  <c r="I88" i="27"/>
  <c r="J93" i="27"/>
  <c r="K93" i="27"/>
  <c r="L93" i="27"/>
  <c r="M93" i="27"/>
  <c r="N93" i="27"/>
  <c r="E95" i="27"/>
  <c r="F95" i="27"/>
  <c r="G95" i="27"/>
  <c r="H95" i="27"/>
  <c r="I95" i="27"/>
  <c r="J92" i="27" s="1"/>
  <c r="J94" i="27" s="1"/>
  <c r="J99" i="27"/>
  <c r="K99" i="27"/>
  <c r="L99" i="27"/>
  <c r="M99" i="27"/>
  <c r="N99" i="27"/>
  <c r="E100" i="27"/>
  <c r="F100" i="27"/>
  <c r="G100" i="27"/>
  <c r="H100" i="27"/>
  <c r="I100" i="27"/>
  <c r="J98" i="27" s="1"/>
  <c r="J101" i="27" s="1"/>
  <c r="E121" i="27"/>
  <c r="F121" i="27"/>
  <c r="G121" i="27"/>
  <c r="H121" i="27"/>
  <c r="I121" i="27"/>
  <c r="F126" i="27"/>
  <c r="H126" i="27"/>
  <c r="H127" i="27"/>
  <c r="I32" i="27"/>
  <c r="H32" i="27"/>
  <c r="G32" i="27"/>
  <c r="F32" i="27"/>
  <c r="E32" i="27"/>
  <c r="N29" i="27"/>
  <c r="M29" i="27"/>
  <c r="L29" i="27"/>
  <c r="K29" i="27"/>
  <c r="J29" i="27"/>
  <c r="N28" i="27"/>
  <c r="M28" i="27"/>
  <c r="L28" i="27"/>
  <c r="K28" i="27"/>
  <c r="J28" i="27"/>
  <c r="I26" i="27"/>
  <c r="I122" i="27" s="1"/>
  <c r="H26" i="27"/>
  <c r="H33" i="27" s="1"/>
  <c r="H123" i="27" s="1"/>
  <c r="G26" i="27"/>
  <c r="G122" i="27" s="1"/>
  <c r="F26" i="27"/>
  <c r="F122" i="27" s="1"/>
  <c r="E26" i="27"/>
  <c r="E122" i="27" s="1"/>
  <c r="J24" i="27"/>
  <c r="J25" i="27" s="1"/>
  <c r="J26" i="27" s="1"/>
  <c r="I20" i="27"/>
  <c r="H20" i="27"/>
  <c r="G20" i="27"/>
  <c r="F20" i="27"/>
  <c r="E20" i="27"/>
  <c r="I19" i="27"/>
  <c r="H19" i="27"/>
  <c r="G19" i="27"/>
  <c r="F19" i="27"/>
  <c r="E19" i="27"/>
  <c r="I18" i="27"/>
  <c r="H18" i="27"/>
  <c r="G18" i="27"/>
  <c r="F18" i="27"/>
  <c r="E18" i="27"/>
  <c r="I17" i="27"/>
  <c r="H17" i="27"/>
  <c r="G17" i="27"/>
  <c r="F17" i="27"/>
  <c r="E17" i="27"/>
  <c r="I16" i="27"/>
  <c r="H16" i="27"/>
  <c r="G16" i="27"/>
  <c r="F16" i="27"/>
  <c r="E16" i="27"/>
  <c r="I15" i="27"/>
  <c r="H15" i="27"/>
  <c r="G15" i="27"/>
  <c r="F15" i="27"/>
  <c r="E15" i="27"/>
  <c r="I12" i="27"/>
  <c r="H12" i="27"/>
  <c r="G12" i="27"/>
  <c r="F12" i="27"/>
  <c r="E12" i="27"/>
  <c r="I11" i="27"/>
  <c r="H11" i="27"/>
  <c r="G11" i="27"/>
  <c r="F11" i="27"/>
  <c r="E11" i="27"/>
  <c r="I10" i="27"/>
  <c r="H10" i="27"/>
  <c r="G10" i="27"/>
  <c r="F10" i="27"/>
  <c r="E10" i="27"/>
  <c r="I9" i="27"/>
  <c r="H9" i="27"/>
  <c r="G9" i="27"/>
  <c r="F9" i="27"/>
  <c r="E9" i="27"/>
  <c r="I8" i="27"/>
  <c r="H8" i="27"/>
  <c r="G8" i="27"/>
  <c r="F8" i="27"/>
  <c r="E8" i="27"/>
  <c r="I7" i="27"/>
  <c r="H7" i="27"/>
  <c r="G7" i="27"/>
  <c r="F7" i="27"/>
  <c r="F2" i="27"/>
  <c r="G2" i="27" s="1"/>
  <c r="H2" i="27" s="1"/>
  <c r="I2" i="27" s="1"/>
  <c r="J2" i="27" s="1"/>
  <c r="K2" i="27" s="1"/>
  <c r="L2" i="27" s="1"/>
  <c r="M2" i="27" s="1"/>
  <c r="N2" i="27" s="1"/>
  <c r="I55" i="27" l="1"/>
  <c r="K24" i="27"/>
  <c r="H55" i="27"/>
  <c r="H57" i="27" s="1"/>
  <c r="H3" i="27" s="1"/>
  <c r="N74" i="27"/>
  <c r="F252" i="27"/>
  <c r="H89" i="27"/>
  <c r="L74" i="27"/>
  <c r="G249" i="27"/>
  <c r="G251" i="27" s="1"/>
  <c r="G252" i="27" s="1"/>
  <c r="J147" i="27"/>
  <c r="K74" i="27"/>
  <c r="I89" i="27"/>
  <c r="I57" i="27"/>
  <c r="I3" i="27" s="1"/>
  <c r="G55" i="27"/>
  <c r="G57" i="27" s="1"/>
  <c r="G3" i="27" s="1"/>
  <c r="F55" i="27"/>
  <c r="F57" i="27" s="1"/>
  <c r="F3" i="27" s="1"/>
  <c r="G89" i="27"/>
  <c r="M74" i="27"/>
  <c r="E55" i="27"/>
  <c r="E57" i="27" s="1"/>
  <c r="E3" i="27" s="1"/>
  <c r="H122" i="27"/>
  <c r="J42" i="27"/>
  <c r="J85" i="27" s="1"/>
  <c r="J48" i="27"/>
  <c r="J87" i="27" s="1"/>
  <c r="J43" i="27"/>
  <c r="J86" i="27" s="1"/>
  <c r="J100" i="27"/>
  <c r="G127" i="27"/>
  <c r="J95" i="27"/>
  <c r="K52" i="27"/>
  <c r="F33" i="27"/>
  <c r="E33" i="27"/>
  <c r="G33" i="27"/>
  <c r="G36" i="27" s="1"/>
  <c r="G62" i="27" s="1"/>
  <c r="G65" i="27" s="1"/>
  <c r="I33" i="27"/>
  <c r="I123" i="27" s="1"/>
  <c r="H13" i="27"/>
  <c r="H36" i="27"/>
  <c r="H62" i="27" s="1"/>
  <c r="H65" i="27" s="1"/>
  <c r="H125" i="27" s="1"/>
  <c r="J30" i="27"/>
  <c r="J31" i="27"/>
  <c r="K148" i="25"/>
  <c r="K147" i="25"/>
  <c r="K145" i="25"/>
  <c r="K142" i="25"/>
  <c r="L153" i="25"/>
  <c r="L152" i="25"/>
  <c r="G257" i="27" l="1"/>
  <c r="F257" i="27"/>
  <c r="H249" i="27"/>
  <c r="H251" i="27" s="1"/>
  <c r="H252" i="27" s="1"/>
  <c r="J88" i="27"/>
  <c r="J89" i="27" s="1"/>
  <c r="J64" i="27" s="1"/>
  <c r="G125" i="27"/>
  <c r="G76" i="27"/>
  <c r="G78" i="27" s="1"/>
  <c r="G80" i="27" s="1"/>
  <c r="K42" i="27"/>
  <c r="K85" i="27" s="1"/>
  <c r="I13" i="27"/>
  <c r="E36" i="27"/>
  <c r="E62" i="27" s="1"/>
  <c r="E65" i="27" s="1"/>
  <c r="E123" i="27"/>
  <c r="F13" i="27"/>
  <c r="F123" i="27"/>
  <c r="H76" i="27"/>
  <c r="H78" i="27" s="1"/>
  <c r="H80" i="27" s="1"/>
  <c r="G13" i="27"/>
  <c r="G123" i="27"/>
  <c r="I36" i="27"/>
  <c r="I62" i="27" s="1"/>
  <c r="I65" i="27" s="1"/>
  <c r="J32" i="27"/>
  <c r="J33" i="27" s="1"/>
  <c r="J63" i="27"/>
  <c r="J148" i="27"/>
  <c r="K92" i="27"/>
  <c r="J44" i="27"/>
  <c r="K98" i="27"/>
  <c r="J49" i="27"/>
  <c r="J50" i="27" s="1"/>
  <c r="L52" i="27"/>
  <c r="F36" i="27"/>
  <c r="F62" i="27" s="1"/>
  <c r="F65" i="27" s="1"/>
  <c r="E13" i="27"/>
  <c r="K25" i="27"/>
  <c r="L24" i="27"/>
  <c r="K68" i="25"/>
  <c r="K69" i="25"/>
  <c r="K28" i="25"/>
  <c r="K29" i="25"/>
  <c r="J29" i="25"/>
  <c r="J28" i="25"/>
  <c r="J24" i="25"/>
  <c r="H257" i="27" l="1"/>
  <c r="I249" i="27"/>
  <c r="I251" i="27" s="1"/>
  <c r="I252" i="27" s="1"/>
  <c r="L42" i="27"/>
  <c r="L85" i="27" s="1"/>
  <c r="K43" i="27"/>
  <c r="K86" i="27" s="1"/>
  <c r="K48" i="27"/>
  <c r="K87" i="27" s="1"/>
  <c r="F125" i="27"/>
  <c r="F76" i="27"/>
  <c r="F78" i="27" s="1"/>
  <c r="F80" i="27" s="1"/>
  <c r="E125" i="27"/>
  <c r="E76" i="27"/>
  <c r="E78" i="27" s="1"/>
  <c r="E80" i="27" s="1"/>
  <c r="I125" i="27"/>
  <c r="I76" i="27"/>
  <c r="I78" i="27" s="1"/>
  <c r="K147" i="27"/>
  <c r="M52" i="27"/>
  <c r="K94" i="27"/>
  <c r="K95" i="27" s="1"/>
  <c r="K100" i="27"/>
  <c r="K101" i="27"/>
  <c r="K31" i="27" s="1"/>
  <c r="J35" i="27"/>
  <c r="J36" i="27" s="1"/>
  <c r="K30" i="27"/>
  <c r="K26" i="27"/>
  <c r="L25" i="27"/>
  <c r="M24" i="27"/>
  <c r="J25" i="25"/>
  <c r="K24" i="25"/>
  <c r="F121" i="25"/>
  <c r="G121" i="25"/>
  <c r="H121" i="25"/>
  <c r="I121" i="25"/>
  <c r="E121" i="25"/>
  <c r="I257" i="27" l="1"/>
  <c r="J249" i="27"/>
  <c r="J251" i="27" s="1"/>
  <c r="J252" i="27" s="1"/>
  <c r="K88" i="27"/>
  <c r="K89" i="27" s="1"/>
  <c r="K64" i="27" s="1"/>
  <c r="L43" i="27"/>
  <c r="L86" i="27" s="1"/>
  <c r="L48" i="27"/>
  <c r="L87" i="27" s="1"/>
  <c r="L88" i="27" s="1"/>
  <c r="J77" i="27"/>
  <c r="I80" i="27"/>
  <c r="L147" i="27"/>
  <c r="M42" i="27"/>
  <c r="M85" i="27" s="1"/>
  <c r="K44" i="27"/>
  <c r="L92" i="27"/>
  <c r="K63" i="27"/>
  <c r="K148" i="27"/>
  <c r="J53" i="27"/>
  <c r="J62" i="27"/>
  <c r="J65" i="27" s="1"/>
  <c r="J76" i="27" s="1"/>
  <c r="N52" i="27"/>
  <c r="L98" i="27"/>
  <c r="K49" i="27"/>
  <c r="K50" i="27" s="1"/>
  <c r="L26" i="27"/>
  <c r="M25" i="27"/>
  <c r="N24" i="27"/>
  <c r="K32" i="27"/>
  <c r="K33" i="27" s="1"/>
  <c r="J147" i="25"/>
  <c r="K25" i="25"/>
  <c r="K42" i="25"/>
  <c r="I63" i="25"/>
  <c r="H63" i="25"/>
  <c r="G63" i="25"/>
  <c r="F63" i="25"/>
  <c r="E63" i="25"/>
  <c r="E26" i="25"/>
  <c r="E122" i="25" s="1"/>
  <c r="E32" i="25"/>
  <c r="F26" i="25"/>
  <c r="F122" i="25" s="1"/>
  <c r="F32" i="25"/>
  <c r="G26" i="25"/>
  <c r="G122" i="25" s="1"/>
  <c r="G32" i="25"/>
  <c r="H26" i="25"/>
  <c r="H122" i="25" s="1"/>
  <c r="H32" i="25"/>
  <c r="I26" i="25"/>
  <c r="I122" i="25" s="1"/>
  <c r="I32" i="25"/>
  <c r="I69" i="25"/>
  <c r="I126" i="25" s="1"/>
  <c r="I74" i="25"/>
  <c r="I127" i="25" s="1"/>
  <c r="I88" i="25"/>
  <c r="H88" i="25"/>
  <c r="I95" i="25"/>
  <c r="J92" i="25" s="1"/>
  <c r="J94" i="25" s="1"/>
  <c r="J30" i="25" s="1"/>
  <c r="J63" i="25" s="1"/>
  <c r="I100" i="25"/>
  <c r="I11" i="25"/>
  <c r="E69" i="25"/>
  <c r="E126" i="25" s="1"/>
  <c r="F69" i="25"/>
  <c r="F126" i="25" s="1"/>
  <c r="G69" i="25"/>
  <c r="G126" i="25" s="1"/>
  <c r="H69" i="25"/>
  <c r="H126" i="25" s="1"/>
  <c r="E74" i="25"/>
  <c r="E127" i="25" s="1"/>
  <c r="F74" i="25"/>
  <c r="F127" i="25" s="1"/>
  <c r="G74" i="25"/>
  <c r="G127" i="25" s="1"/>
  <c r="H74" i="25"/>
  <c r="H127" i="25" s="1"/>
  <c r="E77" i="25"/>
  <c r="E88" i="25"/>
  <c r="F88" i="25"/>
  <c r="G88" i="25"/>
  <c r="E95" i="25"/>
  <c r="F95" i="25"/>
  <c r="G95" i="25"/>
  <c r="H95" i="25"/>
  <c r="E100" i="25"/>
  <c r="F100" i="25"/>
  <c r="G100" i="25"/>
  <c r="H100" i="25"/>
  <c r="E11" i="25"/>
  <c r="K72" i="25"/>
  <c r="L72" i="25"/>
  <c r="L73" i="25"/>
  <c r="M72" i="25"/>
  <c r="M74" i="25" s="1"/>
  <c r="N72" i="25"/>
  <c r="K73" i="25"/>
  <c r="M73" i="25"/>
  <c r="N73" i="25"/>
  <c r="J73" i="25"/>
  <c r="J72" i="25"/>
  <c r="L68" i="25"/>
  <c r="L69" i="25" s="1"/>
  <c r="M68" i="25"/>
  <c r="M69" i="25" s="1"/>
  <c r="N68" i="25"/>
  <c r="N69" i="25" s="1"/>
  <c r="J68" i="25"/>
  <c r="J69" i="25" s="1"/>
  <c r="J52" i="25"/>
  <c r="K52" i="25" s="1"/>
  <c r="K99" i="25"/>
  <c r="L99" i="25"/>
  <c r="M99" i="25"/>
  <c r="N99" i="25"/>
  <c r="J99" i="25"/>
  <c r="K93" i="25"/>
  <c r="L93" i="25"/>
  <c r="M93" i="25"/>
  <c r="N93" i="25"/>
  <c r="J93" i="25"/>
  <c r="L29" i="25"/>
  <c r="M29" i="25"/>
  <c r="N29" i="25"/>
  <c r="L28" i="25"/>
  <c r="M28" i="25"/>
  <c r="N28" i="25"/>
  <c r="I9" i="25"/>
  <c r="H9" i="25"/>
  <c r="G9" i="25"/>
  <c r="F9" i="25"/>
  <c r="E9" i="25"/>
  <c r="I8" i="25"/>
  <c r="F7" i="25"/>
  <c r="G7" i="25"/>
  <c r="H7" i="25"/>
  <c r="I7" i="25"/>
  <c r="E8" i="25"/>
  <c r="F8" i="25"/>
  <c r="G8" i="25"/>
  <c r="H8" i="25"/>
  <c r="E10" i="25"/>
  <c r="F10" i="25"/>
  <c r="G10" i="25"/>
  <c r="H10" i="25"/>
  <c r="I10" i="25"/>
  <c r="E15" i="25"/>
  <c r="F15" i="25"/>
  <c r="G15" i="25"/>
  <c r="H15" i="25"/>
  <c r="I15" i="25"/>
  <c r="E16" i="25"/>
  <c r="F16" i="25"/>
  <c r="G16" i="25"/>
  <c r="H16" i="25"/>
  <c r="I16" i="25"/>
  <c r="E17" i="25"/>
  <c r="F17" i="25"/>
  <c r="G17" i="25"/>
  <c r="H17" i="25"/>
  <c r="I17" i="25"/>
  <c r="E45" i="25"/>
  <c r="F45" i="25"/>
  <c r="G45" i="25"/>
  <c r="H45" i="25"/>
  <c r="I45" i="25"/>
  <c r="E50" i="25"/>
  <c r="F50" i="25"/>
  <c r="G50" i="25"/>
  <c r="H50" i="25"/>
  <c r="I50" i="25"/>
  <c r="E54" i="25"/>
  <c r="F54" i="25"/>
  <c r="G54" i="25"/>
  <c r="H54" i="25"/>
  <c r="I54" i="25"/>
  <c r="F2" i="25"/>
  <c r="G2" i="25" s="1"/>
  <c r="H2" i="25" s="1"/>
  <c r="I2" i="25" s="1"/>
  <c r="J2" i="25" s="1"/>
  <c r="K2" i="25" s="1"/>
  <c r="L2" i="25" s="1"/>
  <c r="M2" i="25" s="1"/>
  <c r="N2" i="25" s="1"/>
  <c r="H11" i="25"/>
  <c r="G11" i="25"/>
  <c r="F11" i="25"/>
  <c r="H12" i="25"/>
  <c r="G12" i="25"/>
  <c r="F12" i="25"/>
  <c r="E20" i="25"/>
  <c r="F20" i="25"/>
  <c r="G20" i="25"/>
  <c r="H20" i="25"/>
  <c r="E19" i="25"/>
  <c r="F19" i="25"/>
  <c r="G19" i="25"/>
  <c r="H19" i="25"/>
  <c r="F18" i="25"/>
  <c r="G18" i="25"/>
  <c r="H18" i="25"/>
  <c r="E18" i="25"/>
  <c r="E12" i="25"/>
  <c r="J98" i="25"/>
  <c r="J101" i="25" s="1"/>
  <c r="J31" i="25" s="1"/>
  <c r="I20" i="25"/>
  <c r="I19" i="25"/>
  <c r="I18" i="25"/>
  <c r="I12" i="25"/>
  <c r="J257" i="27" l="1"/>
  <c r="K249" i="27"/>
  <c r="K251" i="27" s="1"/>
  <c r="K252" i="27" s="1"/>
  <c r="L89" i="27"/>
  <c r="L64" i="27" s="1"/>
  <c r="N42" i="27"/>
  <c r="N85" i="27" s="1"/>
  <c r="J78" i="27"/>
  <c r="J41" i="27" s="1"/>
  <c r="M48" i="27"/>
  <c r="M87" i="27" s="1"/>
  <c r="M43" i="27"/>
  <c r="M86" i="27" s="1"/>
  <c r="M147" i="27"/>
  <c r="L94" i="27"/>
  <c r="L95" i="27" s="1"/>
  <c r="J54" i="27"/>
  <c r="L100" i="27"/>
  <c r="L101" i="27"/>
  <c r="L31" i="27" s="1"/>
  <c r="M26" i="27"/>
  <c r="K35" i="27"/>
  <c r="K36" i="27" s="1"/>
  <c r="N25" i="27"/>
  <c r="K48" i="25"/>
  <c r="K43" i="25"/>
  <c r="J148" i="25"/>
  <c r="G55" i="25"/>
  <c r="G57" i="25" s="1"/>
  <c r="G3" i="25" s="1"/>
  <c r="E33" i="25"/>
  <c r="E13" i="25" s="1"/>
  <c r="F55" i="25"/>
  <c r="F57" i="25" s="1"/>
  <c r="F3" i="25" s="1"/>
  <c r="G89" i="25"/>
  <c r="H55" i="25"/>
  <c r="H57" i="25" s="1"/>
  <c r="H3" i="25" s="1"/>
  <c r="I55" i="25"/>
  <c r="E55" i="25"/>
  <c r="E57" i="25" s="1"/>
  <c r="E3" i="25" s="1"/>
  <c r="I33" i="25"/>
  <c r="H33" i="25"/>
  <c r="H123" i="25" s="1"/>
  <c r="G33" i="25"/>
  <c r="F33" i="25"/>
  <c r="F89" i="25"/>
  <c r="J100" i="25"/>
  <c r="J49" i="25" s="1"/>
  <c r="H89" i="25"/>
  <c r="I89" i="25"/>
  <c r="J32" i="25"/>
  <c r="J74" i="25"/>
  <c r="K74" i="25"/>
  <c r="N74" i="25"/>
  <c r="L74" i="25"/>
  <c r="L52" i="25"/>
  <c r="I57" i="25"/>
  <c r="I3" i="25" s="1"/>
  <c r="J43" i="25"/>
  <c r="J86" i="25" s="1"/>
  <c r="J48" i="25"/>
  <c r="J95" i="25"/>
  <c r="J42" i="25"/>
  <c r="J85" i="25" s="1"/>
  <c r="E89" i="25"/>
  <c r="J26" i="25"/>
  <c r="K257" i="27" l="1"/>
  <c r="L249" i="27"/>
  <c r="L251" i="27" s="1"/>
  <c r="L252" i="27" s="1"/>
  <c r="M88" i="27"/>
  <c r="M89" i="27" s="1"/>
  <c r="M64" i="27" s="1"/>
  <c r="N26" i="27"/>
  <c r="N43" i="27"/>
  <c r="N86" i="27" s="1"/>
  <c r="N48" i="27"/>
  <c r="N87" i="27" s="1"/>
  <c r="N147" i="27"/>
  <c r="K77" i="27"/>
  <c r="J45" i="27"/>
  <c r="J145" i="27"/>
  <c r="L44" i="27"/>
  <c r="M92" i="27"/>
  <c r="M98" i="27"/>
  <c r="L49" i="27"/>
  <c r="L50" i="27" s="1"/>
  <c r="K62" i="27"/>
  <c r="K65" i="27" s="1"/>
  <c r="K76" i="27" s="1"/>
  <c r="J80" i="27"/>
  <c r="J55" i="27"/>
  <c r="J57" i="27" s="1"/>
  <c r="J3" i="27" s="1"/>
  <c r="J153" i="27"/>
  <c r="J143" i="27"/>
  <c r="K53" i="27"/>
  <c r="L30" i="27"/>
  <c r="E123" i="25"/>
  <c r="E36" i="25"/>
  <c r="E62" i="25" s="1"/>
  <c r="E65" i="25" s="1"/>
  <c r="E76" i="25" s="1"/>
  <c r="E78" i="25" s="1"/>
  <c r="E80" i="25" s="1"/>
  <c r="F13" i="25"/>
  <c r="F123" i="25"/>
  <c r="G36" i="25"/>
  <c r="G62" i="25" s="1"/>
  <c r="G65" i="25" s="1"/>
  <c r="G76" i="25" s="1"/>
  <c r="G78" i="25" s="1"/>
  <c r="G80" i="25" s="1"/>
  <c r="G123" i="25"/>
  <c r="I36" i="25"/>
  <c r="I62" i="25" s="1"/>
  <c r="I65" i="25" s="1"/>
  <c r="I125" i="25" s="1"/>
  <c r="I123" i="25"/>
  <c r="I13" i="25"/>
  <c r="J33" i="25"/>
  <c r="G13" i="25"/>
  <c r="F36" i="25"/>
  <c r="F62" i="25" s="1"/>
  <c r="F65" i="25" s="1"/>
  <c r="H36" i="25"/>
  <c r="H62" i="25" s="1"/>
  <c r="H65" i="25" s="1"/>
  <c r="H13" i="25"/>
  <c r="K98" i="25"/>
  <c r="M52" i="25"/>
  <c r="L24" i="25"/>
  <c r="K85" i="25"/>
  <c r="K26" i="25"/>
  <c r="J44" i="25"/>
  <c r="K92" i="25"/>
  <c r="J87" i="25"/>
  <c r="J88" i="25" s="1"/>
  <c r="J89" i="25" s="1"/>
  <c r="J64" i="25" s="1"/>
  <c r="J50" i="25"/>
  <c r="L257" i="27" l="1"/>
  <c r="M249" i="27"/>
  <c r="M251" i="27" s="1"/>
  <c r="M252" i="27" s="1"/>
  <c r="N88" i="27"/>
  <c r="N89" i="27" s="1"/>
  <c r="N64" i="27" s="1"/>
  <c r="K78" i="27"/>
  <c r="L77" i="27" s="1"/>
  <c r="M94" i="27"/>
  <c r="M95" i="27" s="1"/>
  <c r="J150" i="27"/>
  <c r="J152" i="27"/>
  <c r="J142" i="27"/>
  <c r="L63" i="27"/>
  <c r="L148" i="27"/>
  <c r="K54" i="27"/>
  <c r="M100" i="27"/>
  <c r="M101" i="27"/>
  <c r="M31" i="27" s="1"/>
  <c r="L32" i="27"/>
  <c r="L33" i="27" s="1"/>
  <c r="L25" i="25"/>
  <c r="L43" i="25" s="1"/>
  <c r="K94" i="25"/>
  <c r="K30" i="25" s="1"/>
  <c r="K100" i="25"/>
  <c r="K49" i="25" s="1"/>
  <c r="K50" i="25" s="1"/>
  <c r="K101" i="25"/>
  <c r="K31" i="25" s="1"/>
  <c r="J35" i="25"/>
  <c r="J36" i="25" s="1"/>
  <c r="I76" i="25"/>
  <c r="I78" i="25" s="1"/>
  <c r="J77" i="25" s="1"/>
  <c r="E125" i="25"/>
  <c r="G125" i="25"/>
  <c r="I80" i="25"/>
  <c r="H76" i="25"/>
  <c r="H78" i="25" s="1"/>
  <c r="H80" i="25" s="1"/>
  <c r="H125" i="25"/>
  <c r="F76" i="25"/>
  <c r="F78" i="25" s="1"/>
  <c r="F80" i="25" s="1"/>
  <c r="F125" i="25"/>
  <c r="L98" i="25"/>
  <c r="L100" i="25" s="1"/>
  <c r="L42" i="25"/>
  <c r="L85" i="25" s="1"/>
  <c r="M24" i="25"/>
  <c r="K86" i="25"/>
  <c r="N52" i="25"/>
  <c r="M257" i="27" l="1"/>
  <c r="N249" i="27"/>
  <c r="N251" i="27" s="1"/>
  <c r="N252" i="27" s="1"/>
  <c r="K41" i="27"/>
  <c r="K80" i="27" s="1"/>
  <c r="K55" i="27"/>
  <c r="K153" i="27"/>
  <c r="K143" i="27"/>
  <c r="M44" i="27"/>
  <c r="N92" i="27"/>
  <c r="N98" i="27"/>
  <c r="M49" i="27"/>
  <c r="M50" i="27" s="1"/>
  <c r="K45" i="27"/>
  <c r="L35" i="27"/>
  <c r="L36" i="27" s="1"/>
  <c r="L147" i="25"/>
  <c r="K95" i="25"/>
  <c r="K44" i="25" s="1"/>
  <c r="K63" i="25"/>
  <c r="K32" i="25"/>
  <c r="K33" i="25" s="1"/>
  <c r="J53" i="25"/>
  <c r="J62" i="25"/>
  <c r="J65" i="25" s="1"/>
  <c r="J76" i="25" s="1"/>
  <c r="J78" i="25" s="1"/>
  <c r="K77" i="25" s="1"/>
  <c r="L101" i="25"/>
  <c r="L31" i="25" s="1"/>
  <c r="L48" i="25"/>
  <c r="L86" i="25"/>
  <c r="K87" i="25"/>
  <c r="K88" i="25" s="1"/>
  <c r="K89" i="25" s="1"/>
  <c r="K64" i="25" s="1"/>
  <c r="M98" i="25"/>
  <c r="L49" i="25"/>
  <c r="L26" i="25"/>
  <c r="M25" i="25"/>
  <c r="M42" i="25"/>
  <c r="M85" i="25" s="1"/>
  <c r="N24" i="25"/>
  <c r="N257" i="27" l="1"/>
  <c r="K145" i="27"/>
  <c r="N101" i="27"/>
  <c r="N31" i="27" s="1"/>
  <c r="N100" i="27"/>
  <c r="N49" i="27" s="1"/>
  <c r="N50" i="27" s="1"/>
  <c r="N94" i="27"/>
  <c r="N95" i="27"/>
  <c r="N44" i="27" s="1"/>
  <c r="K150" i="27"/>
  <c r="K142" i="27"/>
  <c r="K152" i="27"/>
  <c r="L62" i="27"/>
  <c r="L65" i="27" s="1"/>
  <c r="L76" i="27" s="1"/>
  <c r="L78" i="27" s="1"/>
  <c r="L53" i="27"/>
  <c r="K57" i="27"/>
  <c r="K3" i="27" s="1"/>
  <c r="M30" i="27"/>
  <c r="M147" i="25"/>
  <c r="J54" i="25"/>
  <c r="K35" i="25"/>
  <c r="K36" i="25" s="1"/>
  <c r="J41" i="25"/>
  <c r="L50" i="25"/>
  <c r="L87" i="25"/>
  <c r="L88" i="25" s="1"/>
  <c r="L89" i="25" s="1"/>
  <c r="L64" i="25" s="1"/>
  <c r="N25" i="25"/>
  <c r="N26" i="25" s="1"/>
  <c r="N42" i="25"/>
  <c r="N85" i="25" s="1"/>
  <c r="M48" i="25"/>
  <c r="M43" i="25"/>
  <c r="M86" i="25" s="1"/>
  <c r="M101" i="25"/>
  <c r="M31" i="25" s="1"/>
  <c r="M100" i="25"/>
  <c r="L92" i="25"/>
  <c r="M26" i="25"/>
  <c r="L41" i="27" l="1"/>
  <c r="M77" i="27"/>
  <c r="M63" i="27"/>
  <c r="M148" i="27"/>
  <c r="L54" i="27"/>
  <c r="M32" i="27"/>
  <c r="M33" i="27" s="1"/>
  <c r="J55" i="25"/>
  <c r="J153" i="25"/>
  <c r="J143" i="25"/>
  <c r="J45" i="25"/>
  <c r="J145" i="25"/>
  <c r="N147" i="25"/>
  <c r="K62" i="25"/>
  <c r="K53" i="25"/>
  <c r="K54" i="25" s="1"/>
  <c r="K143" i="25" s="1"/>
  <c r="J80" i="25"/>
  <c r="L94" i="25"/>
  <c r="L30" i="25" s="1"/>
  <c r="L148" i="25" s="1"/>
  <c r="M49" i="25"/>
  <c r="M50" i="25" s="1"/>
  <c r="N98" i="25"/>
  <c r="N43" i="25"/>
  <c r="N86" i="25" s="1"/>
  <c r="N48" i="25"/>
  <c r="M87" i="25"/>
  <c r="M88" i="25" s="1"/>
  <c r="M89" i="25" s="1"/>
  <c r="M64" i="25" s="1"/>
  <c r="K65" i="25"/>
  <c r="L45" i="27" l="1"/>
  <c r="L145" i="27"/>
  <c r="L55" i="27"/>
  <c r="L153" i="27"/>
  <c r="L143" i="27"/>
  <c r="L80" i="27"/>
  <c r="M35" i="27"/>
  <c r="M36" i="27" s="1"/>
  <c r="J57" i="25"/>
  <c r="J3" i="25" s="1"/>
  <c r="J150" i="25"/>
  <c r="J142" i="25"/>
  <c r="J152" i="25"/>
  <c r="K55" i="25"/>
  <c r="K153" i="25"/>
  <c r="K76" i="25"/>
  <c r="K78" i="25" s="1"/>
  <c r="K41" i="25" s="1"/>
  <c r="L95" i="25"/>
  <c r="L44" i="25" s="1"/>
  <c r="L32" i="25"/>
  <c r="L33" i="25" s="1"/>
  <c r="L63" i="25"/>
  <c r="N87" i="25"/>
  <c r="N88" i="25" s="1"/>
  <c r="N89" i="25" s="1"/>
  <c r="N64" i="25" s="1"/>
  <c r="N101" i="25"/>
  <c r="N31" i="25" s="1"/>
  <c r="N100" i="25"/>
  <c r="N49" i="25" s="1"/>
  <c r="N50" i="25" s="1"/>
  <c r="L57" i="27" l="1"/>
  <c r="L3" i="27" s="1"/>
  <c r="M62" i="27"/>
  <c r="M65" i="27" s="1"/>
  <c r="M76" i="27" s="1"/>
  <c r="M78" i="27" s="1"/>
  <c r="M53" i="27"/>
  <c r="L150" i="27"/>
  <c r="L152" i="27"/>
  <c r="L142" i="27"/>
  <c r="N30" i="27"/>
  <c r="K45" i="25"/>
  <c r="L77" i="25"/>
  <c r="K80" i="25"/>
  <c r="K57" i="25"/>
  <c r="K3" i="25" s="1"/>
  <c r="M92" i="25"/>
  <c r="M94" i="25" s="1"/>
  <c r="M30" i="25" s="1"/>
  <c r="M148" i="25" s="1"/>
  <c r="L35" i="25"/>
  <c r="L36" i="25" s="1"/>
  <c r="N148" i="27" l="1"/>
  <c r="N63" i="27"/>
  <c r="M54" i="27"/>
  <c r="M41" i="27"/>
  <c r="M80" i="27" s="1"/>
  <c r="N77" i="27"/>
  <c r="N32" i="27"/>
  <c r="N33" i="27" s="1"/>
  <c r="K150" i="25"/>
  <c r="K152" i="25"/>
  <c r="L62" i="25"/>
  <c r="L65" i="25" s="1"/>
  <c r="L76" i="25" s="1"/>
  <c r="L78" i="25" s="1"/>
  <c r="L53" i="25"/>
  <c r="M63" i="25"/>
  <c r="M32" i="25"/>
  <c r="M33" i="25" s="1"/>
  <c r="M95" i="25"/>
  <c r="M45" i="27" l="1"/>
  <c r="M145" i="27"/>
  <c r="M153" i="27"/>
  <c r="M55" i="27"/>
  <c r="M143" i="27"/>
  <c r="N35" i="27"/>
  <c r="N36" i="27" s="1"/>
  <c r="M44" i="25"/>
  <c r="N92" i="25"/>
  <c r="M35" i="25"/>
  <c r="M36" i="25" s="1"/>
  <c r="L54" i="25"/>
  <c r="L41" i="25"/>
  <c r="M77" i="25"/>
  <c r="M57" i="27" l="1"/>
  <c r="N62" i="27"/>
  <c r="N65" i="27" s="1"/>
  <c r="N76" i="27" s="1"/>
  <c r="N78" i="27" s="1"/>
  <c r="N53" i="27"/>
  <c r="N54" i="27" s="1"/>
  <c r="M150" i="27"/>
  <c r="M152" i="27"/>
  <c r="M142" i="27"/>
  <c r="M3" i="27"/>
  <c r="L45" i="25"/>
  <c r="L57" i="25" s="1"/>
  <c r="L3" i="25" s="1"/>
  <c r="L145" i="25"/>
  <c r="L55" i="25"/>
  <c r="L143" i="25"/>
  <c r="M62" i="25"/>
  <c r="M65" i="25" s="1"/>
  <c r="M76" i="25" s="1"/>
  <c r="M78" i="25" s="1"/>
  <c r="N77" i="25" s="1"/>
  <c r="N94" i="25"/>
  <c r="N30" i="25" s="1"/>
  <c r="N148" i="25" s="1"/>
  <c r="L80" i="25"/>
  <c r="M53" i="25"/>
  <c r="N153" i="27" l="1"/>
  <c r="N55" i="27"/>
  <c r="N41" i="27"/>
  <c r="N143" i="27"/>
  <c r="L150" i="25"/>
  <c r="L142" i="25"/>
  <c r="M41" i="25"/>
  <c r="M54" i="25"/>
  <c r="N63" i="25"/>
  <c r="N32" i="25"/>
  <c r="N33" i="25" s="1"/>
  <c r="N95" i="25"/>
  <c r="N44" i="25" s="1"/>
  <c r="N45" i="27" l="1"/>
  <c r="N145" i="27"/>
  <c r="N80" i="27"/>
  <c r="N57" i="27"/>
  <c r="N3" i="27" s="1"/>
  <c r="M55" i="25"/>
  <c r="M153" i="25"/>
  <c r="M143" i="25"/>
  <c r="M45" i="25"/>
  <c r="M145" i="25"/>
  <c r="M57" i="25"/>
  <c r="M3" i="25" s="1"/>
  <c r="M80" i="25"/>
  <c r="N35" i="25"/>
  <c r="N36" i="25" s="1"/>
  <c r="N150" i="27" l="1"/>
  <c r="N152" i="27"/>
  <c r="N142" i="27"/>
  <c r="M150" i="25"/>
  <c r="M152" i="25"/>
  <c r="M142" i="25"/>
  <c r="N62" i="25"/>
  <c r="N65" i="25" s="1"/>
  <c r="N76" i="25" s="1"/>
  <c r="N78" i="25" s="1"/>
  <c r="N53" i="25"/>
  <c r="N54" i="25" s="1"/>
  <c r="N143" i="25" s="1"/>
  <c r="N55" i="25" l="1"/>
  <c r="N153" i="25"/>
  <c r="N41" i="25"/>
  <c r="N45" i="25" l="1"/>
  <c r="N145" i="25"/>
  <c r="N80" i="25"/>
  <c r="N57" i="25" l="1"/>
  <c r="N3" i="25" s="1"/>
  <c r="N150" i="25"/>
  <c r="N152" i="25"/>
  <c r="N142" i="25"/>
</calcChain>
</file>

<file path=xl/sharedStrings.xml><?xml version="1.0" encoding="utf-8"?>
<sst xmlns="http://schemas.openxmlformats.org/spreadsheetml/2006/main" count="349" uniqueCount="121">
  <si>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</si>
  <si>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</si>
  <si>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</si>
  <si>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</si>
  <si>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</si>
  <si>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</si>
  <si>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</si>
  <si>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</si>
  <si>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</si>
  <si>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</si>
  <si>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</si>
  <si>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</si>
  <si>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</si>
  <si>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</si>
  <si>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</si>
  <si>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</si>
  <si>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</si>
  <si>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</si>
  <si>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</si>
  <si>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</si>
  <si>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</si>
  <si>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</si>
  <si>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</si>
  <si>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</si>
  <si>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</si>
  <si>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</si>
  <si>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</si>
  <si>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</si>
  <si>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</si>
  <si>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</si>
  <si>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</si>
  <si>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</si>
  <si>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</si>
  <si>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</si>
  <si>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</si>
  <si>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</si>
  <si>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</si>
  <si>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</si>
  <si>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</si>
  <si>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</si>
  <si>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</si>
  <si>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</si>
  <si>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</si>
  <si>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</si>
  <si>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</si>
  <si>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</si>
  <si>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</si>
  <si>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</si>
  <si>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</si>
  <si>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</si>
  <si>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</si>
  <si>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</si>
  <si>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</si>
  <si>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</si>
  <si>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</si>
  <si>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</si>
  <si>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</si>
  <si>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</si>
  <si>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</si>
  <si>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Rent and Overhead ($000's)</t>
  </si>
  <si>
    <t>Revenue Growth (% Change)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</si>
  <si>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</si>
  <si>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</si>
  <si>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</si>
  <si>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</si>
  <si>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</si>
  <si>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</si>
  <si>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</si>
  <si>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</si>
  <si>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</si>
  <si>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</si>
  <si>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Income statement</t>
  </si>
  <si>
    <t>Expenses</t>
  </si>
  <si>
    <t>Total Expenses</t>
  </si>
  <si>
    <t>© Corporate Finance Institute®. All rights reserved.</t>
  </si>
  <si>
    <t>Interest (% of Debt Open Bal)</t>
  </si>
  <si>
    <t>Depreciation &amp; Amortization (% of PP&amp;E Open Bal)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</si>
  <si>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</si>
  <si>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</si>
  <si>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</si>
  <si>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</si>
  <si>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</si>
  <si>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</si>
  <si>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</si>
  <si>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</si>
  <si>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3 Statement Model</t>
  </si>
  <si>
    <t>Charts and Graphs</t>
  </si>
  <si>
    <t>Revenue</t>
  </si>
  <si>
    <t>Earning Before Tax</t>
  </si>
  <si>
    <t>Salaries and Benefits ($000's)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</si>
  <si>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</si>
  <si>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</si>
  <si>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</si>
  <si>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</si>
  <si>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ROE </t>
  </si>
  <si>
    <t>ROA</t>
  </si>
  <si>
    <t>Assumption: CURRENT ASSETS</t>
  </si>
  <si>
    <t>Assumption: CURRENT LIABILITIES</t>
  </si>
  <si>
    <t>Liquidity: Current ratio</t>
  </si>
  <si>
    <t>Profitability: Gross Profit Margin</t>
  </si>
  <si>
    <t>Profitability: Operating profit margin</t>
  </si>
  <si>
    <t>Assumption: OPERATING EXPENSES</t>
  </si>
  <si>
    <t xml:space="preserve">Activity ratios: Total Asset Turnover ratio </t>
  </si>
  <si>
    <t xml:space="preserve">Financial Leverage ratios: Total Debt to Assets ratio </t>
  </si>
  <si>
    <t xml:space="preserve">Financial Leverage ratios: Debt-to-equity ratio </t>
  </si>
  <si>
    <t>BEP</t>
  </si>
  <si>
    <t>UNITS PRODUCTION</t>
  </si>
  <si>
    <t>EBIT</t>
  </si>
  <si>
    <t>PRICE PER UNIT</t>
  </si>
  <si>
    <t>FIXED COST</t>
  </si>
  <si>
    <t>VARIABLE COSTS</t>
  </si>
  <si>
    <t>PBT</t>
  </si>
  <si>
    <t xml:space="preserve">NET INCOME </t>
  </si>
  <si>
    <t>MARGIN</t>
  </si>
  <si>
    <t>VARIABLE COST PER UNIT</t>
  </si>
  <si>
    <t>FIXED COSTS</t>
  </si>
  <si>
    <t>OL</t>
  </si>
  <si>
    <t>Q</t>
  </si>
  <si>
    <t>SENSITIVITY ANALYSIS</t>
  </si>
  <si>
    <t>2012 worst case</t>
  </si>
  <si>
    <t>2012 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</si>
</sst>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(#,##0\)_-;_-* &quot;-&quot;_-;_-@_-"/>
    <numFmt numFmtId="165" formatCode="0.0000_ ;\-0.0000\ "/>
    <numFmt numFmtId="166" formatCode="0.0%"/>
    <numFmt numFmtId="167" formatCode="_-* #,##0_-;\-* #,##0_-;_-* &quot;-&quot;??_-;_-@_-"/>
    <numFmt numFmtId="168" formatCode="_(* #,##0_);_(* \(#,##0\);_(* &quot;-&quot;??_);_(@_)"/>
    <numFmt numFmtId="169" formatCode="0.000"/>
    <numFmt numFmtId="170" formatCode="_ * #,##0_ ;_ * \-#,##0_ ;_ * &quot;-&quot;??_ ;_ @_ "/>
    <numFmt numFmtId="171" formatCode="_-* #,##0.0_-;\(#,##0.0\)_-;_-* &quot;-&quot;_-;_-@_-"/>
    <numFmt numFmtId="172" formatCode="_-* #,##0.000_-;\(#,##0.000\)_-;_-* &quot;-&quot;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00FF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12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4"/>
      <color rgb="FFFF000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</cellStyleXfs>
  <cellXfs count="150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4" fillId="0" borderId="0" xfId="1" applyNumberFormat="1" applyFont="1"/>
    <xf numFmtId="164" fontId="4" fillId="0" borderId="2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4" fillId="0" borderId="0" xfId="1" applyNumberFormat="1" applyFont="1" applyBorder="1"/>
    <xf numFmtId="164" fontId="4" fillId="0" borderId="3" xfId="1" applyNumberFormat="1" applyFont="1" applyBorder="1"/>
    <xf numFmtId="165" fontId="5" fillId="0" borderId="0" xfId="1" applyNumberFormat="1" applyFont="1"/>
    <xf numFmtId="164" fontId="5" fillId="0" borderId="0" xfId="1" applyNumberFormat="1" applyFont="1"/>
    <xf numFmtId="164" fontId="5" fillId="0" borderId="0" xfId="1" applyNumberFormat="1" applyFont="1" applyBorder="1"/>
    <xf numFmtId="164" fontId="2" fillId="0" borderId="0" xfId="1" applyNumberFormat="1" applyFont="1" applyFill="1"/>
    <xf numFmtId="164" fontId="7" fillId="0" borderId="0" xfId="1" applyNumberFormat="1" applyFont="1"/>
    <xf numFmtId="164" fontId="8" fillId="0" borderId="0" xfId="1" applyNumberFormat="1" applyFont="1"/>
    <xf numFmtId="164" fontId="8" fillId="0" borderId="0" xfId="1" applyNumberFormat="1" applyFont="1" applyBorder="1"/>
    <xf numFmtId="164" fontId="9" fillId="0" borderId="1" xfId="1" applyNumberFormat="1" applyFont="1" applyBorder="1"/>
    <xf numFmtId="164" fontId="6" fillId="0" borderId="2" xfId="1" applyNumberFormat="1" applyFont="1" applyBorder="1"/>
    <xf numFmtId="164" fontId="4" fillId="0" borderId="0" xfId="1" applyNumberFormat="1" applyFont="1" applyFill="1"/>
    <xf numFmtId="164" fontId="2" fillId="0" borderId="0" xfId="1" applyNumberFormat="1" applyFont="1" applyFill="1" applyBorder="1"/>
    <xf numFmtId="164" fontId="4" fillId="0" borderId="0" xfId="1" applyNumberFormat="1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5" fontId="5" fillId="0" borderId="0" xfId="1" applyNumberFormat="1" applyFont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6" fillId="0" borderId="0" xfId="1" applyNumberFormat="1" applyFont="1" applyFill="1"/>
    <xf numFmtId="164" fontId="8" fillId="0" borderId="0" xfId="1" applyNumberFormat="1" applyFont="1" applyFill="1" applyBorder="1"/>
    <xf numFmtId="164" fontId="9" fillId="0" borderId="0" xfId="1" applyNumberFormat="1" applyFont="1" applyFill="1" applyBorder="1"/>
    <xf numFmtId="9" fontId="8" fillId="0" borderId="0" xfId="2" applyFont="1" applyFill="1" applyAlignment="1">
      <alignment horizontal="center"/>
    </xf>
    <xf numFmtId="164" fontId="8" fillId="0" borderId="0" xfId="1" applyNumberFormat="1" applyFont="1" applyFill="1"/>
    <xf numFmtId="164" fontId="9" fillId="0" borderId="0" xfId="1" applyNumberFormat="1" applyFont="1" applyFill="1"/>
    <xf numFmtId="166" fontId="9" fillId="0" borderId="0" xfId="2" applyNumberFormat="1" applyFont="1" applyFill="1"/>
    <xf numFmtId="166" fontId="8" fillId="0" borderId="0" xfId="2" applyNumberFormat="1" applyFont="1" applyFill="1"/>
    <xf numFmtId="166" fontId="9" fillId="0" borderId="0" xfId="2" applyNumberFormat="1" applyFont="1" applyFill="1" applyBorder="1"/>
    <xf numFmtId="166" fontId="8" fillId="0" borderId="0" xfId="2" applyNumberFormat="1" applyFont="1" applyFill="1" applyBorder="1"/>
    <xf numFmtId="164" fontId="4" fillId="0" borderId="4" xfId="1" applyNumberFormat="1" applyFont="1" applyBorder="1"/>
    <xf numFmtId="164" fontId="4" fillId="0" borderId="4" xfId="1" applyNumberFormat="1" applyFont="1" applyBorder="1" applyAlignment="1">
      <alignment horizontal="center"/>
    </xf>
    <xf numFmtId="164" fontId="6" fillId="0" borderId="4" xfId="1" applyNumberFormat="1" applyFont="1" applyBorder="1"/>
    <xf numFmtId="167" fontId="2" fillId="0" borderId="0" xfId="1" applyNumberFormat="1" applyFont="1"/>
    <xf numFmtId="164" fontId="8" fillId="0" borderId="1" xfId="1" applyNumberFormat="1" applyFont="1" applyBorder="1"/>
    <xf numFmtId="164" fontId="7" fillId="0" borderId="0" xfId="1" applyNumberFormat="1" applyFont="1" applyBorder="1"/>
    <xf numFmtId="164" fontId="5" fillId="0" borderId="0" xfId="1" applyNumberFormat="1" applyFont="1" applyAlignment="1">
      <alignment horizontal="right"/>
    </xf>
    <xf numFmtId="164" fontId="4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9" fillId="0" borderId="0" xfId="1" applyNumberFormat="1" applyFont="1" applyBorder="1"/>
    <xf numFmtId="164" fontId="6" fillId="0" borderId="0" xfId="1" applyNumberFormat="1" applyFont="1" applyBorder="1"/>
    <xf numFmtId="164" fontId="6" fillId="0" borderId="3" xfId="1" applyNumberFormat="1" applyFont="1" applyBorder="1"/>
    <xf numFmtId="164" fontId="9" fillId="0" borderId="2" xfId="1" applyNumberFormat="1" applyFont="1" applyBorder="1"/>
    <xf numFmtId="164" fontId="9" fillId="0" borderId="0" xfId="1" applyNumberFormat="1" applyFont="1"/>
    <xf numFmtId="168" fontId="2" fillId="0" borderId="0" xfId="1" applyNumberFormat="1" applyFont="1" applyFill="1" applyBorder="1"/>
    <xf numFmtId="168" fontId="2" fillId="0" borderId="0" xfId="1" applyNumberFormat="1" applyFont="1" applyFill="1"/>
    <xf numFmtId="168" fontId="2" fillId="0" borderId="0" xfId="1" applyNumberFormat="1" applyFont="1"/>
    <xf numFmtId="164" fontId="2" fillId="2" borderId="0" xfId="1" applyNumberFormat="1" applyFont="1" applyFill="1"/>
    <xf numFmtId="164" fontId="11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64" fontId="12" fillId="2" borderId="0" xfId="1" applyNumberFormat="1" applyFont="1" applyFill="1" applyAlignment="1">
      <alignment horizontal="centerContinuous"/>
    </xf>
    <xf numFmtId="164" fontId="10" fillId="2" borderId="0" xfId="1" applyNumberFormat="1" applyFont="1" applyFill="1" applyAlignment="1">
      <alignment horizontal="centerContinuous"/>
    </xf>
    <xf numFmtId="164" fontId="13" fillId="2" borderId="0" xfId="1" applyNumberFormat="1" applyFont="1" applyFill="1" applyAlignment="1"/>
    <xf numFmtId="164" fontId="3" fillId="2" borderId="0" xfId="1" applyNumberFormat="1" applyFont="1" applyFill="1" applyAlignment="1"/>
    <xf numFmtId="164" fontId="3" fillId="2" borderId="0" xfId="1" applyNumberFormat="1" applyFont="1" applyFill="1" applyAlignment="1">
      <alignment horizontal="center"/>
    </xf>
    <xf numFmtId="0" fontId="13" fillId="2" borderId="0" xfId="0" applyNumberFormat="1" applyFont="1" applyFill="1"/>
    <xf numFmtId="37" fontId="3" fillId="3" borderId="0" xfId="0" applyNumberFormat="1" applyFont="1" applyFill="1" applyAlignment="1">
      <alignment vertical="center"/>
    </xf>
    <xf numFmtId="169" fontId="5" fillId="0" borderId="0" xfId="1" applyNumberFormat="1" applyFont="1"/>
    <xf numFmtId="166" fontId="8" fillId="0" borderId="0" xfId="2" applyNumberFormat="1" applyFont="1"/>
    <xf numFmtId="0" fontId="5" fillId="0" borderId="0" xfId="0" applyFont="1"/>
    <xf numFmtId="0" fontId="15" fillId="0" borderId="0" xfId="0" applyFont="1"/>
    <xf numFmtId="170" fontId="15" fillId="0" borderId="0" xfId="1" applyNumberFormat="1" applyFont="1"/>
    <xf numFmtId="0" fontId="16" fillId="0" borderId="0" xfId="3" applyFont="1"/>
    <xf numFmtId="0" fontId="17" fillId="0" borderId="0" xfId="0" applyFont="1"/>
    <xf numFmtId="0" fontId="18" fillId="3" borderId="0" xfId="5" applyFont="1" applyFill="1"/>
    <xf numFmtId="0" fontId="18" fillId="0" borderId="0" xfId="5" applyFont="1" applyFill="1" applyBorder="1"/>
    <xf numFmtId="0" fontId="19" fillId="0" borderId="0" xfId="5" applyFont="1" applyFill="1" applyBorder="1" applyProtection="1">
      <protection locked="0"/>
    </xf>
    <xf numFmtId="0" fontId="20" fillId="0" borderId="0" xfId="5" applyFont="1" applyFill="1" applyBorder="1" applyAlignment="1">
      <alignment horizontal="right"/>
    </xf>
    <xf numFmtId="0" fontId="18" fillId="0" borderId="0" xfId="5" applyFont="1" applyFill="1" applyBorder="1" applyProtection="1">
      <protection locked="0"/>
    </xf>
    <xf numFmtId="0" fontId="20" fillId="0" borderId="0" xfId="5" applyFont="1" applyFill="1" applyBorder="1" applyProtection="1">
      <protection locked="0"/>
    </xf>
    <xf numFmtId="0" fontId="23" fillId="0" borderId="0" xfId="6" applyFont="1" applyFill="1" applyBorder="1" applyProtection="1">
      <protection locked="0"/>
    </xf>
    <xf numFmtId="0" fontId="21" fillId="0" borderId="2" xfId="4" quotePrefix="1" applyFont="1" applyFill="1" applyBorder="1" applyProtection="1">
      <protection locked="0"/>
    </xf>
    <xf numFmtId="164" fontId="12" fillId="4" borderId="0" xfId="1" applyNumberFormat="1" applyFont="1" applyFill="1" applyAlignment="1">
      <alignment horizontal="centerContinuous"/>
    </xf>
    <xf numFmtId="164" fontId="10" fillId="4" borderId="0" xfId="1" applyNumberFormat="1" applyFont="1" applyFill="1" applyAlignment="1">
      <alignment horizontal="centerContinuous"/>
    </xf>
    <xf numFmtId="0" fontId="3" fillId="4" borderId="0" xfId="1" applyNumberFormat="1" applyFont="1" applyFill="1" applyAlignment="1"/>
    <xf numFmtId="0" fontId="18" fillId="3" borderId="0" xfId="7" applyFont="1" applyFill="1"/>
    <xf numFmtId="0" fontId="18" fillId="0" borderId="0" xfId="7" applyFont="1" applyFill="1" applyBorder="1"/>
    <xf numFmtId="0" fontId="18" fillId="0" borderId="2" xfId="7" applyFont="1" applyFill="1" applyBorder="1"/>
    <xf numFmtId="0" fontId="24" fillId="0" borderId="0" xfId="8" applyFont="1" applyFill="1" applyBorder="1"/>
    <xf numFmtId="0" fontId="25" fillId="2" borderId="0" xfId="7" applyFont="1" applyFill="1" applyBorder="1"/>
    <xf numFmtId="0" fontId="18" fillId="2" borderId="0" xfId="7" applyFont="1" applyFill="1" applyBorder="1"/>
    <xf numFmtId="0" fontId="18" fillId="5" borderId="0" xfId="7" applyFont="1" applyFill="1"/>
    <xf numFmtId="0" fontId="25" fillId="2" borderId="0" xfId="7" applyFont="1" applyFill="1"/>
    <xf numFmtId="164" fontId="4" fillId="6" borderId="0" xfId="1" applyNumberFormat="1" applyFont="1" applyFill="1"/>
    <xf numFmtId="168" fontId="2" fillId="6" borderId="0" xfId="1" applyNumberFormat="1" applyFont="1" applyFill="1" applyBorder="1"/>
    <xf numFmtId="164" fontId="2" fillId="7" borderId="0" xfId="1" applyNumberFormat="1" applyFont="1" applyFill="1"/>
    <xf numFmtId="164" fontId="2" fillId="6" borderId="0" xfId="1" applyNumberFormat="1" applyFont="1" applyFill="1"/>
    <xf numFmtId="164" fontId="2" fillId="8" borderId="0" xfId="1" applyNumberFormat="1" applyFont="1" applyFill="1"/>
    <xf numFmtId="164" fontId="9" fillId="8" borderId="1" xfId="1" applyNumberFormat="1" applyFont="1" applyFill="1" applyBorder="1"/>
    <xf numFmtId="168" fontId="2" fillId="7" borderId="0" xfId="1" applyNumberFormat="1" applyFont="1" applyFill="1"/>
    <xf numFmtId="164" fontId="2" fillId="9" borderId="0" xfId="1" applyNumberFormat="1" applyFont="1" applyFill="1"/>
    <xf numFmtId="164" fontId="6" fillId="9" borderId="2" xfId="1" applyNumberFormat="1" applyFont="1" applyFill="1" applyBorder="1"/>
    <xf numFmtId="167" fontId="2" fillId="10" borderId="0" xfId="1" applyNumberFormat="1" applyFont="1" applyFill="1"/>
    <xf numFmtId="164" fontId="2" fillId="11" borderId="0" xfId="1" applyNumberFormat="1" applyFont="1" applyFill="1"/>
    <xf numFmtId="164" fontId="2" fillId="12" borderId="0" xfId="1" applyNumberFormat="1" applyFont="1" applyFill="1"/>
    <xf numFmtId="164" fontId="6" fillId="12" borderId="4" xfId="1" applyNumberFormat="1" applyFont="1" applyFill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164" fontId="2" fillId="0" borderId="9" xfId="1" applyNumberFormat="1" applyFont="1" applyBorder="1" applyAlignment="1">
      <alignment horizontal="center"/>
    </xf>
    <xf numFmtId="10" fontId="2" fillId="0" borderId="6" xfId="2" applyNumberFormat="1" applyFont="1" applyBorder="1"/>
    <xf numFmtId="10" fontId="2" fillId="0" borderId="9" xfId="2" applyNumberFormat="1" applyFont="1" applyBorder="1"/>
    <xf numFmtId="10" fontId="2" fillId="0" borderId="7" xfId="2" applyNumberFormat="1" applyFont="1" applyBorder="1"/>
    <xf numFmtId="10" fontId="2" fillId="0" borderId="10" xfId="2" applyNumberFormat="1" applyFont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166" fontId="2" fillId="0" borderId="0" xfId="2" applyNumberFormat="1" applyFont="1" applyBorder="1"/>
    <xf numFmtId="10" fontId="2" fillId="0" borderId="0" xfId="2" applyNumberFormat="1" applyFont="1" applyBorder="1"/>
    <xf numFmtId="166" fontId="2" fillId="0" borderId="12" xfId="2" applyNumberFormat="1" applyFont="1" applyBorder="1"/>
    <xf numFmtId="10" fontId="2" fillId="0" borderId="12" xfId="2" applyNumberFormat="1" applyFont="1" applyBorder="1"/>
    <xf numFmtId="1" fontId="2" fillId="0" borderId="0" xfId="1" applyNumberFormat="1" applyFont="1"/>
    <xf numFmtId="172" fontId="2" fillId="0" borderId="0" xfId="1" applyNumberFormat="1" applyFont="1"/>
    <xf numFmtId="10" fontId="2" fillId="0" borderId="0" xfId="2" applyNumberFormat="1" applyFont="1"/>
    <xf numFmtId="164" fontId="27" fillId="0" borderId="0" xfId="1" applyNumberFormat="1" applyFont="1"/>
    <xf numFmtId="37" fontId="28" fillId="3" borderId="0" xfId="0" applyNumberFormat="1" applyFont="1" applyFill="1" applyAlignment="1">
      <alignment vertical="center"/>
    </xf>
    <xf numFmtId="171" fontId="26" fillId="0" borderId="5" xfId="1" applyNumberFormat="1" applyFont="1" applyBorder="1"/>
    <xf numFmtId="171" fontId="26" fillId="0" borderId="6" xfId="1" applyNumberFormat="1" applyFont="1" applyBorder="1"/>
    <xf numFmtId="171" fontId="26" fillId="0" borderId="7" xfId="1" applyNumberFormat="1" applyFont="1" applyBorder="1"/>
    <xf numFmtId="171" fontId="26" fillId="0" borderId="11" xfId="1" applyNumberFormat="1" applyFont="1" applyBorder="1"/>
    <xf numFmtId="171" fontId="26" fillId="0" borderId="0" xfId="1" applyNumberFormat="1" applyFont="1" applyBorder="1"/>
    <xf numFmtId="171" fontId="26" fillId="0" borderId="12" xfId="1" applyNumberFormat="1" applyFont="1" applyBorder="1"/>
    <xf numFmtId="171" fontId="9" fillId="0" borderId="12" xfId="1" applyNumberFormat="1" applyFont="1" applyBorder="1"/>
    <xf numFmtId="171" fontId="9" fillId="0" borderId="11" xfId="1" applyNumberFormat="1" applyFont="1" applyBorder="1"/>
    <xf numFmtId="171" fontId="9" fillId="0" borderId="0" xfId="1" applyNumberFormat="1" applyFont="1" applyBorder="1"/>
    <xf numFmtId="171" fontId="9" fillId="0" borderId="8" xfId="1" applyNumberFormat="1" applyFont="1" applyBorder="1"/>
    <xf numFmtId="171" fontId="9" fillId="0" borderId="9" xfId="1" applyNumberFormat="1" applyFont="1" applyBorder="1"/>
    <xf numFmtId="171" fontId="9" fillId="0" borderId="10" xfId="1" applyNumberFormat="1" applyFont="1" applyBorder="1"/>
    <xf numFmtId="171" fontId="2" fillId="0" borderId="6" xfId="1" applyNumberFormat="1" applyFont="1" applyBorder="1"/>
    <xf numFmtId="171" fontId="2" fillId="0" borderId="7" xfId="1" applyNumberFormat="1" applyFont="1" applyBorder="1"/>
    <xf numFmtId="171" fontId="2" fillId="0" borderId="0" xfId="1" applyNumberFormat="1" applyFont="1" applyBorder="1"/>
    <xf numFmtId="171" fontId="2" fillId="0" borderId="12" xfId="1" applyNumberFormat="1" applyFont="1" applyBorder="1"/>
    <xf numFmtId="171" fontId="2" fillId="0" borderId="11" xfId="1" applyNumberFormat="1" applyFont="1" applyBorder="1"/>
    <xf numFmtId="171" fontId="2" fillId="0" borderId="8" xfId="1" applyNumberFormat="1" applyFont="1" applyBorder="1"/>
    <xf numFmtId="171" fontId="2" fillId="0" borderId="9" xfId="1" applyNumberFormat="1" applyFont="1" applyBorder="1"/>
    <xf numFmtId="171" fontId="2" fillId="0" borderId="10" xfId="1" applyNumberFormat="1" applyFont="1" applyBorder="1"/>
    <xf numFmtId="164" fontId="2" fillId="0" borderId="13" xfId="1" applyNumberFormat="1" applyFont="1" applyBorder="1"/>
    <xf numFmtId="164" fontId="2" fillId="0" borderId="14" xfId="1" applyNumberFormat="1" applyFont="1" applyBorder="1"/>
    <xf numFmtId="164" fontId="2" fillId="0" borderId="15" xfId="1" applyNumberFormat="1" applyFont="1" applyBorder="1"/>
  </cellXfs>
  <cellStyles count="9">
    <cellStyle name="Comma" xfId="1" builtinId="3"/>
    <cellStyle name="Hyperlink" xfId="4" builtinId="8"/>
    <cellStyle name="Hyperlink 2" xfId="6" xr:uid="{00000000-0005-0000-0000-000002000000}"/>
    <cellStyle name="Hyperlink 2 2" xfId="8" xr:uid="{A98179CE-AEBF-440D-8D58-6FE44A952D4A}"/>
    <cellStyle name="Hyperlink 3" xfId="3" xr:uid="{00000000-0005-0000-0000-000003000000}"/>
    <cellStyle name="Normal" xfId="0" builtinId="0"/>
    <cellStyle name="Normal 2" xfId="5" xr:uid="{00000000-0005-0000-0000-000005000000}"/>
    <cellStyle name="Normal 2 2 2" xfId="7" xr:uid="{A07CE46D-D787-4753-B649-FBF099607CF1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Earnings (2012 - 2016)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Statement Model'!$B$121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Model'!$E$121:$I$121</c:f>
            </c:numRef>
          </c:val>
          <c:extLst>
            <c:ext xmlns:c16="http://schemas.microsoft.com/office/drawing/2014/chart" uri="{C3380CC4-5D6E-409C-BE32-E72D297353CC}">
              <c16:uniqueId val="{00000000-6F09-422A-BD9F-61156B0AA9CA}"/>
            </c:ext>
          </c:extLst>
        </c:ser>
        <c:ser>
          <c:idx val="2"/>
          <c:order val="1"/>
          <c:tx>
            <c:strRef>
              <c:f>'3 Statement Model'!$B$122</c:f>
              <c:strCache>
                <c:ptCount val="1"/>
                <c:pt idx="0">
                  <c:v> Gross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Model'!$E$122:$I$122</c:f>
            </c:numRef>
          </c:val>
          <c:extLst>
            <c:ext xmlns:c16="http://schemas.microsoft.com/office/drawing/2014/chart" uri="{C3380CC4-5D6E-409C-BE32-E72D297353CC}">
              <c16:uniqueId val="{00000002-6F09-422A-BD9F-61156B0AA9CA}"/>
            </c:ext>
          </c:extLst>
        </c:ser>
        <c:ser>
          <c:idx val="1"/>
          <c:order val="2"/>
          <c:tx>
            <c:strRef>
              <c:f>'3 Statement Model'!$B$123</c:f>
              <c:strCache>
                <c:ptCount val="1"/>
                <c:pt idx="0">
                  <c:v> Earning Before Tax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Model'!$E$123:$I$123</c:f>
            </c:numRef>
          </c:val>
          <c:extLst>
            <c:ext xmlns:c16="http://schemas.microsoft.com/office/drawing/2014/chart" uri="{C3380CC4-5D6E-409C-BE32-E72D297353CC}">
              <c16:uniqueId val="{00000001-6F09-422A-BD9F-61156B0A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26472968"/>
        <c:axId val="626472640"/>
      </c:barChart>
      <c:catAx>
        <c:axId val="6264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472640"/>
        <c:crosses val="autoZero"/>
        <c:auto val="1"/>
        <c:lblAlgn val="ctr"/>
        <c:lblOffset val="100"/>
        <c:noMultiLvlLbl val="0"/>
      </c:catAx>
      <c:valAx>
        <c:axId val="62647264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4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 BEP OL'!$B$142</c:f>
              <c:strCache>
                <c:ptCount val="1"/>
                <c:pt idx="0">
                  <c:v> ROA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 BEP OL'!$J$141:$N$141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 BEP OL'!$J$142:$N$142</c:f>
              <c:numCache>
                <c:formatCode>0.00%</c:formatCode>
                <c:ptCount val="5"/>
                <c:pt idx="0">
                  <c:v>0.1473480947705576</c:v>
                </c:pt>
                <c:pt idx="1">
                  <c:v>0.14409291376676642</c:v>
                </c:pt>
                <c:pt idx="2">
                  <c:v>0.15528678148152417</c:v>
                </c:pt>
                <c:pt idx="3">
                  <c:v>0.21117819305051688</c:v>
                </c:pt>
                <c:pt idx="4">
                  <c:v>0.20480182236005631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D-4423-9682-1E1C6F8DE6EE}"/>
            </c:ext>
          </c:extLst>
        </c:ser>
        <c:ser>
          <c:idx val="1"/>
          <c:order val="1"/>
          <c:tx>
            <c:strRef>
              <c:f>'3 Statement Model BEP OL'!$B$143</c:f>
              <c:strCache>
                <c:ptCount val="1"/>
                <c:pt idx="0">
                  <c:v> ROE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 BEP OL'!$J$141:$N$141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 BEP OL'!$J$143:$N$143</c:f>
              <c:numCache>
                <c:formatCode>0.00%</c:formatCode>
                <c:ptCount val="5"/>
                <c:pt idx="0">
                  <c:v>0.11899582319098369</c:v>
                </c:pt>
                <c:pt idx="1">
                  <c:v>0.11499873935185279</c:v>
                </c:pt>
                <c:pt idx="2">
                  <c:v>0.11662278957143994</c:v>
                </c:pt>
                <c:pt idx="3">
                  <c:v>0.16128047650525304</c:v>
                </c:pt>
                <c:pt idx="4">
                  <c:v>0.15502684921835269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D-4423-9682-1E1C6F8D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80703"/>
        <c:axId val="1580437007"/>
      </c:lineChart>
      <c:catAx>
        <c:axId val="1582480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37007"/>
        <c:crosses val="autoZero"/>
        <c:auto val="1"/>
        <c:lblAlgn val="ctr"/>
        <c:lblOffset val="100"/>
        <c:noMultiLvlLbl val="0"/>
      </c:catAx>
      <c:valAx>
        <c:axId val="1580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 BEP OL'!$B$145</c:f>
              <c:strCache>
                <c:ptCount val="1"/>
                <c:pt idx="0">
                  <c:v> Liquidity: Current ratio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Statement Model BEP OL'!$J$144:$N$144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 BEP OL'!$J$145:$N$145</c:f>
              <c:numCache>
                <c:formatCode>_-* #,##0_-;\(#,##0\)_-;_-* "-"_-;_-@_-</c:formatCode>
                <c:ptCount val="5"/>
                <c:pt idx="0">
                  <c:v>47.517456519856502</c:v>
                </c:pt>
                <c:pt idx="1">
                  <c:v>52.422910317534019</c:v>
                </c:pt>
                <c:pt idx="2">
                  <c:v>53.718461013956976</c:v>
                </c:pt>
                <c:pt idx="3">
                  <c:v>36.730806702542218</c:v>
                </c:pt>
                <c:pt idx="4">
                  <c:v>44.290252999144862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42B5-AC97-CAADEA20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041359"/>
        <c:axId val="1580455727"/>
      </c:lineChart>
      <c:catAx>
        <c:axId val="16770413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5727"/>
        <c:crosses val="autoZero"/>
        <c:auto val="1"/>
        <c:lblAlgn val="ctr"/>
        <c:lblOffset val="100"/>
        <c:noMultiLvlLbl val="0"/>
      </c:catAx>
      <c:valAx>
        <c:axId val="15804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 BEP OL'!$B$147</c:f>
              <c:strCache>
                <c:ptCount val="1"/>
                <c:pt idx="0">
                  <c:v> Profitability: Gross Profit Margin 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OL'!$J$147:$N$147</c:f>
              <c:numCache>
                <c:formatCode>0.0%</c:formatCode>
                <c:ptCount val="5"/>
                <c:pt idx="0">
                  <c:v>0.63000000000000012</c:v>
                </c:pt>
                <c:pt idx="1">
                  <c:v>0.63</c:v>
                </c:pt>
                <c:pt idx="2">
                  <c:v>0.64</c:v>
                </c:pt>
                <c:pt idx="3">
                  <c:v>0.64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A-4428-A6ED-EB6E211949F5}"/>
            </c:ext>
          </c:extLst>
        </c:ser>
        <c:ser>
          <c:idx val="1"/>
          <c:order val="1"/>
          <c:tx>
            <c:strRef>
              <c:f>'3 Statement Model BEP OL'!$B$148</c:f>
              <c:strCache>
                <c:ptCount val="1"/>
                <c:pt idx="0">
                  <c:v> Profitability: Operating profit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OL'!$J$148:$N$148</c:f>
              <c:numCache>
                <c:formatCode>0.0%</c:formatCode>
                <c:ptCount val="5"/>
                <c:pt idx="0">
                  <c:v>0.31411199250081812</c:v>
                </c:pt>
                <c:pt idx="1">
                  <c:v>0.32773518386062661</c:v>
                </c:pt>
                <c:pt idx="2">
                  <c:v>0.3609968943237859</c:v>
                </c:pt>
                <c:pt idx="3">
                  <c:v>0.34348347122989376</c:v>
                </c:pt>
                <c:pt idx="4">
                  <c:v>0.37913435367033943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A-4428-A6ED-EB6E2119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27503"/>
        <c:axId val="1580456975"/>
      </c:lineChart>
      <c:catAx>
        <c:axId val="16788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6975"/>
        <c:crosses val="autoZero"/>
        <c:auto val="1"/>
        <c:lblAlgn val="ctr"/>
        <c:lblOffset val="100"/>
        <c:noMultiLvlLbl val="0"/>
      </c:catAx>
      <c:valAx>
        <c:axId val="15804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 BEP OL'!$B$150</c:f>
              <c:strCache>
                <c:ptCount val="1"/>
                <c:pt idx="0">
                  <c:v> Activity ratios: Total Asset Turnover ratio 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OL'!$J$150:$N$150</c:f>
              <c:numCache>
                <c:formatCode>0.00%</c:formatCode>
                <c:ptCount val="5"/>
                <c:pt idx="0">
                  <c:v>0.47774063601900046</c:v>
                </c:pt>
                <c:pt idx="1">
                  <c:v>0.44708397147879714</c:v>
                </c:pt>
                <c:pt idx="2">
                  <c:v>0.43648583045949108</c:v>
                </c:pt>
                <c:pt idx="3">
                  <c:v>0.61784361946513999</c:v>
                </c:pt>
                <c:pt idx="4">
                  <c:v>0.54252321253183744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2-424D-A2EF-F96EA344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93215"/>
        <c:axId val="1580440335"/>
      </c:lineChart>
      <c:catAx>
        <c:axId val="167609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40335"/>
        <c:crosses val="autoZero"/>
        <c:auto val="1"/>
        <c:lblAlgn val="ctr"/>
        <c:lblOffset val="100"/>
        <c:noMultiLvlLbl val="0"/>
      </c:catAx>
      <c:valAx>
        <c:axId val="15804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492563429571"/>
          <c:y val="2.5428331875182269E-2"/>
          <c:w val="0.88390507436570431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'3 Statement Model BEP OL'!$B$152</c:f>
              <c:strCache>
                <c:ptCount val="1"/>
                <c:pt idx="0">
                  <c:v> Financial Leverage ratios: Total Debt to Assets ratio 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OL'!$J$152:$N$152</c:f>
              <c:numCache>
                <c:formatCode>0.00%</c:formatCode>
                <c:ptCount val="5"/>
                <c:pt idx="0">
                  <c:v>0.10845082297947456</c:v>
                </c:pt>
                <c:pt idx="1">
                  <c:v>9.784317204864805E-2</c:v>
                </c:pt>
                <c:pt idx="2">
                  <c:v>4.1298162412692019E-2</c:v>
                </c:pt>
                <c:pt idx="3">
                  <c:v>5.7242994991896737E-2</c:v>
                </c:pt>
                <c:pt idx="4">
                  <c:v>4.8827265452906186E-2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3-4CBE-824A-062A7A77BC75}"/>
            </c:ext>
          </c:extLst>
        </c:ser>
        <c:ser>
          <c:idx val="1"/>
          <c:order val="1"/>
          <c:tx>
            <c:strRef>
              <c:f>'3 Statement Model BEP OL'!$B$153</c:f>
              <c:strCache>
                <c:ptCount val="1"/>
                <c:pt idx="0">
                  <c:v> Financial Leverage ratios: Debt-to-equity ratio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OL'!$J$153:$N$153</c:f>
              <c:numCache>
                <c:formatCode>0.00%</c:formatCode>
                <c:ptCount val="5"/>
                <c:pt idx="0">
                  <c:v>0.12164311938675906</c:v>
                </c:pt>
                <c:pt idx="1">
                  <c:v>0.10845472651449484</c:v>
                </c:pt>
                <c:pt idx="2">
                  <c:v>4.3077170391812296E-2</c:v>
                </c:pt>
                <c:pt idx="3">
                  <c:v>6.0718716156773302E-2</c:v>
                </c:pt>
                <c:pt idx="4">
                  <c:v>5.1333752198180448E-2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3-4CBE-824A-062A7A77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86191"/>
        <c:axId val="1580456143"/>
      </c:lineChart>
      <c:catAx>
        <c:axId val="167608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6143"/>
        <c:crosses val="autoZero"/>
        <c:auto val="1"/>
        <c:lblAlgn val="ctr"/>
        <c:lblOffset val="100"/>
        <c:noMultiLvlLbl val="0"/>
      </c:catAx>
      <c:valAx>
        <c:axId val="15804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</a:t>
            </a:r>
            <a:r>
              <a:rPr lang="en-US" baseline="0"/>
              <a:t> AND OL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 Statement Model BEP OL'!$D$258:$D$286</c:f>
              <c:numCache>
                <c:formatCode>_-* #,##0_-;\(#,##0\)_-;_-* "-"_-;_-@_-</c:formatCode>
                <c:ptCount val="29"/>
                <c:pt idx="0">
                  <c:v>770</c:v>
                </c:pt>
                <c:pt idx="1">
                  <c:v>790</c:v>
                </c:pt>
                <c:pt idx="2">
                  <c:v>810</c:v>
                </c:pt>
                <c:pt idx="3">
                  <c:v>830</c:v>
                </c:pt>
                <c:pt idx="4">
                  <c:v>850</c:v>
                </c:pt>
                <c:pt idx="5">
                  <c:v>870</c:v>
                </c:pt>
                <c:pt idx="6">
                  <c:v>890</c:v>
                </c:pt>
                <c:pt idx="7">
                  <c:v>910</c:v>
                </c:pt>
                <c:pt idx="8">
                  <c:v>930</c:v>
                </c:pt>
                <c:pt idx="9">
                  <c:v>950</c:v>
                </c:pt>
                <c:pt idx="10">
                  <c:v>970</c:v>
                </c:pt>
                <c:pt idx="11">
                  <c:v>990</c:v>
                </c:pt>
                <c:pt idx="12">
                  <c:v>1010</c:v>
                </c:pt>
                <c:pt idx="13">
                  <c:v>1030</c:v>
                </c:pt>
                <c:pt idx="14">
                  <c:v>1050</c:v>
                </c:pt>
                <c:pt idx="15">
                  <c:v>1070</c:v>
                </c:pt>
                <c:pt idx="16">
                  <c:v>1090</c:v>
                </c:pt>
                <c:pt idx="17">
                  <c:v>1110</c:v>
                </c:pt>
                <c:pt idx="18">
                  <c:v>1130</c:v>
                </c:pt>
                <c:pt idx="19">
                  <c:v>1150</c:v>
                </c:pt>
                <c:pt idx="20">
                  <c:v>1170</c:v>
                </c:pt>
                <c:pt idx="21">
                  <c:v>1190</c:v>
                </c:pt>
                <c:pt idx="22">
                  <c:v>1210</c:v>
                </c:pt>
                <c:pt idx="23">
                  <c:v>1230</c:v>
                </c:pt>
                <c:pt idx="24">
                  <c:v>1250</c:v>
                </c:pt>
                <c:pt idx="25">
                  <c:v>1270</c:v>
                </c:pt>
                <c:pt idx="26">
                  <c:v>1290</c:v>
                </c:pt>
                <c:pt idx="27">
                  <c:v>1310</c:v>
                </c:pt>
                <c:pt idx="28">
                  <c:v>1330</c:v>
                </c:pt>
              </c:numCache>
            </c:numRef>
          </c:xVal>
          <c:yVal>
            <c:numRef>
              <c:f>'3 Statement Model BEP OL'!$E$258:$E$286</c:f>
              <c:numCache>
                <c:formatCode>_-* #,##0.0_-;\(#,##0.0\)_-;_-* "-"_-;_-@_-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9-4C19-A15F-A8067465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88655"/>
        <c:axId val="1444287823"/>
      </c:scatterChart>
      <c:valAx>
        <c:axId val="1444288655"/>
        <c:scaling>
          <c:orientation val="minMax"/>
          <c:min val="7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87823"/>
        <c:crosses val="autoZero"/>
        <c:crossBetween val="midCat"/>
      </c:valAx>
      <c:valAx>
        <c:axId val="14442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.0_-;\(#,##0.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8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</a:t>
            </a:r>
            <a:r>
              <a:rPr lang="en-US" baseline="0"/>
              <a:t> OL 903 BEP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'3 Statement Model BEP OL'!$D$337:$D$365</c:f>
              <c:numCache>
                <c:formatCode>_-* #,##0_-;\(#,##0\)_-;_-* "-"_-;_-@_-</c:formatCode>
                <c:ptCount val="29"/>
                <c:pt idx="0">
                  <c:v>770</c:v>
                </c:pt>
                <c:pt idx="1">
                  <c:v>820</c:v>
                </c:pt>
                <c:pt idx="2">
                  <c:v>870</c:v>
                </c:pt>
                <c:pt idx="3">
                  <c:v>920</c:v>
                </c:pt>
                <c:pt idx="4">
                  <c:v>970</c:v>
                </c:pt>
                <c:pt idx="5">
                  <c:v>1020</c:v>
                </c:pt>
                <c:pt idx="6">
                  <c:v>1070</c:v>
                </c:pt>
                <c:pt idx="7">
                  <c:v>1120</c:v>
                </c:pt>
                <c:pt idx="8">
                  <c:v>1170</c:v>
                </c:pt>
                <c:pt idx="9">
                  <c:v>1220</c:v>
                </c:pt>
                <c:pt idx="10">
                  <c:v>1270</c:v>
                </c:pt>
                <c:pt idx="11">
                  <c:v>1320</c:v>
                </c:pt>
                <c:pt idx="12">
                  <c:v>1370</c:v>
                </c:pt>
                <c:pt idx="13">
                  <c:v>1420</c:v>
                </c:pt>
                <c:pt idx="14">
                  <c:v>1470</c:v>
                </c:pt>
                <c:pt idx="15">
                  <c:v>1520</c:v>
                </c:pt>
                <c:pt idx="16">
                  <c:v>1570</c:v>
                </c:pt>
                <c:pt idx="17">
                  <c:v>1620</c:v>
                </c:pt>
                <c:pt idx="18">
                  <c:v>1670</c:v>
                </c:pt>
                <c:pt idx="19">
                  <c:v>1720</c:v>
                </c:pt>
                <c:pt idx="20">
                  <c:v>1770</c:v>
                </c:pt>
                <c:pt idx="21">
                  <c:v>1820</c:v>
                </c:pt>
                <c:pt idx="22">
                  <c:v>1870</c:v>
                </c:pt>
                <c:pt idx="23">
                  <c:v>1920</c:v>
                </c:pt>
                <c:pt idx="24">
                  <c:v>1970</c:v>
                </c:pt>
                <c:pt idx="25">
                  <c:v>2020</c:v>
                </c:pt>
                <c:pt idx="26">
                  <c:v>2070</c:v>
                </c:pt>
                <c:pt idx="27">
                  <c:v>2120</c:v>
                </c:pt>
                <c:pt idx="28">
                  <c:v>2170</c:v>
                </c:pt>
              </c:numCache>
            </c:numRef>
          </c:xVal>
          <c:yVal>
            <c:numRef>
              <c:f>'3 Statement Model BEP OL'!$E$337:$E$365</c:f>
              <c:numCache>
                <c:formatCode>_-* #,##0.0_-;\(#,##0.0\)_-;_-* "-"_-;_-@_-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D-4F61-B2F6-F9C5BC55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15695"/>
        <c:axId val="1533313615"/>
      </c:scatterChart>
      <c:valAx>
        <c:axId val="153331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13615"/>
        <c:crosses val="autoZero"/>
        <c:crossBetween val="midCat"/>
      </c:valAx>
      <c:valAx>
        <c:axId val="15333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(#,##0.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1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</a:t>
            </a:r>
            <a:r>
              <a:rPr lang="en-US" baseline="0"/>
              <a:t> OL 1014 BEP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'3 Statement Model BEP OL'!$D$337:$D$365</c:f>
              <c:numCache>
                <c:formatCode>_-* #,##0_-;\(#,##0\)_-;_-* "-"_-;_-@_-</c:formatCode>
                <c:ptCount val="29"/>
                <c:pt idx="0">
                  <c:v>770</c:v>
                </c:pt>
                <c:pt idx="1">
                  <c:v>820</c:v>
                </c:pt>
                <c:pt idx="2">
                  <c:v>870</c:v>
                </c:pt>
                <c:pt idx="3">
                  <c:v>920</c:v>
                </c:pt>
                <c:pt idx="4">
                  <c:v>970</c:v>
                </c:pt>
                <c:pt idx="5">
                  <c:v>1020</c:v>
                </c:pt>
                <c:pt idx="6">
                  <c:v>1070</c:v>
                </c:pt>
                <c:pt idx="7">
                  <c:v>1120</c:v>
                </c:pt>
                <c:pt idx="8">
                  <c:v>1170</c:v>
                </c:pt>
                <c:pt idx="9">
                  <c:v>1220</c:v>
                </c:pt>
                <c:pt idx="10">
                  <c:v>1270</c:v>
                </c:pt>
                <c:pt idx="11">
                  <c:v>1320</c:v>
                </c:pt>
                <c:pt idx="12">
                  <c:v>1370</c:v>
                </c:pt>
                <c:pt idx="13">
                  <c:v>1420</c:v>
                </c:pt>
                <c:pt idx="14">
                  <c:v>1470</c:v>
                </c:pt>
                <c:pt idx="15">
                  <c:v>1520</c:v>
                </c:pt>
                <c:pt idx="16">
                  <c:v>1570</c:v>
                </c:pt>
                <c:pt idx="17">
                  <c:v>1620</c:v>
                </c:pt>
                <c:pt idx="18">
                  <c:v>1670</c:v>
                </c:pt>
                <c:pt idx="19">
                  <c:v>1720</c:v>
                </c:pt>
                <c:pt idx="20">
                  <c:v>1770</c:v>
                </c:pt>
                <c:pt idx="21">
                  <c:v>1820</c:v>
                </c:pt>
                <c:pt idx="22">
                  <c:v>1870</c:v>
                </c:pt>
                <c:pt idx="23">
                  <c:v>1920</c:v>
                </c:pt>
                <c:pt idx="24">
                  <c:v>1970</c:v>
                </c:pt>
                <c:pt idx="25">
                  <c:v>2020</c:v>
                </c:pt>
                <c:pt idx="26">
                  <c:v>2070</c:v>
                </c:pt>
                <c:pt idx="27">
                  <c:v>2120</c:v>
                </c:pt>
                <c:pt idx="28">
                  <c:v>2170</c:v>
                </c:pt>
              </c:numCache>
            </c:numRef>
          </c:xVal>
          <c:yVal>
            <c:numRef>
              <c:f>'3 Statement Model BEP OL'!$F$337:$F$365</c:f>
              <c:numCache>
                <c:formatCode>_-* #,##0.0_-;\(#,##0.0\)_-;_-* "-"_-;_-@_-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A-432C-8D57-4FEE32E0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15695"/>
        <c:axId val="1533313615"/>
      </c:scatterChart>
      <c:valAx>
        <c:axId val="153331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13615"/>
        <c:crosses val="autoZero"/>
        <c:crossBetween val="midCat"/>
      </c:valAx>
      <c:valAx>
        <c:axId val="15333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(#,##0.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1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</a:t>
            </a:r>
            <a:r>
              <a:rPr lang="en-US" baseline="0"/>
              <a:t> OL 1014 BEP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 Statement Model BEP OL'!$D$337:$D$365</c:f>
              <c:numCache>
                <c:formatCode>_-* #,##0_-;\(#,##0\)_-;_-* "-"_-;_-@_-</c:formatCode>
                <c:ptCount val="29"/>
                <c:pt idx="0">
                  <c:v>770</c:v>
                </c:pt>
                <c:pt idx="1">
                  <c:v>820</c:v>
                </c:pt>
                <c:pt idx="2">
                  <c:v>870</c:v>
                </c:pt>
                <c:pt idx="3">
                  <c:v>920</c:v>
                </c:pt>
                <c:pt idx="4">
                  <c:v>970</c:v>
                </c:pt>
                <c:pt idx="5">
                  <c:v>1020</c:v>
                </c:pt>
                <c:pt idx="6">
                  <c:v>1070</c:v>
                </c:pt>
                <c:pt idx="7">
                  <c:v>1120</c:v>
                </c:pt>
                <c:pt idx="8">
                  <c:v>1170</c:v>
                </c:pt>
                <c:pt idx="9">
                  <c:v>1220</c:v>
                </c:pt>
                <c:pt idx="10">
                  <c:v>1270</c:v>
                </c:pt>
                <c:pt idx="11">
                  <c:v>1320</c:v>
                </c:pt>
                <c:pt idx="12">
                  <c:v>1370</c:v>
                </c:pt>
                <c:pt idx="13">
                  <c:v>1420</c:v>
                </c:pt>
                <c:pt idx="14">
                  <c:v>1470</c:v>
                </c:pt>
                <c:pt idx="15">
                  <c:v>1520</c:v>
                </c:pt>
                <c:pt idx="16">
                  <c:v>1570</c:v>
                </c:pt>
                <c:pt idx="17">
                  <c:v>1620</c:v>
                </c:pt>
                <c:pt idx="18">
                  <c:v>1670</c:v>
                </c:pt>
                <c:pt idx="19">
                  <c:v>1720</c:v>
                </c:pt>
                <c:pt idx="20">
                  <c:v>1770</c:v>
                </c:pt>
                <c:pt idx="21">
                  <c:v>1820</c:v>
                </c:pt>
                <c:pt idx="22">
                  <c:v>1870</c:v>
                </c:pt>
                <c:pt idx="23">
                  <c:v>1920</c:v>
                </c:pt>
                <c:pt idx="24">
                  <c:v>1970</c:v>
                </c:pt>
                <c:pt idx="25">
                  <c:v>2020</c:v>
                </c:pt>
                <c:pt idx="26">
                  <c:v>2070</c:v>
                </c:pt>
                <c:pt idx="27">
                  <c:v>2120</c:v>
                </c:pt>
                <c:pt idx="28">
                  <c:v>2170</c:v>
                </c:pt>
              </c:numCache>
            </c:numRef>
          </c:xVal>
          <c:yVal>
            <c:numRef>
              <c:f>'3 Statement Model BEP OL'!$G$337:$G$365</c:f>
              <c:numCache>
                <c:formatCode>_-* #,##0.0_-;\(#,##0.0\)_-;_-* "-"_-;_-@_-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3-4216-BB59-E8E64D0E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15695"/>
        <c:axId val="1533313615"/>
      </c:scatterChart>
      <c:valAx>
        <c:axId val="153331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13615"/>
        <c:crosses val="autoZero"/>
        <c:crossBetween val="midCat"/>
      </c:valAx>
      <c:valAx>
        <c:axId val="15333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(#,##0.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1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Cash Flows (2012</a:t>
            </a:r>
            <a:r>
              <a:rPr lang="en-US" baseline="0"/>
              <a:t> - 2016)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Operating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Model'!$E$125:$I$125</c:f>
            </c:numRef>
          </c:val>
          <c:extLst>
            <c:ext xmlns:c16="http://schemas.microsoft.com/office/drawing/2014/chart" uri="{C3380CC4-5D6E-409C-BE32-E72D297353CC}">
              <c16:uniqueId val="{00000001-ED19-47B2-8DCB-DE13557F6C58}"/>
            </c:ext>
          </c:extLst>
        </c:ser>
        <c:ser>
          <c:idx val="2"/>
          <c:order val="1"/>
          <c:tx>
            <c:v>Investing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Model'!$E$126:$I$126</c:f>
            </c:numRef>
          </c:val>
          <c:extLst>
            <c:ext xmlns:c16="http://schemas.microsoft.com/office/drawing/2014/chart" uri="{C3380CC4-5D6E-409C-BE32-E72D297353CC}">
              <c16:uniqueId val="{00000002-ED19-47B2-8DCB-DE13557F6C58}"/>
            </c:ext>
          </c:extLst>
        </c:ser>
        <c:ser>
          <c:idx val="3"/>
          <c:order val="2"/>
          <c:tx>
            <c:v>FInancing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Model'!$E$127:$I$127</c:f>
            </c:numRef>
          </c:val>
          <c:extLst>
            <c:ext xmlns:c16="http://schemas.microsoft.com/office/drawing/2014/chart" uri="{C3380CC4-5D6E-409C-BE32-E72D297353CC}">
              <c16:uniqueId val="{00000003-ED19-47B2-8DCB-DE13557F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556256"/>
        <c:axId val="626558224"/>
      </c:barChart>
      <c:catAx>
        <c:axId val="6265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558224"/>
        <c:crosses val="autoZero"/>
        <c:auto val="1"/>
        <c:lblAlgn val="ctr"/>
        <c:lblOffset val="100"/>
        <c:noMultiLvlLbl val="0"/>
      </c:catAx>
      <c:valAx>
        <c:axId val="62655822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5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Model'!$B$142</c:f>
              <c:strCache>
                <c:ptCount val="1"/>
                <c:pt idx="0">
                  <c:v> ROA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Model'!$J$142:$N$142</c:f>
              <c:numCache>
                <c:formatCode>0.00%</c:formatCode>
                <c:ptCount val="5"/>
                <c:pt idx="0">
                  <c:v>0.1473480947705576</c:v>
                </c:pt>
                <c:pt idx="1">
                  <c:v>0.14409291376676642</c:v>
                </c:pt>
                <c:pt idx="2">
                  <c:v>0.15528678148152417</c:v>
                </c:pt>
                <c:pt idx="3">
                  <c:v>0.21117819305051688</c:v>
                </c:pt>
                <c:pt idx="4">
                  <c:v>0.20480182236005631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A-4A45-9655-786572AF12B6}"/>
            </c:ext>
          </c:extLst>
        </c:ser>
        <c:ser>
          <c:idx val="1"/>
          <c:order val="1"/>
          <c:tx>
            <c:strRef>
              <c:f>'3 Statement Model'!$B$143</c:f>
              <c:strCache>
                <c:ptCount val="1"/>
                <c:pt idx="0">
                  <c:v> ROE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Model'!$J$143:$N$143</c:f>
              <c:numCache>
                <c:formatCode>0.00%</c:formatCode>
                <c:ptCount val="5"/>
                <c:pt idx="0">
                  <c:v>0.11899582319098369</c:v>
                </c:pt>
                <c:pt idx="1">
                  <c:v>0.11499873935185279</c:v>
                </c:pt>
                <c:pt idx="2">
                  <c:v>0.11662278957143994</c:v>
                </c:pt>
                <c:pt idx="3">
                  <c:v>0.16128047650525304</c:v>
                </c:pt>
                <c:pt idx="4">
                  <c:v>0.15502684921835269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A-4A45-9655-786572AF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80703"/>
        <c:axId val="1580437007"/>
      </c:lineChart>
      <c:catAx>
        <c:axId val="1582480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37007"/>
        <c:crosses val="autoZero"/>
        <c:auto val="1"/>
        <c:lblAlgn val="ctr"/>
        <c:lblOffset val="100"/>
        <c:noMultiLvlLbl val="0"/>
      </c:catAx>
      <c:valAx>
        <c:axId val="1580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Model'!$B$145</c:f>
              <c:strCache>
                <c:ptCount val="1"/>
                <c:pt idx="0">
                  <c:v> Liquidity: Current ratio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Model'!$J$144:$N$144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Model'!$J$145:$N$145</c:f>
              <c:numCache>
                <c:formatCode>_-* #,##0_-;\(#,##0\)_-;_-* "-"_-;_-@_-</c:formatCode>
                <c:ptCount val="5"/>
                <c:pt idx="0">
                  <c:v>47.517456519856502</c:v>
                </c:pt>
                <c:pt idx="1">
                  <c:v>52.422910317534019</c:v>
                </c:pt>
                <c:pt idx="2">
                  <c:v>53.718461013956976</c:v>
                </c:pt>
                <c:pt idx="3">
                  <c:v>36.730806702542218</c:v>
                </c:pt>
                <c:pt idx="4">
                  <c:v>44.290252999144862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2-4639-9E52-132BFCD1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041359"/>
        <c:axId val="1580455727"/>
      </c:lineChart>
      <c:catAx>
        <c:axId val="16770413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5727"/>
        <c:crosses val="autoZero"/>
        <c:auto val="1"/>
        <c:lblAlgn val="ctr"/>
        <c:lblOffset val="100"/>
        <c:noMultiLvlLbl val="0"/>
      </c:catAx>
      <c:valAx>
        <c:axId val="15804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Model'!$B$147</c:f>
              <c:strCache>
                <c:ptCount val="1"/>
                <c:pt idx="0">
                  <c:v> Profitability: Gross Profit Margin 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Model'!$J$147:$N$147</c:f>
              <c:numCache>
                <c:formatCode>0.0%</c:formatCode>
                <c:ptCount val="5"/>
                <c:pt idx="0">
                  <c:v>0.63000000000000012</c:v>
                </c:pt>
                <c:pt idx="1">
                  <c:v>0.63</c:v>
                </c:pt>
                <c:pt idx="2">
                  <c:v>0.64</c:v>
                </c:pt>
                <c:pt idx="3">
                  <c:v>0.64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7-4630-BFE3-EF325F002AB5}"/>
            </c:ext>
          </c:extLst>
        </c:ser>
        <c:ser>
          <c:idx val="1"/>
          <c:order val="1"/>
          <c:tx>
            <c:strRef>
              <c:f>'3 Statement Model'!$B$148</c:f>
              <c:strCache>
                <c:ptCount val="1"/>
                <c:pt idx="0">
                  <c:v> Profitability: Operating profit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Model'!$J$148:$N$148</c:f>
              <c:numCache>
                <c:formatCode>0.0%</c:formatCode>
                <c:ptCount val="5"/>
                <c:pt idx="0">
                  <c:v>0.31411199250081812</c:v>
                </c:pt>
                <c:pt idx="1">
                  <c:v>0.32773518386062661</c:v>
                </c:pt>
                <c:pt idx="2">
                  <c:v>0.3609968943237859</c:v>
                </c:pt>
                <c:pt idx="3">
                  <c:v>0.34348347122989376</c:v>
                </c:pt>
                <c:pt idx="4">
                  <c:v>0.37913435367033943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7-4630-BFE3-EF325F00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27503"/>
        <c:axId val="1580456975"/>
      </c:lineChart>
      <c:catAx>
        <c:axId val="16788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6975"/>
        <c:crosses val="autoZero"/>
        <c:auto val="1"/>
        <c:lblAlgn val="ctr"/>
        <c:lblOffset val="100"/>
        <c:noMultiLvlLbl val="0"/>
      </c:catAx>
      <c:valAx>
        <c:axId val="15804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Model'!$B$150</c:f>
              <c:strCache>
                <c:ptCount val="1"/>
                <c:pt idx="0">
                  <c:v> Activity ratios: Total Asset Turnover ratio 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Model'!$J$150:$N$150</c:f>
              <c:numCache>
                <c:formatCode>0.00%</c:formatCode>
                <c:ptCount val="5"/>
                <c:pt idx="0">
                  <c:v>0.47774063601900046</c:v>
                </c:pt>
                <c:pt idx="1">
                  <c:v>0.44708397147879714</c:v>
                </c:pt>
                <c:pt idx="2">
                  <c:v>0.43648583045949108</c:v>
                </c:pt>
                <c:pt idx="3">
                  <c:v>0.61784361946513999</c:v>
                </c:pt>
                <c:pt idx="4">
                  <c:v>0.54252321253183744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E-4F34-916B-59A66978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93215"/>
        <c:axId val="1580440335"/>
      </c:lineChart>
      <c:catAx>
        <c:axId val="167609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40335"/>
        <c:crosses val="autoZero"/>
        <c:auto val="1"/>
        <c:lblAlgn val="ctr"/>
        <c:lblOffset val="100"/>
        <c:noMultiLvlLbl val="0"/>
      </c:catAx>
      <c:valAx>
        <c:axId val="15804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492563429571"/>
          <c:y val="2.5428331875182269E-2"/>
          <c:w val="0.88390507436570431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'3 Statement Model'!$B$152</c:f>
              <c:strCache>
                <c:ptCount val="1"/>
                <c:pt idx="0">
                  <c:v> Financial Leverage ratios: Total Debt to Assets ratio 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Model'!$J$152:$N$152</c:f>
              <c:numCache>
                <c:formatCode>0.00%</c:formatCode>
                <c:ptCount val="5"/>
                <c:pt idx="0">
                  <c:v>0.10845082297947456</c:v>
                </c:pt>
                <c:pt idx="1">
                  <c:v>9.784317204864805E-2</c:v>
                </c:pt>
                <c:pt idx="2">
                  <c:v>4.1298162412692019E-2</c:v>
                </c:pt>
                <c:pt idx="3">
                  <c:v>5.7242994991896737E-2</c:v>
                </c:pt>
                <c:pt idx="4">
                  <c:v>4.8827265452906186E-2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9-42DA-8D53-575FF8511484}"/>
            </c:ext>
          </c:extLst>
        </c:ser>
        <c:ser>
          <c:idx val="1"/>
          <c:order val="1"/>
          <c:tx>
            <c:strRef>
              <c:f>'3 Statement Model'!$B$153</c:f>
              <c:strCache>
                <c:ptCount val="1"/>
                <c:pt idx="0">
                  <c:v> Financial Leverage ratios: Debt-to-equity ratio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Model'!$J$153:$N$153</c:f>
              <c:numCache>
                <c:formatCode>0.00%</c:formatCode>
                <c:ptCount val="5"/>
                <c:pt idx="0">
                  <c:v>0.12164311938675906</c:v>
                </c:pt>
                <c:pt idx="1">
                  <c:v>0.10845472651449484</c:v>
                </c:pt>
                <c:pt idx="2">
                  <c:v>4.3077170391812296E-2</c:v>
                </c:pt>
                <c:pt idx="3">
                  <c:v>6.0718716156773302E-2</c:v>
                </c:pt>
                <c:pt idx="4">
                  <c:v>5.1333752198180448E-2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9-42DA-8D53-575FF851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86191"/>
        <c:axId val="1580456143"/>
      </c:lineChart>
      <c:catAx>
        <c:axId val="167608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6143"/>
        <c:crosses val="autoZero"/>
        <c:auto val="1"/>
        <c:lblAlgn val="ctr"/>
        <c:lblOffset val="100"/>
        <c:noMultiLvlLbl val="0"/>
      </c:catAx>
      <c:valAx>
        <c:axId val="15804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Earnings (2012 - 2016)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Statement Model'!$B$121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Model'!$E$121:$I$121</c:f>
            </c:numRef>
          </c:val>
          <c:extLst>
            <c:ext xmlns:c16="http://schemas.microsoft.com/office/drawing/2014/chart" uri="{C3380CC4-5D6E-409C-BE32-E72D297353CC}">
              <c16:uniqueId val="{00000000-1C40-4E2F-AEB4-11BED136A0DF}"/>
            </c:ext>
          </c:extLst>
        </c:ser>
        <c:ser>
          <c:idx val="2"/>
          <c:order val="1"/>
          <c:tx>
            <c:strRef>
              <c:f>'3 Statement Model'!$B$122</c:f>
              <c:strCache>
                <c:ptCount val="1"/>
                <c:pt idx="0">
                  <c:v> Gross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Model'!$E$122:$I$122</c:f>
            </c:numRef>
          </c:val>
          <c:extLst>
            <c:ext xmlns:c16="http://schemas.microsoft.com/office/drawing/2014/chart" uri="{C3380CC4-5D6E-409C-BE32-E72D297353CC}">
              <c16:uniqueId val="{00000001-1C40-4E2F-AEB4-11BED136A0DF}"/>
            </c:ext>
          </c:extLst>
        </c:ser>
        <c:ser>
          <c:idx val="1"/>
          <c:order val="2"/>
          <c:tx>
            <c:strRef>
              <c:f>'3 Statement Model'!$B$123</c:f>
              <c:strCache>
                <c:ptCount val="1"/>
                <c:pt idx="0">
                  <c:v> Earning Before Tax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Model'!$E$123:$I$123</c:f>
            </c:numRef>
          </c:val>
          <c:extLst>
            <c:ext xmlns:c16="http://schemas.microsoft.com/office/drawing/2014/chart" uri="{C3380CC4-5D6E-409C-BE32-E72D297353CC}">
              <c16:uniqueId val="{00000002-1C40-4E2F-AEB4-11BED136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26472968"/>
        <c:axId val="626472640"/>
      </c:barChart>
      <c:catAx>
        <c:axId val="6264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472640"/>
        <c:crosses val="autoZero"/>
        <c:auto val="1"/>
        <c:lblAlgn val="ctr"/>
        <c:lblOffset val="100"/>
        <c:noMultiLvlLbl val="0"/>
      </c:catAx>
      <c:valAx>
        <c:axId val="62647264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4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Cash Flows (2012</a:t>
            </a:r>
            <a:r>
              <a:rPr lang="en-US" baseline="0"/>
              <a:t> - 2016)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Operating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Model'!$E$125:$I$125</c:f>
            </c:numRef>
          </c:val>
          <c:extLst>
            <c:ext xmlns:c16="http://schemas.microsoft.com/office/drawing/2014/chart" uri="{C3380CC4-5D6E-409C-BE32-E72D297353CC}">
              <c16:uniqueId val="{00000000-FC35-472D-B591-756176069809}"/>
            </c:ext>
          </c:extLst>
        </c:ser>
        <c:ser>
          <c:idx val="2"/>
          <c:order val="1"/>
          <c:tx>
            <c:v>Investing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Model'!$E$126:$I$126</c:f>
            </c:numRef>
          </c:val>
          <c:extLst>
            <c:ext xmlns:c16="http://schemas.microsoft.com/office/drawing/2014/chart" uri="{C3380CC4-5D6E-409C-BE32-E72D297353CC}">
              <c16:uniqueId val="{00000001-FC35-472D-B591-756176069809}"/>
            </c:ext>
          </c:extLst>
        </c:ser>
        <c:ser>
          <c:idx val="3"/>
          <c:order val="2"/>
          <c:tx>
            <c:v>FInancing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Model'!$E$127:$I$127</c:f>
            </c:numRef>
          </c:val>
          <c:extLst>
            <c:ext xmlns:c16="http://schemas.microsoft.com/office/drawing/2014/chart" uri="{C3380CC4-5D6E-409C-BE32-E72D297353CC}">
              <c16:uniqueId val="{00000002-FC35-472D-B591-75617606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556256"/>
        <c:axId val="626558224"/>
      </c:barChart>
      <c:catAx>
        <c:axId val="6265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558224"/>
        <c:crosses val="autoZero"/>
        <c:auto val="1"/>
        <c:lblAlgn val="ctr"/>
        <c:lblOffset val="100"/>
        <c:noMultiLvlLbl val="0"/>
      </c:catAx>
      <c:valAx>
        <c:axId val="62655822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265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661827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4D837-0086-4E4A-AD43-BEF5E39F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131</xdr:row>
      <xdr:rowOff>129314</xdr:rowOff>
    </xdr:from>
    <xdr:to>
      <xdr:col>1</xdr:col>
      <xdr:colOff>783591</xdr:colOff>
      <xdr:row>135</xdr:row>
      <xdr:rowOff>144143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A38ED-D444-4428-97A3-A95D931AB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  <xdr:twoCellAnchor>
    <xdr:from>
      <xdr:col>1</xdr:col>
      <xdr:colOff>570970</xdr:colOff>
      <xdr:row>105</xdr:row>
      <xdr:rowOff>17991</xdr:rowOff>
    </xdr:from>
    <xdr:to>
      <xdr:col>6</xdr:col>
      <xdr:colOff>485245</xdr:colOff>
      <xdr:row>118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DDB5D-D4AE-44FC-9B12-4BEFFC57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42333</xdr:colOff>
      <xdr:row>105</xdr:row>
      <xdr:rowOff>17991</xdr:rowOff>
    </xdr:from>
    <xdr:to>
      <xdr:col>12</xdr:col>
      <xdr:colOff>413809</xdr:colOff>
      <xdr:row>118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461AB-D4AE-4C65-BA25-F86727E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201083</xdr:colOff>
      <xdr:row>154</xdr:row>
      <xdr:rowOff>0</xdr:rowOff>
    </xdr:from>
    <xdr:to>
      <xdr:col>7</xdr:col>
      <xdr:colOff>539749</xdr:colOff>
      <xdr:row>168</xdr:row>
      <xdr:rowOff>158749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34D50C-17FC-40CE-8BE6-87A2CB56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201084</xdr:colOff>
      <xdr:row>154</xdr:row>
      <xdr:rowOff>84666</xdr:rowOff>
    </xdr:from>
    <xdr:to>
      <xdr:col>14</xdr:col>
      <xdr:colOff>476250</xdr:colOff>
      <xdr:row>168</xdr:row>
      <xdr:rowOff>116417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56F510-45A5-46EC-B4A8-DA9239A01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169334</xdr:colOff>
      <xdr:row>171</xdr:row>
      <xdr:rowOff>10583</xdr:rowOff>
    </xdr:from>
    <xdr:to>
      <xdr:col>7</xdr:col>
      <xdr:colOff>497417</xdr:colOff>
      <xdr:row>187</xdr:row>
      <xdr:rowOff>74084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593D56-B045-441E-8F5D-419FABCD1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211666</xdr:colOff>
      <xdr:row>171</xdr:row>
      <xdr:rowOff>31751</xdr:rowOff>
    </xdr:from>
    <xdr:to>
      <xdr:col>14</xdr:col>
      <xdr:colOff>444500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FB9266-99A7-4848-A3EE-AFC01159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137583</xdr:colOff>
      <xdr:row>187</xdr:row>
      <xdr:rowOff>158749</xdr:rowOff>
    </xdr:from>
    <xdr:to>
      <xdr:col>12</xdr:col>
      <xdr:colOff>624416</xdr:colOff>
      <xdr:row>217</xdr:row>
      <xdr:rowOff>42334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9A21D-A623-42FE-B0CA-3824DAF2E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131</xdr:row>
      <xdr:rowOff>129314</xdr:rowOff>
    </xdr:from>
    <xdr:to>
      <xdr:col>1</xdr:col>
      <xdr:colOff>783591</xdr:colOff>
      <xdr:row>135</xdr:row>
      <xdr:rowOff>144144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93D3D9-691A-4E1E-B920-E87FECCDD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8026789"/>
          <a:ext cx="745490" cy="814929"/>
        </a:xfrm>
        <a:prstGeom prst="rect">
          <a:avLst/>
        </a:prstGeom>
      </xdr:spPr>
    </xdr:pic>
    <xdr:clientData/>
  </xdr:twoCellAnchor>
  <xdr:twoCellAnchor>
    <xdr:from>
      <xdr:col>1</xdr:col>
      <xdr:colOff>570970</xdr:colOff>
      <xdr:row>105</xdr:row>
      <xdr:rowOff>17991</xdr:rowOff>
    </xdr:from>
    <xdr:to>
      <xdr:col>6</xdr:col>
      <xdr:colOff>485245</xdr:colOff>
      <xdr:row>118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B0403-DF70-4162-947B-44E3BEBC7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42333</xdr:colOff>
      <xdr:row>105</xdr:row>
      <xdr:rowOff>17991</xdr:rowOff>
    </xdr:from>
    <xdr:to>
      <xdr:col>12</xdr:col>
      <xdr:colOff>413809</xdr:colOff>
      <xdr:row>118</xdr:row>
      <xdr:rowOff>165101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1C441-6C46-4AB5-83F3-25BF6E21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201083</xdr:colOff>
      <xdr:row>154</xdr:row>
      <xdr:rowOff>0</xdr:rowOff>
    </xdr:from>
    <xdr:to>
      <xdr:col>7</xdr:col>
      <xdr:colOff>539749</xdr:colOff>
      <xdr:row>168</xdr:row>
      <xdr:rowOff>158749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E9EC4-0D78-46F4-9854-8E88F0316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201084</xdr:colOff>
      <xdr:row>154</xdr:row>
      <xdr:rowOff>84666</xdr:rowOff>
    </xdr:from>
    <xdr:to>
      <xdr:col>14</xdr:col>
      <xdr:colOff>476250</xdr:colOff>
      <xdr:row>168</xdr:row>
      <xdr:rowOff>116417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6BECD4-B9D1-44A5-B21A-D00332B9E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169334</xdr:colOff>
      <xdr:row>171</xdr:row>
      <xdr:rowOff>10583</xdr:rowOff>
    </xdr:from>
    <xdr:to>
      <xdr:col>7</xdr:col>
      <xdr:colOff>497417</xdr:colOff>
      <xdr:row>187</xdr:row>
      <xdr:rowOff>74084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1C396-5EC8-47E5-89C0-FA90AF13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211666</xdr:colOff>
      <xdr:row>171</xdr:row>
      <xdr:rowOff>31751</xdr:rowOff>
    </xdr:from>
    <xdr:to>
      <xdr:col>14</xdr:col>
      <xdr:colOff>444500</xdr:colOff>
      <xdr:row>187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F0D7FD-28B8-4C78-97CE-C9723C3F6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137583</xdr:colOff>
      <xdr:row>187</xdr:row>
      <xdr:rowOff>158749</xdr:rowOff>
    </xdr:from>
    <xdr:to>
      <xdr:col>12</xdr:col>
      <xdr:colOff>624416</xdr:colOff>
      <xdr:row>217</xdr:row>
      <xdr:rowOff>42334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44436-ABFA-4933-99E2-1FFEE9D0D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508000</xdr:colOff>
      <xdr:row>252</xdr:row>
      <xdr:rowOff>127001</xdr:rowOff>
    </xdr:from>
    <xdr:to>
      <xdr:col>24</xdr:col>
      <xdr:colOff>10584</xdr:colOff>
      <xdr:row>284</xdr:row>
      <xdr:rowOff>95251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51F5A6-F277-4FA5-A541-8880810B6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285749</xdr:colOff>
      <xdr:row>331</xdr:row>
      <xdr:rowOff>21166</xdr:rowOff>
    </xdr:from>
    <xdr:to>
      <xdr:col>15</xdr:col>
      <xdr:colOff>486834</xdr:colOff>
      <xdr:row>343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1FBAF3-B424-45F6-BF21-A9C6A23E3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306916</xdr:colOff>
      <xdr:row>344</xdr:row>
      <xdr:rowOff>84666</xdr:rowOff>
    </xdr:from>
    <xdr:to>
      <xdr:col>15</xdr:col>
      <xdr:colOff>497417</xdr:colOff>
      <xdr:row>356</xdr:row>
      <xdr:rowOff>179917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1B5D92-FF20-4070-9729-F9B4103D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296333</xdr:colOff>
      <xdr:row>357</xdr:row>
      <xdr:rowOff>158750</xdr:rowOff>
    </xdr:from>
    <xdr:to>
      <xdr:col>15</xdr:col>
      <xdr:colOff>486834</xdr:colOff>
      <xdr:row>370</xdr:row>
      <xdr:rowOff>52918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F5B3ED-6F05-4A9B-86C3-2264E34F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showGridLines="0" zoomScaleNormal="100" workbookViewId="0"/>
  </sheetViews>
  <sheetFormatPr defaultColWidth="9.140625" defaultRowHeight="16.5" x14ac:dyDescent="0.3"/>
  <cols>
    <col min="1" max="2" width="11" style="73" customWidth="1"/>
    <col min="3" max="3" width="29.140625" style="73" customWidth="1"/>
    <col min="4" max="22" width="11" style="73" customWidth="1"/>
    <col min="23" max="25" width="9.140625" style="73"/>
    <col min="26" max="26" width="9.140625" style="73" customWidth="1"/>
    <col min="27" max="16384" width="9.140625" style="7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2:15" ht="19.5" customHeight="1" x14ac:dyDescent="0.3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15" ht="19.5" customHeight="1" x14ac:dyDescent="0.3"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2:15" ht="19.5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15" ht="19.5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2:15" ht="19.5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2:15" ht="19.5" customHeight="1" x14ac:dyDescent="0.3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2:15" ht="19.5" customHeight="1" x14ac:dyDescent="0.3"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</row>
    <row r="11" spans="2:15" ht="19.5" customHeight="1" x14ac:dyDescent="0.3"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</row>
    <row r="12" spans="2:15" ht="27" x14ac:dyDescent="0.35">
      <c r="B12" s="74"/>
      <c r="C12" s="75" t="s">
        <v>85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6" t="s">
        <v>80</v>
      </c>
      <c r="O12" s="74"/>
    </row>
    <row r="13" spans="2:15" ht="19.5" customHeight="1" x14ac:dyDescent="0.3">
      <c r="B13" s="74"/>
      <c r="C13" s="77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</row>
    <row r="14" spans="2:15" ht="19.5" customHeight="1" x14ac:dyDescent="0.3">
      <c r="B14" s="74"/>
      <c r="C14" s="78" t="s">
        <v>81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</row>
    <row r="15" spans="2:15" ht="19.5" customHeight="1" x14ac:dyDescent="0.3">
      <c r="B15" s="74"/>
      <c r="C15" s="80" t="s">
        <v>85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</row>
    <row r="16" spans="2:15" ht="19.5" customHeight="1" x14ac:dyDescent="0.3">
      <c r="B16" s="74"/>
      <c r="C16" s="79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2:15" ht="19.5" customHeight="1" x14ac:dyDescent="0.3">
      <c r="B17" s="74"/>
      <c r="C17" s="79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</row>
    <row r="18" spans="2:15" ht="19.5" customHeight="1" x14ac:dyDescent="0.3">
      <c r="B18" s="74"/>
      <c r="C18" s="79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2:15" s="84" customFormat="1" ht="19.5" customHeight="1" x14ac:dyDescent="0.3">
      <c r="B19" s="85"/>
      <c r="C19" s="85" t="s">
        <v>82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</row>
    <row r="20" spans="2:15" s="84" customFormat="1" ht="19.5" customHeight="1" x14ac:dyDescent="0.3">
      <c r="B20" s="85"/>
      <c r="C20" s="86" t="s">
        <v>83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5"/>
    </row>
    <row r="21" spans="2:15" s="84" customFormat="1" ht="19.5" customHeight="1" x14ac:dyDescent="0.3">
      <c r="B21" s="85"/>
      <c r="C21" s="85" t="s">
        <v>84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</row>
    <row r="22" spans="2:15" s="84" customFormat="1" ht="19.5" customHeight="1" x14ac:dyDescent="0.3">
      <c r="B22" s="85"/>
      <c r="C22" s="87" t="s">
        <v>79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</row>
    <row r="23" spans="2:15" s="84" customFormat="1" ht="19.5" customHeight="1" x14ac:dyDescent="0.3">
      <c r="B23" s="85"/>
      <c r="C23" s="87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</row>
    <row r="24" spans="2:15" s="84" customFormat="1" ht="19.5" customHeight="1" x14ac:dyDescent="0.3">
      <c r="B24" s="85"/>
      <c r="C24" s="88" t="s">
        <v>90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5"/>
    </row>
    <row r="25" spans="2:15" s="84" customFormat="1" ht="19.5" customHeight="1" x14ac:dyDescent="0.3">
      <c r="B25" s="90"/>
      <c r="C25" s="91" t="s">
        <v>91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0"/>
    </row>
    <row r="26" spans="2:15" s="84" customFormat="1" ht="19.5" customHeight="1" x14ac:dyDescent="0.3">
      <c r="B26" s="90"/>
      <c r="C26" s="91" t="s">
        <v>92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0"/>
    </row>
    <row r="27" spans="2:15" s="84" customFormat="1" ht="19.5" customHeight="1" x14ac:dyDescent="0.3">
      <c r="B27" s="90"/>
      <c r="C27" s="91" t="s">
        <v>93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0"/>
    </row>
    <row r="28" spans="2:15" s="84" customFormat="1" ht="19.5" customHeight="1" x14ac:dyDescent="0.3">
      <c r="B28" s="90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0"/>
    </row>
    <row r="29" spans="2:15" s="84" customFormat="1" ht="19.5" customHeight="1" x14ac:dyDescent="0.3"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3 Statement Model'!A1" display="3 Statement Model" xr:uid="{00000000-0004-0000-0000-000001000000}"/>
    <hyperlink ref="C22" r:id="rId1" xr:uid="{804D4130-AE9D-4388-81F5-8676E17AB25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3"/>
  <sheetViews>
    <sheetView showGridLines="0" zoomScale="90" zoomScaleNormal="90" workbookViewId="0">
      <pane ySplit="3" topLeftCell="A4" activePane="bottomLeft" state="frozen"/>
      <selection pane="bottomLeft" activeCell="R27" sqref="R27"/>
    </sheetView>
  </sheetViews>
  <sheetFormatPr defaultColWidth="9.140625" defaultRowHeight="15.75" outlineLevelRow="1" x14ac:dyDescent="0.25"/>
  <cols>
    <col min="1" max="1" width="1.85546875" style="1" customWidth="1"/>
    <col min="2" max="3" width="15.5703125" style="1" customWidth="1"/>
    <col min="4" max="4" width="15.5703125" style="23" customWidth="1"/>
    <col min="5" max="9" width="11.5703125" style="1" customWidth="1"/>
    <col min="10" max="14" width="12.5703125" style="1" customWidth="1"/>
    <col min="15" max="16384" width="9.140625" style="1"/>
  </cols>
  <sheetData>
    <row r="1" spans="1:21" x14ac:dyDescent="0.25">
      <c r="A1" s="56"/>
      <c r="B1" s="57" t="s">
        <v>74</v>
      </c>
      <c r="C1" s="56"/>
      <c r="D1" s="58"/>
      <c r="E1" s="81" t="s">
        <v>56</v>
      </c>
      <c r="F1" s="82"/>
      <c r="G1" s="82"/>
      <c r="H1" s="82"/>
      <c r="I1" s="82"/>
      <c r="J1" s="59" t="s">
        <v>68</v>
      </c>
      <c r="K1" s="60"/>
      <c r="L1" s="60"/>
      <c r="M1" s="60"/>
      <c r="N1" s="60"/>
    </row>
    <row r="2" spans="1:21" ht="21" customHeight="1" x14ac:dyDescent="0.3">
      <c r="A2" s="56"/>
      <c r="B2" s="61" t="s">
        <v>57</v>
      </c>
      <c r="C2" s="62"/>
      <c r="D2" s="63"/>
      <c r="E2" s="83">
        <v>2012</v>
      </c>
      <c r="F2" s="83">
        <f>+E2+1</f>
        <v>2013</v>
      </c>
      <c r="G2" s="83">
        <f t="shared" ref="G2:N2" si="0">+F2+1</f>
        <v>2014</v>
      </c>
      <c r="H2" s="83">
        <f t="shared" si="0"/>
        <v>2015</v>
      </c>
      <c r="I2" s="83">
        <f t="shared" si="0"/>
        <v>2016</v>
      </c>
      <c r="J2" s="64">
        <f t="shared" si="0"/>
        <v>2017</v>
      </c>
      <c r="K2" s="64">
        <f t="shared" si="0"/>
        <v>2018</v>
      </c>
      <c r="L2" s="64">
        <f t="shared" si="0"/>
        <v>2019</v>
      </c>
      <c r="M2" s="64">
        <f t="shared" si="0"/>
        <v>2020</v>
      </c>
      <c r="N2" s="64">
        <f t="shared" si="0"/>
        <v>2021</v>
      </c>
    </row>
    <row r="3" spans="1:21" x14ac:dyDescent="0.25">
      <c r="B3" s="1" t="s">
        <v>69</v>
      </c>
      <c r="E3" s="45" t="str">
        <f t="shared" ref="E3:I3" si="1">IFERROR(IF(ABS(E57)&gt;1,"ERROR","OK"),"OK")</f>
        <v>OK</v>
      </c>
      <c r="F3" s="45" t="str">
        <f>IFERROR(IF(ABS(F57)&gt;1,"ERROR","OK"),"OK")</f>
        <v>OK</v>
      </c>
      <c r="G3" s="45" t="str">
        <f t="shared" si="1"/>
        <v>OK</v>
      </c>
      <c r="H3" s="45" t="str">
        <f t="shared" si="1"/>
        <v>OK</v>
      </c>
      <c r="I3" s="45" t="str">
        <f t="shared" si="1"/>
        <v>OK</v>
      </c>
      <c r="J3" s="45" t="str">
        <f>IFERROR(IF(ABS(J57)&gt;1,"ERROR","OK"),"OK")</f>
        <v>OK</v>
      </c>
      <c r="K3" s="45" t="str">
        <f t="shared" ref="K3:N3" si="2">IFERROR(IF(ABS(K57)&gt;1,"ERROR","OK"),"OK")</f>
        <v>OK</v>
      </c>
      <c r="L3" s="45" t="str">
        <f t="shared" si="2"/>
        <v>OK</v>
      </c>
      <c r="M3" s="45" t="str">
        <f t="shared" si="2"/>
        <v>OK</v>
      </c>
      <c r="N3" s="45" t="str">
        <f t="shared" si="2"/>
        <v>OK</v>
      </c>
    </row>
    <row r="4" spans="1:21" x14ac:dyDescent="0.25">
      <c r="O4"/>
      <c r="P4"/>
      <c r="Q4"/>
      <c r="R4"/>
      <c r="S4"/>
      <c r="T4"/>
      <c r="U4"/>
    </row>
    <row r="5" spans="1:21" ht="18" x14ac:dyDescent="0.25">
      <c r="B5" s="65" t="s">
        <v>70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/>
      <c r="P5"/>
      <c r="Q5"/>
      <c r="R5"/>
      <c r="S5"/>
      <c r="T5"/>
      <c r="U5"/>
    </row>
    <row r="6" spans="1:21" s="19" customFormat="1" outlineLevel="1" x14ac:dyDescent="0.25">
      <c r="B6" s="3" t="s">
        <v>71</v>
      </c>
      <c r="D6" s="47"/>
      <c r="O6"/>
      <c r="P6"/>
      <c r="Q6"/>
      <c r="R6"/>
      <c r="S6"/>
      <c r="T6"/>
      <c r="U6"/>
    </row>
    <row r="7" spans="1:21" outlineLevel="1" x14ac:dyDescent="0.25">
      <c r="B7" s="1" t="s">
        <v>60</v>
      </c>
      <c r="C7" s="3"/>
      <c r="D7" s="20"/>
      <c r="E7" s="29"/>
      <c r="F7" s="35">
        <f>F24/E24-1</f>
        <v>0.15762643740135474</v>
      </c>
      <c r="G7" s="35">
        <f>G24/F24-1</f>
        <v>0.1122825737174602</v>
      </c>
      <c r="H7" s="35">
        <f>H24/G24-1</f>
        <v>8.3718451406600947E-2</v>
      </c>
      <c r="I7" s="35">
        <f>I24/H24-1</f>
        <v>5.9231001608812672E-2</v>
      </c>
      <c r="J7" s="36">
        <v>0.05</v>
      </c>
      <c r="K7" s="36">
        <v>4.4999999999999998E-2</v>
      </c>
      <c r="L7" s="36">
        <v>0.04</v>
      </c>
      <c r="M7" s="36">
        <v>3.5000000000000003E-2</v>
      </c>
      <c r="N7" s="36">
        <v>0.03</v>
      </c>
      <c r="O7"/>
      <c r="P7"/>
      <c r="Q7"/>
      <c r="R7"/>
      <c r="S7"/>
      <c r="T7"/>
      <c r="U7"/>
    </row>
    <row r="8" spans="1:21" outlineLevel="1" x14ac:dyDescent="0.25">
      <c r="B8" s="6" t="s">
        <v>58</v>
      </c>
      <c r="C8" s="6"/>
      <c r="D8" s="21"/>
      <c r="E8" s="37">
        <f>E25/E24</f>
        <v>0.38255217779172018</v>
      </c>
      <c r="F8" s="37">
        <f>F25/F24</f>
        <v>0.40651728401334619</v>
      </c>
      <c r="G8" s="37">
        <f>G25/G24</f>
        <v>0.37399977159389397</v>
      </c>
      <c r="H8" s="37">
        <f>H25/H24</f>
        <v>0.37412973071708078</v>
      </c>
      <c r="I8" s="37">
        <f>I25/I24</f>
        <v>0.38011036531982062</v>
      </c>
      <c r="J8" s="38">
        <v>0.37</v>
      </c>
      <c r="K8" s="38">
        <v>0.37</v>
      </c>
      <c r="L8" s="38">
        <v>0.36</v>
      </c>
      <c r="M8" s="38">
        <v>0.36</v>
      </c>
      <c r="N8" s="38">
        <v>0.35</v>
      </c>
      <c r="O8"/>
      <c r="P8"/>
      <c r="Q8"/>
      <c r="R8"/>
      <c r="S8"/>
      <c r="T8"/>
      <c r="U8"/>
    </row>
    <row r="9" spans="1:21" outlineLevel="1" x14ac:dyDescent="0.25">
      <c r="B9" s="6" t="s">
        <v>89</v>
      </c>
      <c r="C9" s="6"/>
      <c r="D9" s="21"/>
      <c r="E9" s="31">
        <f t="shared" ref="E9:I10" si="3">E28</f>
        <v>26427</v>
      </c>
      <c r="F9" s="31">
        <f t="shared" si="3"/>
        <v>22658</v>
      </c>
      <c r="G9" s="31">
        <f t="shared" si="3"/>
        <v>23872</v>
      </c>
      <c r="H9" s="31">
        <f t="shared" si="3"/>
        <v>23002</v>
      </c>
      <c r="I9" s="31">
        <f t="shared" si="3"/>
        <v>25245</v>
      </c>
      <c r="J9" s="30">
        <v>25000</v>
      </c>
      <c r="K9" s="30">
        <v>25000</v>
      </c>
      <c r="L9" s="30">
        <v>25000</v>
      </c>
      <c r="M9" s="30">
        <v>25000</v>
      </c>
      <c r="N9" s="30">
        <v>25000</v>
      </c>
      <c r="O9"/>
      <c r="P9"/>
      <c r="Q9"/>
      <c r="R9"/>
      <c r="S9"/>
      <c r="T9"/>
      <c r="U9"/>
    </row>
    <row r="10" spans="1:21" outlineLevel="1" x14ac:dyDescent="0.25">
      <c r="B10" s="6" t="s">
        <v>59</v>
      </c>
      <c r="C10" s="6"/>
      <c r="D10" s="21"/>
      <c r="E10" s="31">
        <f t="shared" si="3"/>
        <v>10963</v>
      </c>
      <c r="F10" s="31">
        <f t="shared" si="3"/>
        <v>10125</v>
      </c>
      <c r="G10" s="31">
        <f t="shared" si="3"/>
        <v>10087</v>
      </c>
      <c r="H10" s="31">
        <f t="shared" si="3"/>
        <v>11020</v>
      </c>
      <c r="I10" s="31">
        <f t="shared" si="3"/>
        <v>11412</v>
      </c>
      <c r="J10" s="30">
        <v>10000</v>
      </c>
      <c r="K10" s="30">
        <v>10000</v>
      </c>
      <c r="L10" s="30">
        <v>10000</v>
      </c>
      <c r="M10" s="30">
        <v>10000</v>
      </c>
      <c r="N10" s="30">
        <v>10000</v>
      </c>
      <c r="O10"/>
      <c r="P10"/>
      <c r="Q10"/>
      <c r="R10"/>
      <c r="S10"/>
      <c r="T10"/>
      <c r="U10"/>
    </row>
    <row r="11" spans="1:21" outlineLevel="1" x14ac:dyDescent="0.25">
      <c r="B11" s="6" t="s">
        <v>76</v>
      </c>
      <c r="C11" s="6"/>
      <c r="D11" s="21"/>
      <c r="E11" s="37">
        <f>E30/E92</f>
        <v>0.39</v>
      </c>
      <c r="F11" s="37">
        <f t="shared" ref="F11:H11" si="4">F30/F92</f>
        <v>0.39890109890109893</v>
      </c>
      <c r="G11" s="37">
        <f t="shared" si="4"/>
        <v>0.4062573789846517</v>
      </c>
      <c r="H11" s="37">
        <f t="shared" si="4"/>
        <v>0.41209366048075724</v>
      </c>
      <c r="I11" s="37">
        <f>I30/I92</f>
        <v>0.41657578073390927</v>
      </c>
      <c r="J11" s="38">
        <v>0.4</v>
      </c>
      <c r="K11" s="38">
        <v>0.4</v>
      </c>
      <c r="L11" s="38">
        <v>0.4</v>
      </c>
      <c r="M11" s="38">
        <v>0.4</v>
      </c>
      <c r="N11" s="38">
        <v>0.4</v>
      </c>
      <c r="O11"/>
      <c r="P11"/>
      <c r="Q11"/>
      <c r="R11"/>
      <c r="S11"/>
      <c r="T11"/>
      <c r="U11"/>
    </row>
    <row r="12" spans="1:21" outlineLevel="1" x14ac:dyDescent="0.25">
      <c r="B12" s="6" t="s">
        <v>75</v>
      </c>
      <c r="C12" s="6"/>
      <c r="D12" s="21"/>
      <c r="E12" s="37">
        <f>E101/E98</f>
        <v>0.05</v>
      </c>
      <c r="F12" s="37">
        <f t="shared" ref="F12:I12" si="5">F101/F98</f>
        <v>0.05</v>
      </c>
      <c r="G12" s="37">
        <f t="shared" si="5"/>
        <v>0.03</v>
      </c>
      <c r="H12" s="37">
        <f t="shared" si="5"/>
        <v>0.03</v>
      </c>
      <c r="I12" s="37">
        <f t="shared" si="5"/>
        <v>0.03</v>
      </c>
      <c r="J12" s="38">
        <v>0.03</v>
      </c>
      <c r="K12" s="38">
        <v>0.03</v>
      </c>
      <c r="L12" s="38">
        <v>0.03</v>
      </c>
      <c r="M12" s="38">
        <v>0.03</v>
      </c>
      <c r="N12" s="38">
        <v>0.03</v>
      </c>
      <c r="O12"/>
      <c r="P12"/>
      <c r="Q12"/>
      <c r="R12"/>
      <c r="S12"/>
      <c r="T12"/>
      <c r="U12"/>
    </row>
    <row r="13" spans="1:21" outlineLevel="1" x14ac:dyDescent="0.25">
      <c r="B13" s="6" t="s">
        <v>61</v>
      </c>
      <c r="C13" s="11"/>
      <c r="D13" s="25"/>
      <c r="E13" s="37">
        <f>E35/E33</f>
        <v>0.31167801892042296</v>
      </c>
      <c r="F13" s="37">
        <f>F35/F33</f>
        <v>0.29180230056592171</v>
      </c>
      <c r="G13" s="37">
        <f>G35/G33</f>
        <v>0.28698850107817436</v>
      </c>
      <c r="H13" s="37">
        <f>H35/H33</f>
        <v>0.2899411500446471</v>
      </c>
      <c r="I13" s="37">
        <f>I35/I33</f>
        <v>0.29121899033183596</v>
      </c>
      <c r="J13" s="38">
        <v>0.28000000000000003</v>
      </c>
      <c r="K13" s="38">
        <v>0.28000000000000003</v>
      </c>
      <c r="L13" s="38">
        <v>0.28000000000000003</v>
      </c>
      <c r="M13" s="38">
        <v>0.28000000000000003</v>
      </c>
      <c r="N13" s="38">
        <v>0.28000000000000003</v>
      </c>
      <c r="O13"/>
      <c r="P13"/>
      <c r="Q13"/>
      <c r="R13"/>
      <c r="S13"/>
      <c r="T13"/>
      <c r="U13"/>
    </row>
    <row r="14" spans="1:21" outlineLevel="1" x14ac:dyDescent="0.25">
      <c r="B14" s="3" t="s">
        <v>10</v>
      </c>
      <c r="C14" s="19"/>
      <c r="D14" s="4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  <c r="Q14"/>
      <c r="R14"/>
      <c r="S14"/>
      <c r="T14"/>
      <c r="U14"/>
    </row>
    <row r="15" spans="1:21" outlineLevel="1" x14ac:dyDescent="0.25">
      <c r="B15" s="1" t="s">
        <v>62</v>
      </c>
      <c r="D15" s="32"/>
      <c r="E15" s="34">
        <f t="shared" ref="E15:I16" si="6">E42/E24*365</f>
        <v>18.25</v>
      </c>
      <c r="F15" s="34">
        <f t="shared" si="6"/>
        <v>18.25</v>
      </c>
      <c r="G15" s="34">
        <f t="shared" si="6"/>
        <v>18.25</v>
      </c>
      <c r="H15" s="34">
        <f t="shared" si="6"/>
        <v>18.25</v>
      </c>
      <c r="I15" s="34">
        <f>I42/I24*365</f>
        <v>18.25</v>
      </c>
      <c r="J15" s="33">
        <v>18</v>
      </c>
      <c r="K15" s="33">
        <v>18</v>
      </c>
      <c r="L15" s="33">
        <v>18</v>
      </c>
      <c r="M15" s="33">
        <v>18</v>
      </c>
      <c r="N15" s="33">
        <v>18</v>
      </c>
      <c r="O15"/>
      <c r="P15"/>
      <c r="Q15"/>
      <c r="R15"/>
      <c r="S15"/>
      <c r="T15"/>
      <c r="U15"/>
    </row>
    <row r="16" spans="1:21" outlineLevel="1" x14ac:dyDescent="0.25">
      <c r="B16" s="1" t="s">
        <v>63</v>
      </c>
      <c r="D16" s="32"/>
      <c r="E16" s="34">
        <f t="shared" si="6"/>
        <v>73</v>
      </c>
      <c r="F16" s="34">
        <f t="shared" si="6"/>
        <v>73</v>
      </c>
      <c r="G16" s="34">
        <f t="shared" si="6"/>
        <v>73</v>
      </c>
      <c r="H16" s="34">
        <f t="shared" si="6"/>
        <v>72.177526570774049</v>
      </c>
      <c r="I16" s="34">
        <f t="shared" si="6"/>
        <v>72.235735473739325</v>
      </c>
      <c r="J16" s="33">
        <v>73</v>
      </c>
      <c r="K16" s="33">
        <v>73</v>
      </c>
      <c r="L16" s="33">
        <v>73</v>
      </c>
      <c r="M16" s="33">
        <v>73</v>
      </c>
      <c r="N16" s="33">
        <v>73</v>
      </c>
      <c r="O16"/>
      <c r="P16"/>
      <c r="Q16"/>
      <c r="R16"/>
      <c r="S16"/>
      <c r="T16"/>
      <c r="U16"/>
    </row>
    <row r="17" spans="2:21" outlineLevel="1" x14ac:dyDescent="0.25">
      <c r="B17" s="1" t="s">
        <v>64</v>
      </c>
      <c r="D17" s="32"/>
      <c r="E17" s="34">
        <f>E48/E25*365</f>
        <v>36.5</v>
      </c>
      <c r="F17" s="34">
        <f>F48/F25*365</f>
        <v>36.5</v>
      </c>
      <c r="G17" s="34">
        <f>G48/G25*365</f>
        <v>36.5</v>
      </c>
      <c r="H17" s="34">
        <f>H48/H25*365</f>
        <v>36.088763285387024</v>
      </c>
      <c r="I17" s="34">
        <f>I48/I25*365</f>
        <v>36.117867736869663</v>
      </c>
      <c r="J17" s="33">
        <v>37</v>
      </c>
      <c r="K17" s="33">
        <v>37</v>
      </c>
      <c r="L17" s="33">
        <v>37</v>
      </c>
      <c r="M17" s="33">
        <v>37</v>
      </c>
      <c r="N17" s="33">
        <v>37</v>
      </c>
      <c r="O17"/>
      <c r="P17"/>
      <c r="Q17"/>
      <c r="R17"/>
      <c r="S17"/>
      <c r="T17"/>
      <c r="U17"/>
    </row>
    <row r="18" spans="2:21" outlineLevel="1" x14ac:dyDescent="0.25">
      <c r="B18" s="1" t="s">
        <v>65</v>
      </c>
      <c r="E18" s="34">
        <f>E68</f>
        <v>15000</v>
      </c>
      <c r="F18" s="34">
        <f t="shared" ref="F18:I18" si="7">F68</f>
        <v>15000</v>
      </c>
      <c r="G18" s="34">
        <f t="shared" si="7"/>
        <v>15000</v>
      </c>
      <c r="H18" s="34">
        <f t="shared" si="7"/>
        <v>15000</v>
      </c>
      <c r="I18" s="34">
        <f t="shared" si="7"/>
        <v>15000</v>
      </c>
      <c r="J18" s="33">
        <v>15000</v>
      </c>
      <c r="K18" s="33">
        <v>10000</v>
      </c>
      <c r="L18" s="33">
        <v>25000</v>
      </c>
      <c r="M18" s="33">
        <v>10000</v>
      </c>
      <c r="N18" s="33">
        <v>15000</v>
      </c>
      <c r="O18"/>
      <c r="P18"/>
      <c r="Q18"/>
      <c r="R18"/>
      <c r="S18"/>
      <c r="T18"/>
      <c r="U18"/>
    </row>
    <row r="19" spans="2:21" outlineLevel="1" x14ac:dyDescent="0.25">
      <c r="B19" s="1" t="s">
        <v>67</v>
      </c>
      <c r="E19" s="34">
        <f>E99</f>
        <v>0</v>
      </c>
      <c r="F19" s="34">
        <f>F99</f>
        <v>0</v>
      </c>
      <c r="G19" s="34">
        <f>G99</f>
        <v>-20000</v>
      </c>
      <c r="H19" s="34">
        <f>H99</f>
        <v>0</v>
      </c>
      <c r="I19" s="34">
        <f>I99</f>
        <v>0</v>
      </c>
      <c r="J19" s="33">
        <v>0</v>
      </c>
      <c r="K19" s="33">
        <v>0</v>
      </c>
      <c r="L19" s="33">
        <v>-20000</v>
      </c>
      <c r="M19" s="33">
        <v>0</v>
      </c>
      <c r="N19" s="33">
        <v>0</v>
      </c>
      <c r="O19"/>
      <c r="P19"/>
      <c r="Q19"/>
      <c r="R19"/>
      <c r="S19"/>
      <c r="T19"/>
      <c r="U19"/>
    </row>
    <row r="20" spans="2:21" outlineLevel="1" x14ac:dyDescent="0.25">
      <c r="B20" s="1" t="s">
        <v>66</v>
      </c>
      <c r="E20" s="34">
        <f>E73</f>
        <v>170000</v>
      </c>
      <c r="F20" s="34">
        <f>F73</f>
        <v>0</v>
      </c>
      <c r="G20" s="34">
        <f>G73</f>
        <v>0</v>
      </c>
      <c r="H20" s="34">
        <f>H73</f>
        <v>0</v>
      </c>
      <c r="I20" s="34">
        <f>I73</f>
        <v>0</v>
      </c>
      <c r="J20" s="33">
        <v>0</v>
      </c>
      <c r="K20" s="33">
        <v>0</v>
      </c>
      <c r="L20" s="33">
        <v>0</v>
      </c>
      <c r="M20" s="33">
        <v>-150000</v>
      </c>
      <c r="N20" s="33">
        <v>0</v>
      </c>
      <c r="O20"/>
      <c r="P20"/>
      <c r="Q20"/>
      <c r="R20"/>
      <c r="S20"/>
      <c r="T20"/>
      <c r="U20"/>
    </row>
    <row r="21" spans="2:21" outlineLevel="1" x14ac:dyDescent="0.25">
      <c r="E21" s="34"/>
      <c r="F21" s="34"/>
      <c r="G21" s="34"/>
      <c r="H21" s="34"/>
      <c r="I21" s="34"/>
      <c r="J21" s="33"/>
      <c r="K21" s="33"/>
      <c r="L21" s="33"/>
      <c r="M21" s="33"/>
      <c r="N21" s="33"/>
      <c r="O21"/>
      <c r="P21"/>
      <c r="Q21"/>
      <c r="R21"/>
      <c r="S21"/>
      <c r="T21"/>
      <c r="U21"/>
    </row>
    <row r="22" spans="2:21" x14ac:dyDescent="0.25">
      <c r="E22" s="34"/>
      <c r="F22" s="34"/>
      <c r="G22" s="34"/>
      <c r="H22" s="34"/>
      <c r="I22" s="34"/>
      <c r="J22" s="33"/>
      <c r="K22" s="33"/>
      <c r="L22" s="33"/>
      <c r="M22" s="33"/>
      <c r="N22" s="33"/>
      <c r="O22"/>
      <c r="P22"/>
      <c r="Q22"/>
      <c r="R22"/>
      <c r="S22"/>
      <c r="T22"/>
      <c r="U22"/>
    </row>
    <row r="23" spans="2:21" ht="18" x14ac:dyDescent="0.25">
      <c r="B23" s="65" t="s">
        <v>0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/>
      <c r="P23"/>
      <c r="Q23"/>
      <c r="R23"/>
      <c r="S23"/>
      <c r="T23"/>
      <c r="U23"/>
    </row>
    <row r="24" spans="2:21" outlineLevel="1" x14ac:dyDescent="0.25">
      <c r="B24" s="3" t="s">
        <v>1</v>
      </c>
      <c r="C24" s="3"/>
      <c r="D24" s="20"/>
      <c r="E24" s="13">
        <v>102007</v>
      </c>
      <c r="F24" s="13">
        <v>118086</v>
      </c>
      <c r="G24" s="13">
        <v>131345</v>
      </c>
      <c r="H24" s="13">
        <v>142341</v>
      </c>
      <c r="I24" s="13">
        <v>150772</v>
      </c>
      <c r="J24" s="18">
        <f>I24*(1+J7)</f>
        <v>158310.6</v>
      </c>
      <c r="K24" s="92">
        <f>J24*(1+K7)</f>
        <v>165434.57699999999</v>
      </c>
      <c r="L24" s="18">
        <f t="shared" ref="L24:N24" si="8">K24*(1+L7)</f>
        <v>172051.96007999999</v>
      </c>
      <c r="M24" s="18">
        <f t="shared" si="8"/>
        <v>178073.77868279998</v>
      </c>
      <c r="N24" s="18">
        <f t="shared" si="8"/>
        <v>183415.99204328397</v>
      </c>
      <c r="O24"/>
      <c r="P24"/>
      <c r="Q24"/>
      <c r="R24"/>
      <c r="S24"/>
      <c r="T24"/>
      <c r="U24"/>
    </row>
    <row r="25" spans="2:21" outlineLevel="1" x14ac:dyDescent="0.25">
      <c r="B25" s="6" t="s">
        <v>55</v>
      </c>
      <c r="C25" s="6"/>
      <c r="D25" s="21"/>
      <c r="E25" s="15">
        <v>39023</v>
      </c>
      <c r="F25" s="15">
        <v>48004</v>
      </c>
      <c r="G25" s="15">
        <v>49123</v>
      </c>
      <c r="H25" s="15">
        <v>53253.999999999993</v>
      </c>
      <c r="I25" s="15">
        <v>57309.999999999993</v>
      </c>
      <c r="J25" s="53">
        <f>J24*J8</f>
        <v>58574.921999999999</v>
      </c>
      <c r="K25" s="93">
        <f>K24*K8</f>
        <v>61210.793489999996</v>
      </c>
      <c r="L25" s="53">
        <f>L24*L8</f>
        <v>61938.705628799995</v>
      </c>
      <c r="M25" s="53">
        <f t="shared" ref="M25:N25" si="9">M24*M8</f>
        <v>64106.560325807994</v>
      </c>
      <c r="N25" s="53">
        <f t="shared" si="9"/>
        <v>64195.597215149384</v>
      </c>
      <c r="O25"/>
      <c r="P25"/>
      <c r="Q25"/>
      <c r="R25"/>
      <c r="S25"/>
      <c r="T25"/>
      <c r="U25"/>
    </row>
    <row r="26" spans="2:21" outlineLevel="1" x14ac:dyDescent="0.25">
      <c r="B26" s="4" t="s">
        <v>2</v>
      </c>
      <c r="C26" s="4"/>
      <c r="D26" s="22"/>
      <c r="E26" s="17">
        <f>E24-E25</f>
        <v>62984</v>
      </c>
      <c r="F26" s="17">
        <f t="shared" ref="F26:H26" si="10">F24-F25</f>
        <v>70082</v>
      </c>
      <c r="G26" s="17">
        <f t="shared" si="10"/>
        <v>82222</v>
      </c>
      <c r="H26" s="17">
        <f t="shared" si="10"/>
        <v>89087</v>
      </c>
      <c r="I26" s="17">
        <f>I24-I25</f>
        <v>93462</v>
      </c>
      <c r="J26" s="17">
        <f t="shared" ref="J26:N26" si="11">J24-J25</f>
        <v>99735.678000000014</v>
      </c>
      <c r="K26" s="17">
        <f t="shared" si="11"/>
        <v>104223.78350999999</v>
      </c>
      <c r="L26" s="17">
        <f t="shared" si="11"/>
        <v>110113.25445119999</v>
      </c>
      <c r="M26" s="17">
        <f t="shared" si="11"/>
        <v>113967.21835699199</v>
      </c>
      <c r="N26" s="17">
        <f t="shared" si="11"/>
        <v>119220.39482813459</v>
      </c>
      <c r="O26"/>
      <c r="P26"/>
      <c r="Q26"/>
      <c r="R26"/>
      <c r="S26"/>
      <c r="T26"/>
      <c r="U26"/>
    </row>
    <row r="27" spans="2:21" outlineLevel="1" x14ac:dyDescent="0.25">
      <c r="B27" s="7" t="s">
        <v>72</v>
      </c>
      <c r="C27" s="7"/>
      <c r="D27" s="46"/>
      <c r="E27" s="44"/>
      <c r="F27" s="44"/>
      <c r="G27" s="44"/>
      <c r="H27" s="44"/>
      <c r="I27" s="44"/>
      <c r="J27" s="49"/>
      <c r="K27" s="49"/>
      <c r="L27" s="49"/>
      <c r="M27" s="49"/>
      <c r="N27" s="49"/>
      <c r="O27"/>
      <c r="P27"/>
      <c r="Q27"/>
      <c r="R27"/>
      <c r="S27"/>
      <c r="T27"/>
      <c r="U27"/>
    </row>
    <row r="28" spans="2:21" outlineLevel="1" x14ac:dyDescent="0.25">
      <c r="B28" s="1" t="s">
        <v>3</v>
      </c>
      <c r="E28" s="14">
        <v>26427</v>
      </c>
      <c r="F28" s="14">
        <v>22658</v>
      </c>
      <c r="G28" s="14">
        <v>23872</v>
      </c>
      <c r="H28" s="14">
        <v>23002</v>
      </c>
      <c r="I28" s="14">
        <v>25245</v>
      </c>
      <c r="J28" s="12">
        <f>J9</f>
        <v>25000</v>
      </c>
      <c r="K28" s="95">
        <f>K9</f>
        <v>25000</v>
      </c>
      <c r="L28" s="12">
        <f t="shared" ref="L28:N29" si="12">L9</f>
        <v>25000</v>
      </c>
      <c r="M28" s="12">
        <f t="shared" si="12"/>
        <v>25000</v>
      </c>
      <c r="N28" s="12">
        <f t="shared" si="12"/>
        <v>25000</v>
      </c>
      <c r="O28" t="s">
        <v>101</v>
      </c>
      <c r="P28"/>
      <c r="Q28"/>
      <c r="R28"/>
      <c r="S28"/>
      <c r="T28"/>
      <c r="U28"/>
    </row>
    <row r="29" spans="2:21" outlineLevel="1" x14ac:dyDescent="0.25">
      <c r="B29" s="1" t="s">
        <v>4</v>
      </c>
      <c r="E29" s="14">
        <v>10963</v>
      </c>
      <c r="F29" s="14">
        <v>10125</v>
      </c>
      <c r="G29" s="14">
        <v>10087</v>
      </c>
      <c r="H29" s="14">
        <v>11020</v>
      </c>
      <c r="I29" s="14">
        <v>11412</v>
      </c>
      <c r="J29" s="12">
        <f>J10</f>
        <v>10000</v>
      </c>
      <c r="K29" s="95">
        <f>K10</f>
        <v>10000</v>
      </c>
      <c r="L29" s="12">
        <f t="shared" si="12"/>
        <v>10000</v>
      </c>
      <c r="M29" s="12">
        <f t="shared" si="12"/>
        <v>10000</v>
      </c>
      <c r="N29" s="12">
        <f t="shared" si="12"/>
        <v>10000</v>
      </c>
      <c r="O29" t="s">
        <v>101</v>
      </c>
      <c r="P29"/>
      <c r="Q29"/>
      <c r="R29"/>
      <c r="S29"/>
      <c r="T29"/>
      <c r="U29"/>
    </row>
    <row r="30" spans="2:21" outlineLevel="1" x14ac:dyDescent="0.25">
      <c r="B30" s="1" t="s">
        <v>5</v>
      </c>
      <c r="E30" s="14">
        <v>19500</v>
      </c>
      <c r="F30" s="14">
        <v>18150</v>
      </c>
      <c r="G30" s="14">
        <v>17205</v>
      </c>
      <c r="H30" s="14">
        <v>16543.5</v>
      </c>
      <c r="I30" s="14">
        <v>16080.449999999999</v>
      </c>
      <c r="J30" s="12">
        <f>J94</f>
        <v>15008.420000000002</v>
      </c>
      <c r="K30" s="94">
        <f>K94</f>
        <v>15005.052000000003</v>
      </c>
      <c r="L30" s="12">
        <f t="shared" ref="L30:N30" si="13">L94</f>
        <v>13003.031200000001</v>
      </c>
      <c r="M30" s="12">
        <f t="shared" si="13"/>
        <v>17801.818719999999</v>
      </c>
      <c r="N30" s="12">
        <f t="shared" si="13"/>
        <v>14681.091232000001</v>
      </c>
      <c r="O30" t="s">
        <v>101</v>
      </c>
      <c r="P30"/>
      <c r="Q30"/>
      <c r="R30"/>
      <c r="S30"/>
      <c r="T30"/>
      <c r="U30"/>
    </row>
    <row r="31" spans="2:21" outlineLevel="1" x14ac:dyDescent="0.25">
      <c r="B31" s="2" t="s">
        <v>6</v>
      </c>
      <c r="C31" s="2"/>
      <c r="D31" s="24"/>
      <c r="E31" s="43">
        <v>2500</v>
      </c>
      <c r="F31" s="43">
        <v>2500</v>
      </c>
      <c r="G31" s="43">
        <v>1500</v>
      </c>
      <c r="H31" s="43">
        <v>900</v>
      </c>
      <c r="I31" s="43">
        <v>900</v>
      </c>
      <c r="J31" s="16">
        <f>J101</f>
        <v>900</v>
      </c>
      <c r="K31" s="97">
        <f>K101</f>
        <v>900</v>
      </c>
      <c r="L31" s="16">
        <f t="shared" ref="L31:N31" si="14">L101</f>
        <v>900</v>
      </c>
      <c r="M31" s="16">
        <f t="shared" si="14"/>
        <v>300</v>
      </c>
      <c r="N31" s="16">
        <f t="shared" si="14"/>
        <v>300</v>
      </c>
      <c r="O31"/>
      <c r="P31"/>
      <c r="Q31"/>
      <c r="R31"/>
      <c r="S31"/>
      <c r="T31"/>
      <c r="U31"/>
    </row>
    <row r="32" spans="2:21" outlineLevel="1" x14ac:dyDescent="0.25">
      <c r="B32" s="7" t="s">
        <v>73</v>
      </c>
      <c r="C32" s="6"/>
      <c r="D32" s="21"/>
      <c r="E32" s="49">
        <f>SUM(E28:E31)</f>
        <v>59390</v>
      </c>
      <c r="F32" s="49">
        <f t="shared" ref="F32:I32" si="15">SUM(F28:F31)</f>
        <v>53433</v>
      </c>
      <c r="G32" s="49">
        <f t="shared" si="15"/>
        <v>52664</v>
      </c>
      <c r="H32" s="49">
        <f t="shared" si="15"/>
        <v>51465.5</v>
      </c>
      <c r="I32" s="49">
        <f t="shared" si="15"/>
        <v>53637.45</v>
      </c>
      <c r="J32" s="49">
        <f t="shared" ref="J32:N32" si="16">SUM(J28:J31)</f>
        <v>50908.42</v>
      </c>
      <c r="K32" s="49">
        <f>SUM(K28:K31)</f>
        <v>50905.052000000003</v>
      </c>
      <c r="L32" s="49">
        <f t="shared" si="16"/>
        <v>48903.031199999998</v>
      </c>
      <c r="M32" s="49">
        <f t="shared" si="16"/>
        <v>53101.818719999996</v>
      </c>
      <c r="N32" s="49">
        <f t="shared" si="16"/>
        <v>49981.091231999999</v>
      </c>
      <c r="O32"/>
      <c r="P32"/>
      <c r="Q32"/>
      <c r="R32"/>
      <c r="S32"/>
      <c r="T32"/>
      <c r="U32"/>
    </row>
    <row r="33" spans="2:21" outlineLevel="1" x14ac:dyDescent="0.25">
      <c r="B33" s="4" t="s">
        <v>7</v>
      </c>
      <c r="C33" s="4"/>
      <c r="D33" s="22"/>
      <c r="E33" s="17">
        <f>E26-E32</f>
        <v>3594</v>
      </c>
      <c r="F33" s="17">
        <f t="shared" ref="F33:I33" si="17">F26-F32</f>
        <v>16649</v>
      </c>
      <c r="G33" s="17">
        <f t="shared" si="17"/>
        <v>29558</v>
      </c>
      <c r="H33" s="17">
        <f t="shared" si="17"/>
        <v>37621.5</v>
      </c>
      <c r="I33" s="17">
        <f t="shared" si="17"/>
        <v>39824.550000000003</v>
      </c>
      <c r="J33" s="17">
        <f t="shared" ref="J33:N33" si="18">J26-J32</f>
        <v>48827.258000000016</v>
      </c>
      <c r="K33" s="17">
        <f>K26-K32</f>
        <v>53318.731509999991</v>
      </c>
      <c r="L33" s="17">
        <f t="shared" si="18"/>
        <v>61210.22325119999</v>
      </c>
      <c r="M33" s="17">
        <f t="shared" si="18"/>
        <v>60865.399636991991</v>
      </c>
      <c r="N33" s="17">
        <f t="shared" si="18"/>
        <v>69239.303596134589</v>
      </c>
      <c r="O33"/>
      <c r="P33"/>
      <c r="Q33"/>
      <c r="R33"/>
      <c r="S33"/>
      <c r="T33"/>
      <c r="U33"/>
    </row>
    <row r="34" spans="2:21" outlineLevel="1" x14ac:dyDescent="0.25">
      <c r="B34" s="7"/>
      <c r="C34" s="7"/>
      <c r="D34" s="46"/>
      <c r="E34" s="44"/>
      <c r="F34" s="44"/>
      <c r="G34" s="44"/>
      <c r="H34" s="44"/>
      <c r="I34" s="44"/>
      <c r="J34" s="49"/>
      <c r="K34" s="49"/>
      <c r="L34" s="49"/>
      <c r="M34" s="49"/>
      <c r="N34" s="49"/>
      <c r="O34"/>
      <c r="P34"/>
      <c r="Q34"/>
      <c r="R34"/>
      <c r="S34"/>
      <c r="T34"/>
      <c r="U34"/>
    </row>
    <row r="35" spans="2:21" outlineLevel="1" x14ac:dyDescent="0.25">
      <c r="B35" s="6" t="s">
        <v>8</v>
      </c>
      <c r="C35" s="6"/>
      <c r="D35" s="21"/>
      <c r="E35" s="14">
        <v>1120.1708000000001</v>
      </c>
      <c r="F35" s="14">
        <v>4858.2165021220308</v>
      </c>
      <c r="G35" s="14">
        <v>8482.8061148686775</v>
      </c>
      <c r="H35" s="14">
        <v>10908.02097640469</v>
      </c>
      <c r="I35" s="14">
        <v>11597.665241419718</v>
      </c>
      <c r="J35" s="54">
        <f>J33*J13</f>
        <v>13671.632240000006</v>
      </c>
      <c r="K35" s="54">
        <f>K33*K13</f>
        <v>14929.244822799999</v>
      </c>
      <c r="L35" s="54">
        <f t="shared" ref="L35:N35" si="19">L33*L13</f>
        <v>17138.862510335999</v>
      </c>
      <c r="M35" s="54">
        <f t="shared" si="19"/>
        <v>17042.311898357759</v>
      </c>
      <c r="N35" s="54">
        <f t="shared" si="19"/>
        <v>19387.005006917687</v>
      </c>
      <c r="O35"/>
      <c r="P35"/>
      <c r="Q35"/>
      <c r="R35"/>
      <c r="S35"/>
      <c r="T35"/>
      <c r="U35"/>
    </row>
    <row r="36" spans="2:21" ht="16.5" outlineLevel="1" thickBot="1" x14ac:dyDescent="0.3">
      <c r="B36" s="39" t="s">
        <v>9</v>
      </c>
      <c r="C36" s="39"/>
      <c r="D36" s="40"/>
      <c r="E36" s="41">
        <f>E33-E35</f>
        <v>2473.8292000000001</v>
      </c>
      <c r="F36" s="41">
        <f t="shared" ref="F36:N36" si="20">F33-F35</f>
        <v>11790.783497877968</v>
      </c>
      <c r="G36" s="41">
        <f t="shared" si="20"/>
        <v>21075.193885131324</v>
      </c>
      <c r="H36" s="41">
        <f t="shared" si="20"/>
        <v>26713.479023595311</v>
      </c>
      <c r="I36" s="41">
        <f t="shared" si="20"/>
        <v>28226.884758580287</v>
      </c>
      <c r="J36" s="41">
        <f t="shared" si="20"/>
        <v>35155.62576000001</v>
      </c>
      <c r="K36" s="104">
        <f>K33-K35</f>
        <v>38389.486687199991</v>
      </c>
      <c r="L36" s="41">
        <f t="shared" si="20"/>
        <v>44071.360740863995</v>
      </c>
      <c r="M36" s="41">
        <f t="shared" si="20"/>
        <v>43823.087738634233</v>
      </c>
      <c r="N36" s="41">
        <f t="shared" si="20"/>
        <v>49852.298589216902</v>
      </c>
      <c r="O36"/>
      <c r="P36"/>
      <c r="Q36"/>
      <c r="R36"/>
      <c r="S36"/>
      <c r="T36"/>
      <c r="U36"/>
    </row>
    <row r="37" spans="2:21" ht="16.5" outlineLevel="1" collapsed="1" thickTop="1" x14ac:dyDescent="0.25">
      <c r="E37" s="14"/>
      <c r="F37" s="14"/>
      <c r="G37" s="14"/>
      <c r="H37" s="14"/>
      <c r="I37" s="14"/>
      <c r="O37"/>
      <c r="P37"/>
      <c r="Q37"/>
      <c r="R37"/>
      <c r="S37"/>
      <c r="T37"/>
      <c r="U37"/>
    </row>
    <row r="38" spans="2:21" x14ac:dyDescent="0.25">
      <c r="E38" s="14"/>
      <c r="F38" s="14"/>
      <c r="G38" s="14"/>
      <c r="H38" s="14"/>
      <c r="I38" s="14"/>
      <c r="J38" s="14"/>
      <c r="K38" s="14"/>
      <c r="L38" s="14"/>
      <c r="M38" s="14"/>
      <c r="N38" s="14"/>
      <c r="O38"/>
      <c r="P38"/>
      <c r="Q38"/>
      <c r="R38"/>
      <c r="S38"/>
      <c r="T38"/>
      <c r="U38"/>
    </row>
    <row r="39" spans="2:21" ht="18" x14ac:dyDescent="0.25">
      <c r="B39" s="65" t="s">
        <v>10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/>
      <c r="P39"/>
      <c r="Q39"/>
      <c r="R39"/>
      <c r="S39"/>
      <c r="T39"/>
      <c r="U39"/>
    </row>
    <row r="40" spans="2:21" outlineLevel="1" x14ac:dyDescent="0.25">
      <c r="B40" s="3" t="s">
        <v>11</v>
      </c>
      <c r="E40" s="14"/>
      <c r="F40" s="14"/>
      <c r="G40" s="14"/>
      <c r="H40" s="14"/>
      <c r="I40" s="14"/>
      <c r="O40"/>
      <c r="P40"/>
      <c r="Q40"/>
      <c r="R40"/>
      <c r="S40"/>
      <c r="T40"/>
      <c r="U40"/>
    </row>
    <row r="41" spans="2:21" outlineLevel="1" x14ac:dyDescent="0.25">
      <c r="B41" s="1" t="s">
        <v>12</v>
      </c>
      <c r="D41"/>
      <c r="E41" s="14">
        <v>167971.17920000001</v>
      </c>
      <c r="F41" s="14">
        <v>181209.91269787797</v>
      </c>
      <c r="G41" s="14">
        <v>183715.25658300929</v>
      </c>
      <c r="H41" s="14">
        <v>211069.33560660461</v>
      </c>
      <c r="I41" s="14">
        <v>239549.5203651849</v>
      </c>
      <c r="J41" s="1">
        <f>J78</f>
        <v>274338.81546217122</v>
      </c>
      <c r="K41" s="99">
        <f>K78</f>
        <v>317122.0583695356</v>
      </c>
      <c r="L41" s="1">
        <f t="shared" ref="L41:N41" si="21">L78</f>
        <v>328798.31953660015</v>
      </c>
      <c r="M41" s="1">
        <f t="shared" si="21"/>
        <v>229912.44379265167</v>
      </c>
      <c r="N41" s="1">
        <f t="shared" si="21"/>
        <v>279173.6002754987</v>
      </c>
      <c r="O41" t="s">
        <v>96</v>
      </c>
      <c r="P41"/>
      <c r="Q41"/>
      <c r="R41"/>
      <c r="S41"/>
      <c r="T41"/>
      <c r="U41"/>
    </row>
    <row r="42" spans="2:21" outlineLevel="1" x14ac:dyDescent="0.25">
      <c r="B42" s="1" t="s">
        <v>13</v>
      </c>
      <c r="D42"/>
      <c r="E42" s="14">
        <v>5100.3500000000004</v>
      </c>
      <c r="F42" s="14">
        <v>5904.3</v>
      </c>
      <c r="G42" s="14">
        <v>6567.25</v>
      </c>
      <c r="H42" s="14">
        <v>7117.05</v>
      </c>
      <c r="I42" s="14">
        <v>7538.6</v>
      </c>
      <c r="J42" s="42">
        <f>J24*J15/365</f>
        <v>7807.0980821917819</v>
      </c>
      <c r="K42" s="101">
        <f>K24*K15/365</f>
        <v>8158.4174958904105</v>
      </c>
      <c r="L42" s="42">
        <f t="shared" ref="L42:N42" si="22">L24*L15/365</f>
        <v>8484.7541957260273</v>
      </c>
      <c r="M42" s="42">
        <f t="shared" si="22"/>
        <v>8781.7205925764374</v>
      </c>
      <c r="N42" s="42">
        <f t="shared" si="22"/>
        <v>9045.1722103537304</v>
      </c>
      <c r="O42" t="s">
        <v>96</v>
      </c>
      <c r="P42"/>
      <c r="Q42"/>
      <c r="R42"/>
      <c r="S42"/>
      <c r="T42"/>
      <c r="U42"/>
    </row>
    <row r="43" spans="2:21" outlineLevel="1" x14ac:dyDescent="0.25">
      <c r="B43" s="1" t="s">
        <v>19</v>
      </c>
      <c r="D43"/>
      <c r="E43" s="14">
        <v>7804.6</v>
      </c>
      <c r="F43" s="14">
        <v>9600.8000000000011</v>
      </c>
      <c r="G43" s="14">
        <v>9824.6</v>
      </c>
      <c r="H43" s="14">
        <v>10530.800000000001</v>
      </c>
      <c r="I43" s="14">
        <v>11342</v>
      </c>
      <c r="J43" s="1">
        <f>J25*J16/365</f>
        <v>11714.984399999999</v>
      </c>
      <c r="K43" s="102">
        <f>K25*K16/365</f>
        <v>12242.158697999999</v>
      </c>
      <c r="L43" s="1">
        <f>L25*L16/365</f>
        <v>12387.741125759998</v>
      </c>
      <c r="M43" s="1">
        <f t="shared" ref="M43:N43" si="23">M25*M16/365</f>
        <v>12821.312065161599</v>
      </c>
      <c r="N43" s="1">
        <f t="shared" si="23"/>
        <v>12839.119443029876</v>
      </c>
      <c r="O43"/>
      <c r="P43"/>
      <c r="Q43"/>
      <c r="R43"/>
      <c r="S43"/>
      <c r="T43"/>
      <c r="U43"/>
    </row>
    <row r="44" spans="2:21" outlineLevel="1" x14ac:dyDescent="0.25">
      <c r="B44" s="1" t="s">
        <v>14</v>
      </c>
      <c r="E44" s="14">
        <v>45500</v>
      </c>
      <c r="F44" s="14">
        <v>42350</v>
      </c>
      <c r="G44" s="14">
        <v>40145</v>
      </c>
      <c r="H44" s="14">
        <v>38601.5</v>
      </c>
      <c r="I44" s="14">
        <v>37521.050000000003</v>
      </c>
      <c r="J44" s="1">
        <f>J95</f>
        <v>37512.630000000005</v>
      </c>
      <c r="K44" s="1">
        <f>K95</f>
        <v>32507.578000000001</v>
      </c>
      <c r="L44" s="1">
        <f t="shared" ref="L44:N44" si="24">L95</f>
        <v>44504.546799999996</v>
      </c>
      <c r="M44" s="1">
        <f t="shared" si="24"/>
        <v>36702.728080000001</v>
      </c>
      <c r="N44" s="1">
        <f t="shared" si="24"/>
        <v>37021.636848000002</v>
      </c>
      <c r="O44"/>
      <c r="P44"/>
      <c r="Q44"/>
      <c r="R44"/>
      <c r="S44"/>
      <c r="T44"/>
      <c r="U44"/>
    </row>
    <row r="45" spans="2:21" ht="16.5" outlineLevel="1" thickBot="1" x14ac:dyDescent="0.3">
      <c r="B45" s="39" t="s">
        <v>20</v>
      </c>
      <c r="C45" s="39"/>
      <c r="D45" s="40"/>
      <c r="E45" s="41">
        <f>SUM(E41:E44)</f>
        <v>226376.12920000002</v>
      </c>
      <c r="F45" s="41">
        <f t="shared" ref="F45:N45" si="25">SUM(F41:F44)</f>
        <v>239065.01269787794</v>
      </c>
      <c r="G45" s="41">
        <f t="shared" si="25"/>
        <v>240252.1065830093</v>
      </c>
      <c r="H45" s="41">
        <f t="shared" si="25"/>
        <v>267318.68560660456</v>
      </c>
      <c r="I45" s="41">
        <f t="shared" si="25"/>
        <v>295951.17036518489</v>
      </c>
      <c r="J45" s="41">
        <f t="shared" si="25"/>
        <v>331373.52794436301</v>
      </c>
      <c r="K45" s="41">
        <f>SUM(K41:K44)</f>
        <v>370030.212563426</v>
      </c>
      <c r="L45" s="41">
        <f t="shared" si="25"/>
        <v>394175.36165808619</v>
      </c>
      <c r="M45" s="41">
        <f t="shared" si="25"/>
        <v>288218.20453038969</v>
      </c>
      <c r="N45" s="41">
        <f t="shared" si="25"/>
        <v>338079.52877688227</v>
      </c>
      <c r="O45"/>
      <c r="P45"/>
      <c r="Q45"/>
      <c r="R45"/>
      <c r="S45"/>
      <c r="T45"/>
      <c r="U45"/>
    </row>
    <row r="46" spans="2:21" ht="16.5" outlineLevel="1" thickTop="1" x14ac:dyDescent="0.25">
      <c r="B46" s="7"/>
      <c r="C46" s="7"/>
      <c r="D46" s="46"/>
      <c r="E46" s="44"/>
      <c r="F46" s="44"/>
      <c r="G46" s="44"/>
      <c r="H46" s="44"/>
      <c r="I46" s="44"/>
      <c r="J46" s="7"/>
      <c r="K46" s="7"/>
      <c r="L46" s="7"/>
      <c r="M46" s="7"/>
      <c r="N46" s="7"/>
      <c r="O46"/>
      <c r="P46"/>
      <c r="Q46"/>
      <c r="R46"/>
      <c r="S46"/>
      <c r="T46"/>
      <c r="U46"/>
    </row>
    <row r="47" spans="2:21" outlineLevel="1" x14ac:dyDescent="0.25">
      <c r="B47" s="3" t="s">
        <v>21</v>
      </c>
      <c r="D47"/>
      <c r="E47" s="14"/>
      <c r="F47" s="14"/>
      <c r="G47" s="14"/>
      <c r="H47" s="14"/>
      <c r="I47" s="14"/>
      <c r="O47"/>
      <c r="P47"/>
      <c r="Q47"/>
      <c r="R47"/>
      <c r="S47"/>
      <c r="T47"/>
      <c r="U47"/>
    </row>
    <row r="48" spans="2:21" outlineLevel="1" x14ac:dyDescent="0.25">
      <c r="B48" s="1" t="s">
        <v>22</v>
      </c>
      <c r="D48"/>
      <c r="E48" s="14">
        <v>3902.3</v>
      </c>
      <c r="F48" s="14">
        <v>4800.4000000000005</v>
      </c>
      <c r="G48" s="14">
        <v>4912.3</v>
      </c>
      <c r="H48" s="14">
        <v>5265.4000000000005</v>
      </c>
      <c r="I48" s="14">
        <v>5671</v>
      </c>
      <c r="J48" s="1">
        <f>J25*J17/365</f>
        <v>5937.7318191780823</v>
      </c>
      <c r="K48" s="1">
        <f>K25*K17/365</f>
        <v>6204.9297510410952</v>
      </c>
      <c r="L48" s="1">
        <f t="shared" ref="L48:N48" si="26">L25*L17/365</f>
        <v>6278.7181048372595</v>
      </c>
      <c r="M48" s="1">
        <f t="shared" si="26"/>
        <v>6498.4732385065636</v>
      </c>
      <c r="N48" s="1">
        <f t="shared" si="26"/>
        <v>6507.498895782267</v>
      </c>
      <c r="O48" t="s">
        <v>97</v>
      </c>
      <c r="P48"/>
      <c r="Q48"/>
      <c r="R48"/>
      <c r="S48"/>
      <c r="T48"/>
      <c r="U48"/>
    </row>
    <row r="49" spans="2:21" outlineLevel="1" x14ac:dyDescent="0.25">
      <c r="B49" s="1" t="s">
        <v>23</v>
      </c>
      <c r="E49" s="14">
        <v>50000</v>
      </c>
      <c r="F49" s="14">
        <v>50000</v>
      </c>
      <c r="G49" s="14">
        <v>30000</v>
      </c>
      <c r="H49" s="14">
        <v>30000</v>
      </c>
      <c r="I49" s="14">
        <v>30000</v>
      </c>
      <c r="J49" s="1">
        <f>J100</f>
        <v>30000</v>
      </c>
      <c r="K49" s="1">
        <f>K100</f>
        <v>30000</v>
      </c>
      <c r="L49" s="1">
        <f t="shared" ref="L49:N49" si="27">L100</f>
        <v>10000</v>
      </c>
      <c r="M49" s="1">
        <f t="shared" si="27"/>
        <v>10000</v>
      </c>
      <c r="N49" s="1">
        <f t="shared" si="27"/>
        <v>10000</v>
      </c>
      <c r="O49"/>
      <c r="P49"/>
      <c r="Q49"/>
      <c r="R49"/>
      <c r="S49"/>
      <c r="T49"/>
      <c r="U49"/>
    </row>
    <row r="50" spans="2:21" outlineLevel="1" x14ac:dyDescent="0.25">
      <c r="B50" s="4" t="s">
        <v>28</v>
      </c>
      <c r="C50" s="4"/>
      <c r="D50" s="22"/>
      <c r="E50" s="17">
        <f>SUM(E48:E49)</f>
        <v>53902.3</v>
      </c>
      <c r="F50" s="17">
        <f t="shared" ref="F50:N50" si="28">SUM(F48:F49)</f>
        <v>54800.4</v>
      </c>
      <c r="G50" s="17">
        <f t="shared" si="28"/>
        <v>34912.300000000003</v>
      </c>
      <c r="H50" s="17">
        <f t="shared" si="28"/>
        <v>35265.4</v>
      </c>
      <c r="I50" s="17">
        <f t="shared" si="28"/>
        <v>35671</v>
      </c>
      <c r="J50" s="17">
        <f t="shared" si="28"/>
        <v>35937.73181917808</v>
      </c>
      <c r="K50" s="17">
        <f>SUM(K48:K49)</f>
        <v>36204.929751041098</v>
      </c>
      <c r="L50" s="17">
        <f t="shared" si="28"/>
        <v>16278.718104837259</v>
      </c>
      <c r="M50" s="17">
        <f t="shared" si="28"/>
        <v>16498.473238506565</v>
      </c>
      <c r="N50" s="17">
        <f t="shared" si="28"/>
        <v>16507.498895782268</v>
      </c>
      <c r="O50"/>
      <c r="P50"/>
      <c r="Q50"/>
      <c r="R50"/>
      <c r="S50"/>
      <c r="T50"/>
      <c r="U50"/>
    </row>
    <row r="51" spans="2:21" outlineLevel="1" x14ac:dyDescent="0.25">
      <c r="B51" s="3" t="s">
        <v>29</v>
      </c>
      <c r="E51" s="14"/>
      <c r="F51" s="14"/>
      <c r="G51" s="14"/>
      <c r="H51" s="14"/>
      <c r="I51" s="14"/>
      <c r="O51"/>
      <c r="P51"/>
      <c r="Q51"/>
      <c r="R51"/>
      <c r="S51"/>
      <c r="T51"/>
      <c r="U51"/>
    </row>
    <row r="52" spans="2:21" outlineLevel="1" x14ac:dyDescent="0.25">
      <c r="B52" s="1" t="s">
        <v>30</v>
      </c>
      <c r="E52" s="14">
        <v>170000</v>
      </c>
      <c r="F52" s="14">
        <v>170000</v>
      </c>
      <c r="G52" s="14">
        <v>170000</v>
      </c>
      <c r="H52" s="14">
        <v>170000</v>
      </c>
      <c r="I52" s="14">
        <v>170000</v>
      </c>
      <c r="J52" s="1">
        <f>I52+J20</f>
        <v>170000</v>
      </c>
      <c r="K52" s="1">
        <f>J52+K20</f>
        <v>170000</v>
      </c>
      <c r="L52" s="1">
        <f t="shared" ref="L52:N52" si="29">K52+L20</f>
        <v>170000</v>
      </c>
      <c r="M52" s="1">
        <f t="shared" si="29"/>
        <v>20000</v>
      </c>
      <c r="N52" s="1">
        <f t="shared" si="29"/>
        <v>20000</v>
      </c>
      <c r="O52"/>
      <c r="P52"/>
      <c r="Q52"/>
      <c r="R52"/>
      <c r="S52"/>
      <c r="T52"/>
      <c r="U52"/>
    </row>
    <row r="53" spans="2:21" outlineLevel="1" x14ac:dyDescent="0.25">
      <c r="B53" s="1" t="s">
        <v>31</v>
      </c>
      <c r="E53" s="14">
        <v>2473.8292000000001</v>
      </c>
      <c r="F53" s="14">
        <v>14264.612697877968</v>
      </c>
      <c r="G53" s="14">
        <v>35339.806583009296</v>
      </c>
      <c r="H53" s="14">
        <v>62053.285606604608</v>
      </c>
      <c r="I53" s="14">
        <v>90280.170365184895</v>
      </c>
      <c r="J53" s="1">
        <f>I53+J36</f>
        <v>125435.7961251849</v>
      </c>
      <c r="K53" s="1">
        <f>J53+K36</f>
        <v>163825.28281238489</v>
      </c>
      <c r="L53" s="1">
        <f t="shared" ref="L53:N53" si="30">K53+L36</f>
        <v>207896.6435532489</v>
      </c>
      <c r="M53" s="1">
        <f t="shared" si="30"/>
        <v>251719.73129188313</v>
      </c>
      <c r="N53" s="1">
        <f t="shared" si="30"/>
        <v>301572.02988110005</v>
      </c>
      <c r="O53"/>
      <c r="P53"/>
      <c r="Q53"/>
      <c r="R53"/>
      <c r="S53"/>
      <c r="T53"/>
      <c r="U53"/>
    </row>
    <row r="54" spans="2:21" outlineLevel="1" x14ac:dyDescent="0.25">
      <c r="B54" s="8" t="s">
        <v>29</v>
      </c>
      <c r="C54" s="8"/>
      <c r="D54" s="26"/>
      <c r="E54" s="50">
        <f>SUM(E52:E53)</f>
        <v>172473.82920000001</v>
      </c>
      <c r="F54" s="50">
        <f t="shared" ref="F54:I54" si="31">SUM(F52:F53)</f>
        <v>184264.61269787798</v>
      </c>
      <c r="G54" s="50">
        <f t="shared" si="31"/>
        <v>205339.80658300931</v>
      </c>
      <c r="H54" s="50">
        <f t="shared" si="31"/>
        <v>232053.28560660459</v>
      </c>
      <c r="I54" s="50">
        <f t="shared" si="31"/>
        <v>260280.17036518489</v>
      </c>
      <c r="J54" s="50">
        <f t="shared" ref="J54:N54" si="32">SUM(J52:J53)</f>
        <v>295435.79612518492</v>
      </c>
      <c r="K54" s="50">
        <f>SUM(K52:K53)</f>
        <v>333825.28281238489</v>
      </c>
      <c r="L54" s="50">
        <f t="shared" si="32"/>
        <v>377896.6435532489</v>
      </c>
      <c r="M54" s="50">
        <f t="shared" si="32"/>
        <v>271719.73129188316</v>
      </c>
      <c r="N54" s="50">
        <f t="shared" si="32"/>
        <v>321572.02988110005</v>
      </c>
      <c r="O54"/>
      <c r="P54"/>
      <c r="Q54"/>
      <c r="R54"/>
      <c r="S54"/>
      <c r="T54"/>
      <c r="U54"/>
    </row>
    <row r="55" spans="2:21" ht="16.5" outlineLevel="1" thickBot="1" x14ac:dyDescent="0.3">
      <c r="B55" s="39" t="s">
        <v>32</v>
      </c>
      <c r="C55" s="39"/>
      <c r="D55" s="40"/>
      <c r="E55" s="41">
        <f>E50+E54</f>
        <v>226376.12920000002</v>
      </c>
      <c r="F55" s="41">
        <f t="shared" ref="F55:I55" si="33">F50+F54</f>
        <v>239065.01269787797</v>
      </c>
      <c r="G55" s="41">
        <f t="shared" si="33"/>
        <v>240252.1065830093</v>
      </c>
      <c r="H55" s="41">
        <f t="shared" si="33"/>
        <v>267318.68560660462</v>
      </c>
      <c r="I55" s="41">
        <f t="shared" si="33"/>
        <v>295951.17036518489</v>
      </c>
      <c r="J55" s="41">
        <f t="shared" ref="J55:N55" si="34">J50+J54</f>
        <v>331373.52794436301</v>
      </c>
      <c r="K55" s="41">
        <f>K50+K54</f>
        <v>370030.212563426</v>
      </c>
      <c r="L55" s="41">
        <f t="shared" si="34"/>
        <v>394175.36165808619</v>
      </c>
      <c r="M55" s="41">
        <f t="shared" si="34"/>
        <v>288218.20453038975</v>
      </c>
      <c r="N55" s="41">
        <f t="shared" si="34"/>
        <v>338079.52877688233</v>
      </c>
      <c r="O55"/>
      <c r="P55"/>
      <c r="Q55"/>
      <c r="R55"/>
      <c r="S55"/>
      <c r="T55"/>
      <c r="U55"/>
    </row>
    <row r="56" spans="2:21" ht="16.5" outlineLevel="1" thickTop="1" x14ac:dyDescent="0.25">
      <c r="E56" s="14"/>
      <c r="F56" s="14"/>
      <c r="G56" s="14"/>
      <c r="H56" s="14"/>
      <c r="I56" s="14"/>
      <c r="J56" s="14"/>
      <c r="K56" s="14"/>
      <c r="L56" s="14"/>
      <c r="M56" s="14"/>
      <c r="N56" s="14"/>
      <c r="O56"/>
      <c r="P56"/>
      <c r="Q56"/>
      <c r="R56"/>
      <c r="S56"/>
      <c r="T56"/>
      <c r="U56"/>
    </row>
    <row r="57" spans="2:21" outlineLevel="1" x14ac:dyDescent="0.25">
      <c r="B57" s="10" t="s">
        <v>50</v>
      </c>
      <c r="C57" s="9"/>
      <c r="D57" s="27"/>
      <c r="E57" s="66">
        <f>E55-E45</f>
        <v>0</v>
      </c>
      <c r="F57" s="66">
        <f>F55-F45</f>
        <v>0</v>
      </c>
      <c r="G57" s="66">
        <f t="shared" ref="G57:I57" si="35">G55-G45</f>
        <v>0</v>
      </c>
      <c r="H57" s="66">
        <f t="shared" si="35"/>
        <v>0</v>
      </c>
      <c r="I57" s="66">
        <f t="shared" si="35"/>
        <v>0</v>
      </c>
      <c r="J57" s="66">
        <f t="shared" ref="J57:N57" si="36">J55-J45</f>
        <v>0</v>
      </c>
      <c r="K57" s="66">
        <f t="shared" si="36"/>
        <v>0</v>
      </c>
      <c r="L57" s="66">
        <f t="shared" si="36"/>
        <v>0</v>
      </c>
      <c r="M57" s="66">
        <f t="shared" si="36"/>
        <v>0</v>
      </c>
      <c r="N57" s="66">
        <f t="shared" si="36"/>
        <v>0</v>
      </c>
      <c r="O57"/>
      <c r="P57"/>
      <c r="Q57"/>
      <c r="R57"/>
      <c r="S57"/>
      <c r="T57"/>
      <c r="U57"/>
    </row>
    <row r="58" spans="2:21" outlineLevel="1" x14ac:dyDescent="0.25">
      <c r="B58" s="9"/>
      <c r="C58" s="9"/>
      <c r="D58" s="27"/>
      <c r="E58" s="9"/>
      <c r="F58" s="9"/>
      <c r="G58" s="9"/>
      <c r="H58" s="9"/>
      <c r="I58" s="9"/>
      <c r="J58" s="9"/>
      <c r="K58" s="9"/>
      <c r="L58" s="9"/>
      <c r="M58" s="9"/>
      <c r="N58" s="9"/>
      <c r="O58"/>
      <c r="P58"/>
      <c r="Q58"/>
      <c r="R58"/>
      <c r="S58"/>
      <c r="T58"/>
      <c r="U58"/>
    </row>
    <row r="59" spans="2:21" x14ac:dyDescent="0.25">
      <c r="E59" s="14"/>
      <c r="F59" s="14"/>
      <c r="G59" s="14"/>
      <c r="H59" s="14"/>
      <c r="I59" s="14"/>
      <c r="O59"/>
      <c r="P59"/>
      <c r="Q59"/>
      <c r="R59"/>
      <c r="S59"/>
      <c r="T59"/>
      <c r="U59"/>
    </row>
    <row r="60" spans="2:21" ht="18" x14ac:dyDescent="0.25">
      <c r="B60" s="65" t="s">
        <v>49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/>
      <c r="P60"/>
      <c r="Q60"/>
      <c r="R60"/>
      <c r="S60"/>
      <c r="T60"/>
      <c r="U60"/>
    </row>
    <row r="61" spans="2:21" outlineLevel="1" x14ac:dyDescent="0.25">
      <c r="B61" s="3" t="s">
        <v>33</v>
      </c>
      <c r="E61" s="14"/>
      <c r="F61" s="14"/>
      <c r="G61" s="14"/>
      <c r="H61" s="14"/>
      <c r="I61" s="14"/>
    </row>
    <row r="62" spans="2:21" outlineLevel="1" x14ac:dyDescent="0.25">
      <c r="B62" s="1" t="s">
        <v>9</v>
      </c>
      <c r="E62" s="1">
        <f t="shared" ref="E62:J62" si="37">E36</f>
        <v>2473.8292000000001</v>
      </c>
      <c r="F62" s="1">
        <f t="shared" si="37"/>
        <v>11790.783497877968</v>
      </c>
      <c r="G62" s="1">
        <f t="shared" si="37"/>
        <v>21075.193885131324</v>
      </c>
      <c r="H62" s="1">
        <f t="shared" si="37"/>
        <v>26713.479023595311</v>
      </c>
      <c r="I62" s="1">
        <f t="shared" si="37"/>
        <v>28226.884758580287</v>
      </c>
      <c r="J62" s="1">
        <f t="shared" si="37"/>
        <v>35155.62576000001</v>
      </c>
      <c r="K62" s="103">
        <f>K36</f>
        <v>38389.486687199991</v>
      </c>
      <c r="L62" s="1">
        <f t="shared" ref="L62:N62" si="38">L36</f>
        <v>44071.360740863995</v>
      </c>
      <c r="M62" s="1">
        <f t="shared" si="38"/>
        <v>43823.087738634233</v>
      </c>
      <c r="N62" s="1">
        <f t="shared" si="38"/>
        <v>49852.298589216902</v>
      </c>
    </row>
    <row r="63" spans="2:21" outlineLevel="1" x14ac:dyDescent="0.25">
      <c r="B63" s="1" t="s">
        <v>34</v>
      </c>
      <c r="E63" s="1">
        <f>+E30</f>
        <v>19500</v>
      </c>
      <c r="F63" s="1">
        <f t="shared" ref="F63:I63" si="39">+F30</f>
        <v>18150</v>
      </c>
      <c r="G63" s="1">
        <f t="shared" si="39"/>
        <v>17205</v>
      </c>
      <c r="H63" s="1">
        <f t="shared" si="39"/>
        <v>16543.5</v>
      </c>
      <c r="I63" s="1">
        <f t="shared" si="39"/>
        <v>16080.449999999999</v>
      </c>
      <c r="J63" s="1">
        <f>+J30</f>
        <v>15008.420000000002</v>
      </c>
      <c r="K63" s="1">
        <f>+K30</f>
        <v>15005.052000000003</v>
      </c>
      <c r="L63" s="1">
        <f t="shared" ref="L63:N63" si="40">+L30</f>
        <v>13003.031200000001</v>
      </c>
      <c r="M63" s="1">
        <f t="shared" si="40"/>
        <v>17801.818719999999</v>
      </c>
      <c r="N63" s="1">
        <f t="shared" si="40"/>
        <v>14681.091232000001</v>
      </c>
    </row>
    <row r="64" spans="2:21" outlineLevel="1" x14ac:dyDescent="0.25">
      <c r="B64" s="1" t="s">
        <v>38</v>
      </c>
      <c r="E64" s="14">
        <v>9002.6500000000015</v>
      </c>
      <c r="F64" s="14">
        <v>1702.0499999999993</v>
      </c>
      <c r="G64" s="14">
        <v>774.84999999999854</v>
      </c>
      <c r="H64" s="14">
        <v>902.90000000000146</v>
      </c>
      <c r="I64" s="14">
        <v>827.14999999999782</v>
      </c>
      <c r="J64" s="1">
        <f>J89</f>
        <v>374.75066301369952</v>
      </c>
      <c r="K64" s="1">
        <f>K89</f>
        <v>611.2957798356183</v>
      </c>
      <c r="L64" s="1">
        <f t="shared" ref="L64:N64" si="41">L89</f>
        <v>398.13077379945025</v>
      </c>
      <c r="M64" s="1">
        <f t="shared" si="41"/>
        <v>510.7822025827063</v>
      </c>
      <c r="N64" s="1">
        <f t="shared" si="41"/>
        <v>272.23333836986603</v>
      </c>
    </row>
    <row r="65" spans="2:14" outlineLevel="1" x14ac:dyDescent="0.25">
      <c r="B65" s="4" t="s">
        <v>35</v>
      </c>
      <c r="C65" s="5"/>
      <c r="D65" s="28"/>
      <c r="E65" s="17">
        <f>E62+E63-E64</f>
        <v>12971.179199999999</v>
      </c>
      <c r="F65" s="17">
        <f t="shared" ref="F65:J65" si="42">F62+F63-F64</f>
        <v>28238.733497877969</v>
      </c>
      <c r="G65" s="17">
        <f t="shared" si="42"/>
        <v>37505.343885131326</v>
      </c>
      <c r="H65" s="17">
        <f t="shared" si="42"/>
        <v>42354.07902359531</v>
      </c>
      <c r="I65" s="17">
        <f t="shared" si="42"/>
        <v>43480.18475858029</v>
      </c>
      <c r="J65" s="17">
        <f t="shared" si="42"/>
        <v>49789.295096986309</v>
      </c>
      <c r="K65" s="17">
        <f t="shared" ref="K65:N65" si="43">K62+K63-K64</f>
        <v>52783.242907364373</v>
      </c>
      <c r="L65" s="17">
        <f t="shared" si="43"/>
        <v>56676.261167064542</v>
      </c>
      <c r="M65" s="17">
        <f t="shared" si="43"/>
        <v>61114.124256051524</v>
      </c>
      <c r="N65" s="17">
        <f t="shared" si="43"/>
        <v>64261.156482847036</v>
      </c>
    </row>
    <row r="66" spans="2:14" outlineLevel="1" x14ac:dyDescent="0.25">
      <c r="B66" s="7"/>
      <c r="C66" s="6"/>
      <c r="D66" s="21"/>
      <c r="E66" s="44"/>
      <c r="F66" s="44"/>
      <c r="G66" s="44"/>
      <c r="H66" s="44"/>
      <c r="I66" s="44"/>
      <c r="J66" s="7"/>
      <c r="K66" s="7"/>
      <c r="L66" s="7"/>
      <c r="M66" s="7"/>
      <c r="N66" s="7"/>
    </row>
    <row r="67" spans="2:14" outlineLevel="1" x14ac:dyDescent="0.25">
      <c r="B67" s="3" t="s">
        <v>39</v>
      </c>
      <c r="E67" s="15"/>
      <c r="F67" s="15"/>
      <c r="G67" s="15"/>
      <c r="H67" s="15"/>
      <c r="I67" s="15"/>
      <c r="J67" s="6"/>
      <c r="K67" s="6"/>
      <c r="L67" s="6"/>
      <c r="M67" s="6"/>
      <c r="N67" s="6"/>
    </row>
    <row r="68" spans="2:14" outlineLevel="1" x14ac:dyDescent="0.25">
      <c r="B68" s="1" t="s">
        <v>40</v>
      </c>
      <c r="E68" s="15">
        <v>15000</v>
      </c>
      <c r="F68" s="15">
        <v>15000</v>
      </c>
      <c r="G68" s="15">
        <v>15000</v>
      </c>
      <c r="H68" s="15">
        <v>15000</v>
      </c>
      <c r="I68" s="15">
        <v>15000</v>
      </c>
      <c r="J68" s="6">
        <f>J18</f>
        <v>15000</v>
      </c>
      <c r="K68" s="6">
        <f>K18</f>
        <v>10000</v>
      </c>
      <c r="L68" s="6">
        <f t="shared" ref="L68:N68" si="44">L18</f>
        <v>25000</v>
      </c>
      <c r="M68" s="6">
        <f t="shared" si="44"/>
        <v>10000</v>
      </c>
      <c r="N68" s="6">
        <f t="shared" si="44"/>
        <v>15000</v>
      </c>
    </row>
    <row r="69" spans="2:14" outlineLevel="1" x14ac:dyDescent="0.25">
      <c r="B69" s="4" t="s">
        <v>41</v>
      </c>
      <c r="C69" s="5"/>
      <c r="D69" s="28"/>
      <c r="E69" s="17">
        <f>SUM(E68)</f>
        <v>15000</v>
      </c>
      <c r="F69" s="17">
        <f t="shared" ref="F69:J69" si="45">SUM(F68)</f>
        <v>15000</v>
      </c>
      <c r="G69" s="17">
        <f t="shared" si="45"/>
        <v>15000</v>
      </c>
      <c r="H69" s="17">
        <f t="shared" si="45"/>
        <v>15000</v>
      </c>
      <c r="I69" s="17">
        <f t="shared" si="45"/>
        <v>15000</v>
      </c>
      <c r="J69" s="17">
        <f t="shared" si="45"/>
        <v>15000</v>
      </c>
      <c r="K69" s="17">
        <f>SUM(K68)</f>
        <v>10000</v>
      </c>
      <c r="L69" s="17">
        <f t="shared" ref="L69:N69" si="46">SUM(L68)</f>
        <v>25000</v>
      </c>
      <c r="M69" s="17">
        <f t="shared" si="46"/>
        <v>10000</v>
      </c>
      <c r="N69" s="17">
        <f t="shared" si="46"/>
        <v>15000</v>
      </c>
    </row>
    <row r="70" spans="2:14" outlineLevel="1" x14ac:dyDescent="0.25">
      <c r="B70" s="7"/>
      <c r="C70" s="6"/>
      <c r="D70" s="21"/>
      <c r="E70" s="44"/>
      <c r="F70" s="44"/>
      <c r="G70" s="44"/>
      <c r="H70" s="44"/>
      <c r="I70" s="44"/>
      <c r="J70" s="7"/>
      <c r="K70" s="7"/>
      <c r="L70" s="7"/>
      <c r="M70" s="7"/>
      <c r="N70" s="7"/>
    </row>
    <row r="71" spans="2:14" outlineLevel="1" x14ac:dyDescent="0.25">
      <c r="B71" s="3" t="s">
        <v>42</v>
      </c>
      <c r="E71" s="15"/>
      <c r="F71" s="15"/>
      <c r="G71" s="15"/>
      <c r="H71" s="15"/>
      <c r="I71" s="15"/>
      <c r="J71" s="6"/>
      <c r="K71" s="6"/>
      <c r="L71" s="6"/>
      <c r="M71" s="6"/>
      <c r="N71" s="6"/>
    </row>
    <row r="72" spans="2:14" outlineLevel="1" x14ac:dyDescent="0.25">
      <c r="B72" s="1" t="s">
        <v>43</v>
      </c>
      <c r="E72" s="15">
        <v>0</v>
      </c>
      <c r="F72" s="15">
        <v>0</v>
      </c>
      <c r="G72" s="15">
        <v>-20000</v>
      </c>
      <c r="H72" s="15">
        <v>0</v>
      </c>
      <c r="I72" s="15">
        <v>0</v>
      </c>
      <c r="J72" s="6">
        <f>J19</f>
        <v>0</v>
      </c>
      <c r="K72" s="6">
        <f t="shared" ref="K72:N72" si="47">K19</f>
        <v>0</v>
      </c>
      <c r="L72" s="6">
        <f t="shared" si="47"/>
        <v>-20000</v>
      </c>
      <c r="M72" s="6">
        <f t="shared" si="47"/>
        <v>0</v>
      </c>
      <c r="N72" s="6">
        <f t="shared" si="47"/>
        <v>0</v>
      </c>
    </row>
    <row r="73" spans="2:14" outlineLevel="1" x14ac:dyDescent="0.25">
      <c r="B73" s="1" t="s">
        <v>44</v>
      </c>
      <c r="E73" s="15">
        <v>170000</v>
      </c>
      <c r="F73" s="15">
        <v>0</v>
      </c>
      <c r="G73" s="15">
        <v>0</v>
      </c>
      <c r="H73" s="15">
        <v>0</v>
      </c>
      <c r="I73" s="15">
        <v>0</v>
      </c>
      <c r="J73" s="6">
        <f>J20</f>
        <v>0</v>
      </c>
      <c r="K73" s="6">
        <f t="shared" ref="K73:N73" si="48">K20</f>
        <v>0</v>
      </c>
      <c r="L73" s="6">
        <f t="shared" si="48"/>
        <v>0</v>
      </c>
      <c r="M73" s="6">
        <f t="shared" si="48"/>
        <v>-150000</v>
      </c>
      <c r="N73" s="6">
        <f t="shared" si="48"/>
        <v>0</v>
      </c>
    </row>
    <row r="74" spans="2:14" outlineLevel="1" x14ac:dyDescent="0.25">
      <c r="B74" s="4" t="s">
        <v>45</v>
      </c>
      <c r="C74" s="5"/>
      <c r="D74" s="28"/>
      <c r="E74" s="17">
        <f>SUM(E72:E73)</f>
        <v>170000</v>
      </c>
      <c r="F74" s="17">
        <f t="shared" ref="F74:J74" si="49">SUM(F72:F73)</f>
        <v>0</v>
      </c>
      <c r="G74" s="17">
        <f t="shared" si="49"/>
        <v>-20000</v>
      </c>
      <c r="H74" s="17">
        <f t="shared" si="49"/>
        <v>0</v>
      </c>
      <c r="I74" s="17">
        <f t="shared" si="49"/>
        <v>0</v>
      </c>
      <c r="J74" s="17">
        <f t="shared" si="49"/>
        <v>0</v>
      </c>
      <c r="K74" s="17">
        <f t="shared" ref="K74:N74" si="50">SUM(K72:K73)</f>
        <v>0</v>
      </c>
      <c r="L74" s="17">
        <f t="shared" si="50"/>
        <v>-20000</v>
      </c>
      <c r="M74" s="17">
        <f t="shared" si="50"/>
        <v>-150000</v>
      </c>
      <c r="N74" s="17">
        <f t="shared" si="50"/>
        <v>0</v>
      </c>
    </row>
    <row r="75" spans="2:14" outlineLevel="1" x14ac:dyDescent="0.25">
      <c r="B75" s="7"/>
      <c r="C75" s="6"/>
      <c r="D75" s="21"/>
      <c r="E75" s="44"/>
      <c r="F75" s="44"/>
      <c r="G75" s="44"/>
      <c r="H75" s="44"/>
      <c r="I75" s="44"/>
      <c r="J75" s="7"/>
      <c r="K75" s="7"/>
      <c r="L75" s="7"/>
      <c r="M75" s="7"/>
      <c r="N75" s="7"/>
    </row>
    <row r="76" spans="2:14" outlineLevel="1" x14ac:dyDescent="0.25">
      <c r="B76" s="1" t="s">
        <v>46</v>
      </c>
      <c r="E76" s="48">
        <f>E65-E69+E74</f>
        <v>167971.17920000001</v>
      </c>
      <c r="F76" s="48">
        <f t="shared" ref="F76:J76" si="51">F65-F69+F74</f>
        <v>13238.733497877969</v>
      </c>
      <c r="G76" s="48">
        <f t="shared" si="51"/>
        <v>2505.3438851313258</v>
      </c>
      <c r="H76" s="48">
        <f t="shared" si="51"/>
        <v>27354.07902359531</v>
      </c>
      <c r="I76" s="48">
        <f t="shared" si="51"/>
        <v>28480.18475858029</v>
      </c>
      <c r="J76" s="48">
        <f t="shared" si="51"/>
        <v>34789.295096986309</v>
      </c>
      <c r="K76" s="48">
        <f>K65-K69+K74</f>
        <v>42783.242907364373</v>
      </c>
      <c r="L76" s="48">
        <f t="shared" ref="L76:N76" si="52">L65-L69+L74</f>
        <v>11676.261167064542</v>
      </c>
      <c r="M76" s="48">
        <f t="shared" si="52"/>
        <v>-98885.875743948476</v>
      </c>
      <c r="N76" s="48">
        <f t="shared" si="52"/>
        <v>49261.156482847036</v>
      </c>
    </row>
    <row r="77" spans="2:14" outlineLevel="1" x14ac:dyDescent="0.25">
      <c r="B77" s="1" t="s">
        <v>47</v>
      </c>
      <c r="E77" s="6">
        <f>D78</f>
        <v>0</v>
      </c>
      <c r="F77" s="15">
        <v>167971.17920000001</v>
      </c>
      <c r="G77" s="15">
        <v>181209.91269787797</v>
      </c>
      <c r="H77" s="15">
        <v>183715.25658300929</v>
      </c>
      <c r="I77" s="15">
        <v>211069.33560660461</v>
      </c>
      <c r="J77" s="6">
        <f>+I78</f>
        <v>239549.5203651849</v>
      </c>
      <c r="K77" s="6">
        <f>+J78</f>
        <v>274338.81546217122</v>
      </c>
      <c r="L77" s="6">
        <f t="shared" ref="L77:N77" si="53">+K78</f>
        <v>317122.0583695356</v>
      </c>
      <c r="M77" s="6">
        <f t="shared" si="53"/>
        <v>328798.31953660015</v>
      </c>
      <c r="N77" s="6">
        <f t="shared" si="53"/>
        <v>229912.44379265167</v>
      </c>
    </row>
    <row r="78" spans="2:14" outlineLevel="1" x14ac:dyDescent="0.25">
      <c r="B78" s="4" t="s">
        <v>48</v>
      </c>
      <c r="C78" s="5"/>
      <c r="D78" s="28"/>
      <c r="E78" s="17">
        <f>SUM(E76:E77)</f>
        <v>167971.17920000001</v>
      </c>
      <c r="F78" s="17">
        <f t="shared" ref="F78:J78" si="54">SUM(F76:F77)</f>
        <v>181209.91269787797</v>
      </c>
      <c r="G78" s="17">
        <f t="shared" si="54"/>
        <v>183715.25658300929</v>
      </c>
      <c r="H78" s="17">
        <f t="shared" si="54"/>
        <v>211069.33560660461</v>
      </c>
      <c r="I78" s="17">
        <f t="shared" si="54"/>
        <v>239549.5203651849</v>
      </c>
      <c r="J78" s="17">
        <f t="shared" si="54"/>
        <v>274338.81546217122</v>
      </c>
      <c r="K78" s="100">
        <f>SUM(K76:K77)</f>
        <v>317122.0583695356</v>
      </c>
      <c r="L78" s="17">
        <f t="shared" ref="L78:N78" si="55">SUM(L76:L77)</f>
        <v>328798.31953660015</v>
      </c>
      <c r="M78" s="17">
        <f t="shared" si="55"/>
        <v>229912.44379265167</v>
      </c>
      <c r="N78" s="17">
        <f t="shared" si="55"/>
        <v>279173.6002754987</v>
      </c>
    </row>
    <row r="79" spans="2:14" outlineLevel="1" x14ac:dyDescent="0.25">
      <c r="B79" s="3"/>
      <c r="E79" s="44"/>
      <c r="F79" s="14"/>
      <c r="G79" s="14"/>
      <c r="H79" s="14"/>
      <c r="I79" s="14"/>
    </row>
    <row r="80" spans="2:14" outlineLevel="1" x14ac:dyDescent="0.25">
      <c r="B80" s="10" t="s">
        <v>50</v>
      </c>
      <c r="C80" s="9"/>
      <c r="D80" s="27"/>
      <c r="E80" s="66">
        <f>E78-E41</f>
        <v>0</v>
      </c>
      <c r="F80" s="66">
        <f t="shared" ref="F80:J80" si="56">F78-F41</f>
        <v>0</v>
      </c>
      <c r="G80" s="66">
        <f t="shared" si="56"/>
        <v>0</v>
      </c>
      <c r="H80" s="66">
        <f t="shared" si="56"/>
        <v>0</v>
      </c>
      <c r="I80" s="66">
        <f t="shared" si="56"/>
        <v>0</v>
      </c>
      <c r="J80" s="66">
        <f t="shared" si="56"/>
        <v>0</v>
      </c>
      <c r="K80" s="66">
        <f t="shared" ref="K80:N80" si="57">K78-K41</f>
        <v>0</v>
      </c>
      <c r="L80" s="66">
        <f t="shared" si="57"/>
        <v>0</v>
      </c>
      <c r="M80" s="66">
        <f t="shared" si="57"/>
        <v>0</v>
      </c>
      <c r="N80" s="66">
        <f t="shared" si="57"/>
        <v>0</v>
      </c>
    </row>
    <row r="81" spans="2:14" outlineLevel="1" x14ac:dyDescent="0.25">
      <c r="B81" s="3"/>
      <c r="E81" s="44"/>
      <c r="F81" s="14"/>
      <c r="G81" s="14"/>
      <c r="H81" s="14"/>
      <c r="I81" s="14"/>
    </row>
    <row r="82" spans="2:14" x14ac:dyDescent="0.25">
      <c r="E82" s="14"/>
      <c r="F82" s="14"/>
      <c r="G82" s="14"/>
      <c r="H82" s="14"/>
      <c r="I82" s="14"/>
    </row>
    <row r="83" spans="2:14" ht="18" x14ac:dyDescent="0.25">
      <c r="B83" s="65" t="s">
        <v>51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2:14" hidden="1" outlineLevel="1" x14ac:dyDescent="0.25">
      <c r="B84" s="3" t="s">
        <v>52</v>
      </c>
      <c r="F84" s="14"/>
      <c r="G84" s="14"/>
      <c r="H84" s="14"/>
      <c r="I84" s="14"/>
    </row>
    <row r="85" spans="2:14" hidden="1" outlineLevel="1" x14ac:dyDescent="0.25">
      <c r="B85" s="1" t="s">
        <v>13</v>
      </c>
      <c r="E85" s="14">
        <v>5100.3500000000004</v>
      </c>
      <c r="F85" s="14">
        <v>5904.3</v>
      </c>
      <c r="G85" s="14">
        <v>6567.25</v>
      </c>
      <c r="H85" s="14">
        <v>7117.05</v>
      </c>
      <c r="I85" s="14">
        <v>7538.6</v>
      </c>
      <c r="J85" s="1">
        <f>J42</f>
        <v>7807.0980821917819</v>
      </c>
      <c r="K85" s="1">
        <f t="shared" ref="K85:N85" si="58">K42</f>
        <v>8158.4174958904105</v>
      </c>
      <c r="L85" s="1">
        <f t="shared" si="58"/>
        <v>8484.7541957260273</v>
      </c>
      <c r="M85" s="1">
        <f t="shared" si="58"/>
        <v>8781.7205925764374</v>
      </c>
      <c r="N85" s="1">
        <f t="shared" si="58"/>
        <v>9045.1722103537304</v>
      </c>
    </row>
    <row r="86" spans="2:14" hidden="1" outlineLevel="1" x14ac:dyDescent="0.25">
      <c r="B86" s="1" t="s">
        <v>19</v>
      </c>
      <c r="E86" s="14">
        <v>7804.6</v>
      </c>
      <c r="F86" s="14">
        <v>9600.8000000000011</v>
      </c>
      <c r="G86" s="14">
        <v>9824.6</v>
      </c>
      <c r="H86" s="14">
        <v>10530.800000000001</v>
      </c>
      <c r="I86" s="14">
        <v>11342</v>
      </c>
      <c r="J86" s="1">
        <f>J43</f>
        <v>11714.984399999999</v>
      </c>
      <c r="K86" s="1">
        <f t="shared" ref="K86:N86" si="59">K43</f>
        <v>12242.158697999999</v>
      </c>
      <c r="L86" s="1">
        <f t="shared" si="59"/>
        <v>12387.741125759998</v>
      </c>
      <c r="M86" s="1">
        <f t="shared" si="59"/>
        <v>12821.312065161599</v>
      </c>
      <c r="N86" s="1">
        <f t="shared" si="59"/>
        <v>12839.119443029876</v>
      </c>
    </row>
    <row r="87" spans="2:14" hidden="1" outlineLevel="1" x14ac:dyDescent="0.25">
      <c r="B87" s="1" t="s">
        <v>22</v>
      </c>
      <c r="E87" s="14">
        <v>3902.3</v>
      </c>
      <c r="F87" s="14">
        <v>4800.4000000000005</v>
      </c>
      <c r="G87" s="14">
        <v>4912.3</v>
      </c>
      <c r="H87" s="14">
        <v>5265.4000000000005</v>
      </c>
      <c r="I87" s="14">
        <v>5671</v>
      </c>
      <c r="J87" s="1">
        <f>J48</f>
        <v>5937.7318191780823</v>
      </c>
      <c r="K87" s="1">
        <f t="shared" ref="K87:N87" si="60">K48</f>
        <v>6204.9297510410952</v>
      </c>
      <c r="L87" s="1">
        <f t="shared" si="60"/>
        <v>6278.7181048372595</v>
      </c>
      <c r="M87" s="1">
        <f t="shared" si="60"/>
        <v>6498.4732385065636</v>
      </c>
      <c r="N87" s="1">
        <f t="shared" si="60"/>
        <v>6507.498895782267</v>
      </c>
    </row>
    <row r="88" spans="2:14" hidden="1" outlineLevel="1" x14ac:dyDescent="0.25">
      <c r="B88" s="5" t="s">
        <v>37</v>
      </c>
      <c r="C88" s="5"/>
      <c r="D88" s="28"/>
      <c r="E88" s="51">
        <f>E85+E86-E87</f>
        <v>9002.6500000000015</v>
      </c>
      <c r="F88" s="51">
        <f t="shared" ref="F88:I88" si="61">F85+F86-F87</f>
        <v>10704.7</v>
      </c>
      <c r="G88" s="51">
        <f t="shared" si="61"/>
        <v>11479.55</v>
      </c>
      <c r="H88" s="51">
        <f t="shared" si="61"/>
        <v>12382.45</v>
      </c>
      <c r="I88" s="51">
        <f t="shared" si="61"/>
        <v>13209.599999999999</v>
      </c>
      <c r="J88" s="51">
        <f t="shared" ref="J88:N88" si="62">J85+J86-J87</f>
        <v>13584.350663013698</v>
      </c>
      <c r="K88" s="51">
        <f t="shared" si="62"/>
        <v>14195.646442849316</v>
      </c>
      <c r="L88" s="51">
        <f t="shared" si="62"/>
        <v>14593.777216648767</v>
      </c>
      <c r="M88" s="51">
        <f t="shared" si="62"/>
        <v>15104.559419231473</v>
      </c>
      <c r="N88" s="51">
        <f t="shared" si="62"/>
        <v>15376.792757601339</v>
      </c>
    </row>
    <row r="89" spans="2:14" hidden="1" outlineLevel="1" x14ac:dyDescent="0.25">
      <c r="B89" s="1" t="s">
        <v>36</v>
      </c>
      <c r="E89" s="52">
        <f>E88-D88</f>
        <v>9002.6500000000015</v>
      </c>
      <c r="F89" s="52">
        <f t="shared" ref="F89:J89" si="63">F88-E88</f>
        <v>1702.0499999999993</v>
      </c>
      <c r="G89" s="52">
        <f t="shared" si="63"/>
        <v>774.84999999999854</v>
      </c>
      <c r="H89" s="52">
        <f t="shared" si="63"/>
        <v>902.90000000000146</v>
      </c>
      <c r="I89" s="52">
        <f t="shared" si="63"/>
        <v>827.14999999999782</v>
      </c>
      <c r="J89" s="52">
        <f t="shared" si="63"/>
        <v>374.75066301369952</v>
      </c>
      <c r="K89" s="52">
        <f t="shared" ref="K89" si="64">K88-J88</f>
        <v>611.2957798356183</v>
      </c>
      <c r="L89" s="52">
        <f t="shared" ref="L89" si="65">L88-K88</f>
        <v>398.13077379945025</v>
      </c>
      <c r="M89" s="52">
        <f t="shared" ref="M89" si="66">M88-L88</f>
        <v>510.7822025827063</v>
      </c>
      <c r="N89" s="52">
        <f t="shared" ref="N89" si="67">N88-M88</f>
        <v>272.23333836986603</v>
      </c>
    </row>
    <row r="90" spans="2:14" hidden="1" outlineLevel="1" x14ac:dyDescent="0.25">
      <c r="E90" s="14"/>
      <c r="F90" s="14"/>
      <c r="G90" s="14"/>
      <c r="H90" s="14"/>
      <c r="I90" s="14"/>
    </row>
    <row r="91" spans="2:14" hidden="1" outlineLevel="1" x14ac:dyDescent="0.25">
      <c r="B91" s="3" t="s">
        <v>53</v>
      </c>
      <c r="E91" s="14"/>
      <c r="F91" s="14"/>
      <c r="G91" s="14"/>
      <c r="H91" s="14"/>
      <c r="I91" s="14"/>
    </row>
    <row r="92" spans="2:14" hidden="1" outlineLevel="1" x14ac:dyDescent="0.25">
      <c r="B92" s="1" t="s">
        <v>15</v>
      </c>
      <c r="E92" s="14">
        <v>50000</v>
      </c>
      <c r="F92" s="14">
        <v>45500</v>
      </c>
      <c r="G92" s="14">
        <v>42350</v>
      </c>
      <c r="H92" s="14">
        <v>40145</v>
      </c>
      <c r="I92" s="14">
        <v>38601.5</v>
      </c>
      <c r="J92" s="1">
        <f>I95</f>
        <v>37521.050000000003</v>
      </c>
      <c r="K92" s="1">
        <f t="shared" ref="K92:N92" si="68">J95</f>
        <v>37512.630000000005</v>
      </c>
      <c r="L92" s="1">
        <f t="shared" si="68"/>
        <v>32507.578000000001</v>
      </c>
      <c r="M92" s="1">
        <f t="shared" si="68"/>
        <v>44504.546799999996</v>
      </c>
      <c r="N92" s="1">
        <f t="shared" si="68"/>
        <v>36702.728080000001</v>
      </c>
    </row>
    <row r="93" spans="2:14" hidden="1" outlineLevel="1" x14ac:dyDescent="0.25">
      <c r="B93" s="1" t="s">
        <v>16</v>
      </c>
      <c r="E93" s="14">
        <v>15000</v>
      </c>
      <c r="F93" s="14">
        <v>15000</v>
      </c>
      <c r="G93" s="14">
        <v>15000</v>
      </c>
      <c r="H93" s="14">
        <v>15000</v>
      </c>
      <c r="I93" s="14">
        <v>15000</v>
      </c>
      <c r="J93" s="1">
        <f>+J18</f>
        <v>15000</v>
      </c>
      <c r="K93" s="1">
        <f t="shared" ref="K93:N93" si="69">+K18</f>
        <v>10000</v>
      </c>
      <c r="L93" s="1">
        <f t="shared" si="69"/>
        <v>25000</v>
      </c>
      <c r="M93" s="1">
        <f t="shared" si="69"/>
        <v>10000</v>
      </c>
      <c r="N93" s="1">
        <f t="shared" si="69"/>
        <v>15000</v>
      </c>
    </row>
    <row r="94" spans="2:14" hidden="1" outlineLevel="1" x14ac:dyDescent="0.25">
      <c r="B94" s="1" t="s">
        <v>17</v>
      </c>
      <c r="D94"/>
      <c r="E94" s="14">
        <v>19500</v>
      </c>
      <c r="F94" s="14">
        <v>18150</v>
      </c>
      <c r="G94" s="14">
        <v>17205</v>
      </c>
      <c r="H94" s="14">
        <v>16543.5</v>
      </c>
      <c r="I94" s="14">
        <v>16080.449999999999</v>
      </c>
      <c r="J94" s="55">
        <f>J92*J11</f>
        <v>15008.420000000002</v>
      </c>
      <c r="K94" s="98">
        <f>K92*K11</f>
        <v>15005.052000000003</v>
      </c>
      <c r="L94" s="55">
        <f t="shared" ref="L94:N94" si="70">L92*L11</f>
        <v>13003.031200000001</v>
      </c>
      <c r="M94" s="55">
        <f t="shared" si="70"/>
        <v>17801.818719999999</v>
      </c>
      <c r="N94" s="55">
        <f t="shared" si="70"/>
        <v>14681.091232000001</v>
      </c>
    </row>
    <row r="95" spans="2:14" hidden="1" outlineLevel="1" x14ac:dyDescent="0.25">
      <c r="B95" s="5" t="s">
        <v>18</v>
      </c>
      <c r="C95" s="5"/>
      <c r="D95" s="28"/>
      <c r="E95" s="51">
        <f>E92+E93-E94</f>
        <v>45500</v>
      </c>
      <c r="F95" s="51">
        <f t="shared" ref="F95:J95" si="71">F92+F93-F94</f>
        <v>42350</v>
      </c>
      <c r="G95" s="51">
        <f t="shared" si="71"/>
        <v>40145</v>
      </c>
      <c r="H95" s="51">
        <f t="shared" si="71"/>
        <v>38601.5</v>
      </c>
      <c r="I95" s="51">
        <f t="shared" si="71"/>
        <v>37521.050000000003</v>
      </c>
      <c r="J95" s="51">
        <f t="shared" si="71"/>
        <v>37512.630000000005</v>
      </c>
      <c r="K95" s="51">
        <f>K92+K93-K94</f>
        <v>32507.578000000001</v>
      </c>
      <c r="L95" s="51">
        <f t="shared" ref="L95:N95" si="72">L92+L93-L94</f>
        <v>44504.546799999996</v>
      </c>
      <c r="M95" s="51">
        <f t="shared" si="72"/>
        <v>36702.728080000001</v>
      </c>
      <c r="N95" s="51">
        <f t="shared" si="72"/>
        <v>37021.636848000002</v>
      </c>
    </row>
    <row r="96" spans="2:14" hidden="1" outlineLevel="1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hidden="1" outlineLevel="1" x14ac:dyDescent="0.25">
      <c r="B97" s="3" t="s">
        <v>54</v>
      </c>
      <c r="E97" s="14"/>
      <c r="F97" s="14"/>
      <c r="G97" s="14"/>
      <c r="H97" s="14"/>
      <c r="I97" s="14"/>
    </row>
    <row r="98" spans="2:14" hidden="1" outlineLevel="1" x14ac:dyDescent="0.25">
      <c r="B98" s="1" t="s">
        <v>24</v>
      </c>
      <c r="E98" s="14">
        <v>50000</v>
      </c>
      <c r="F98" s="14">
        <v>50000</v>
      </c>
      <c r="G98" s="14">
        <v>50000</v>
      </c>
      <c r="H98" s="14">
        <v>30000</v>
      </c>
      <c r="I98" s="14">
        <v>30000</v>
      </c>
      <c r="J98" s="1">
        <f>I100</f>
        <v>30000</v>
      </c>
      <c r="K98" s="1">
        <f t="shared" ref="K98:N98" si="73">J100</f>
        <v>30000</v>
      </c>
      <c r="L98" s="1">
        <f t="shared" si="73"/>
        <v>30000</v>
      </c>
      <c r="M98" s="1">
        <f t="shared" si="73"/>
        <v>10000</v>
      </c>
      <c r="N98" s="1">
        <f t="shared" si="73"/>
        <v>10000</v>
      </c>
    </row>
    <row r="99" spans="2:14" hidden="1" outlineLevel="1" x14ac:dyDescent="0.25">
      <c r="B99" s="1" t="s">
        <v>25</v>
      </c>
      <c r="E99" s="14">
        <v>0</v>
      </c>
      <c r="F99" s="14">
        <v>0</v>
      </c>
      <c r="G99" s="14">
        <v>-20000</v>
      </c>
      <c r="H99" s="14">
        <v>0</v>
      </c>
      <c r="I99" s="14">
        <v>0</v>
      </c>
      <c r="J99" s="34">
        <f>+J19</f>
        <v>0</v>
      </c>
      <c r="K99" s="34">
        <f t="shared" ref="K99:N99" si="74">+K19</f>
        <v>0</v>
      </c>
      <c r="L99" s="34">
        <f t="shared" si="74"/>
        <v>-20000</v>
      </c>
      <c r="M99" s="34">
        <f t="shared" si="74"/>
        <v>0</v>
      </c>
      <c r="N99" s="34">
        <f t="shared" si="74"/>
        <v>0</v>
      </c>
    </row>
    <row r="100" spans="2:14" hidden="1" outlineLevel="1" x14ac:dyDescent="0.25">
      <c r="B100" s="5" t="s">
        <v>26</v>
      </c>
      <c r="C100" s="5"/>
      <c r="D100" s="28"/>
      <c r="E100" s="51">
        <f>SUM(E98:E99)</f>
        <v>50000</v>
      </c>
      <c r="F100" s="51">
        <f t="shared" ref="F100:J100" si="75">SUM(F98:F99)</f>
        <v>50000</v>
      </c>
      <c r="G100" s="51">
        <f t="shared" si="75"/>
        <v>30000</v>
      </c>
      <c r="H100" s="51">
        <f t="shared" si="75"/>
        <v>30000</v>
      </c>
      <c r="I100" s="51">
        <f t="shared" si="75"/>
        <v>30000</v>
      </c>
      <c r="J100" s="51">
        <f t="shared" si="75"/>
        <v>30000</v>
      </c>
      <c r="K100" s="51">
        <f t="shared" ref="K100:N100" si="76">SUM(K98:K99)</f>
        <v>30000</v>
      </c>
      <c r="L100" s="51">
        <f t="shared" si="76"/>
        <v>10000</v>
      </c>
      <c r="M100" s="51">
        <f t="shared" si="76"/>
        <v>10000</v>
      </c>
      <c r="N100" s="51">
        <f t="shared" si="76"/>
        <v>10000</v>
      </c>
    </row>
    <row r="101" spans="2:14" hidden="1" outlineLevel="1" x14ac:dyDescent="0.25">
      <c r="B101" s="1" t="s">
        <v>27</v>
      </c>
      <c r="D101"/>
      <c r="E101" s="14">
        <v>2500</v>
      </c>
      <c r="F101" s="14">
        <v>2500</v>
      </c>
      <c r="G101" s="14">
        <v>1500</v>
      </c>
      <c r="H101" s="14">
        <v>900</v>
      </c>
      <c r="I101" s="14">
        <v>900</v>
      </c>
      <c r="J101" s="1">
        <f>J98*J12</f>
        <v>900</v>
      </c>
      <c r="K101" s="96">
        <f>K98*K12</f>
        <v>900</v>
      </c>
      <c r="L101" s="1">
        <f t="shared" ref="L101:N101" si="77">L98*L12</f>
        <v>900</v>
      </c>
      <c r="M101" s="1">
        <f t="shared" si="77"/>
        <v>300</v>
      </c>
      <c r="N101" s="1">
        <f t="shared" si="77"/>
        <v>300</v>
      </c>
    </row>
    <row r="102" spans="2:14" hidden="1" outlineLevel="1" x14ac:dyDescent="0.25">
      <c r="E102" s="14"/>
      <c r="F102" s="14"/>
      <c r="G102" s="67"/>
      <c r="H102" s="14"/>
      <c r="I102" s="14"/>
    </row>
    <row r="103" spans="2:14" hidden="1" outlineLevel="1" x14ac:dyDescent="0.25">
      <c r="E103" s="14"/>
      <c r="F103" s="14"/>
      <c r="G103" s="14"/>
      <c r="H103" s="14"/>
      <c r="I103" s="14"/>
    </row>
    <row r="104" spans="2:14" collapsed="1" x14ac:dyDescent="0.25">
      <c r="E104" s="14"/>
      <c r="F104" s="14"/>
      <c r="G104" s="14"/>
      <c r="H104" s="14"/>
      <c r="I104" s="14"/>
    </row>
    <row r="105" spans="2:14" ht="18" x14ac:dyDescent="0.25">
      <c r="B105" s="65" t="s">
        <v>86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</row>
    <row r="106" spans="2:14" hidden="1" outlineLevel="1" x14ac:dyDescent="0.25"/>
    <row r="107" spans="2:14" hidden="1" outlineLevel="1" x14ac:dyDescent="0.25"/>
    <row r="108" spans="2:14" hidden="1" outlineLevel="1" x14ac:dyDescent="0.25"/>
    <row r="109" spans="2:14" hidden="1" outlineLevel="1" x14ac:dyDescent="0.25"/>
    <row r="110" spans="2:14" hidden="1" outlineLevel="1" x14ac:dyDescent="0.25"/>
    <row r="111" spans="2:14" hidden="1" outlineLevel="1" x14ac:dyDescent="0.25"/>
    <row r="112" spans="2:14" hidden="1" outlineLevel="1" x14ac:dyDescent="0.25"/>
    <row r="113" spans="2:9" hidden="1" outlineLevel="1" x14ac:dyDescent="0.25"/>
    <row r="114" spans="2:9" hidden="1" outlineLevel="1" x14ac:dyDescent="0.25"/>
    <row r="115" spans="2:9" hidden="1" outlineLevel="1" x14ac:dyDescent="0.25"/>
    <row r="116" spans="2:9" hidden="1" outlineLevel="1" x14ac:dyDescent="0.25"/>
    <row r="117" spans="2:9" hidden="1" outlineLevel="1" x14ac:dyDescent="0.25"/>
    <row r="118" spans="2:9" hidden="1" outlineLevel="1" x14ac:dyDescent="0.25">
      <c r="C118" s="69"/>
      <c r="D118" s="69"/>
    </row>
    <row r="119" spans="2:9" hidden="1" outlineLevel="1" x14ac:dyDescent="0.25">
      <c r="B119" s="69"/>
      <c r="C119" s="69"/>
      <c r="D119" s="69"/>
    </row>
    <row r="120" spans="2:9" hidden="1" outlineLevel="1" x14ac:dyDescent="0.25"/>
    <row r="121" spans="2:9" hidden="1" outlineLevel="1" x14ac:dyDescent="0.25">
      <c r="B121" s="1" t="s">
        <v>87</v>
      </c>
      <c r="E121" s="1">
        <f>E24</f>
        <v>102007</v>
      </c>
      <c r="F121" s="1">
        <f>F24</f>
        <v>118086</v>
      </c>
      <c r="G121" s="1">
        <f>G24</f>
        <v>131345</v>
      </c>
      <c r="H121" s="1">
        <f>H24</f>
        <v>142341</v>
      </c>
      <c r="I121" s="1">
        <f>I24</f>
        <v>150772</v>
      </c>
    </row>
    <row r="122" spans="2:9" hidden="1" outlineLevel="1" x14ac:dyDescent="0.25">
      <c r="B122" s="1" t="s">
        <v>2</v>
      </c>
      <c r="E122" s="1">
        <f>E26</f>
        <v>62984</v>
      </c>
      <c r="F122" s="1">
        <f>F26</f>
        <v>70082</v>
      </c>
      <c r="G122" s="1">
        <f>G26</f>
        <v>82222</v>
      </c>
      <c r="H122" s="1">
        <f>H26</f>
        <v>89087</v>
      </c>
      <c r="I122" s="1">
        <f>I26</f>
        <v>93462</v>
      </c>
    </row>
    <row r="123" spans="2:9" hidden="1" outlineLevel="1" x14ac:dyDescent="0.25">
      <c r="B123" s="1" t="s">
        <v>88</v>
      </c>
      <c r="E123" s="1">
        <f>E33</f>
        <v>3594</v>
      </c>
      <c r="F123" s="1">
        <f>F33</f>
        <v>16649</v>
      </c>
      <c r="G123" s="1">
        <f>G33</f>
        <v>29558</v>
      </c>
      <c r="H123" s="1">
        <f>H33</f>
        <v>37621.5</v>
      </c>
      <c r="I123" s="1">
        <f>I33</f>
        <v>39824.550000000003</v>
      </c>
    </row>
    <row r="124" spans="2:9" hidden="1" outlineLevel="1" x14ac:dyDescent="0.25"/>
    <row r="125" spans="2:9" hidden="1" outlineLevel="1" x14ac:dyDescent="0.25">
      <c r="B125" s="1" t="s">
        <v>33</v>
      </c>
      <c r="E125" s="1">
        <f>E65</f>
        <v>12971.179199999999</v>
      </c>
      <c r="F125" s="1">
        <f>F65</f>
        <v>28238.733497877969</v>
      </c>
      <c r="G125" s="1">
        <f>G65</f>
        <v>37505.343885131326</v>
      </c>
      <c r="H125" s="1">
        <f>H65</f>
        <v>42354.07902359531</v>
      </c>
      <c r="I125" s="1">
        <f>I65</f>
        <v>43480.18475858029</v>
      </c>
    </row>
    <row r="126" spans="2:9" hidden="1" outlineLevel="1" x14ac:dyDescent="0.25">
      <c r="B126" s="1" t="s">
        <v>39</v>
      </c>
      <c r="E126" s="1">
        <f>-E69</f>
        <v>-15000</v>
      </c>
      <c r="F126" s="1">
        <f>-F69</f>
        <v>-15000</v>
      </c>
      <c r="G126" s="1">
        <f>-G69</f>
        <v>-15000</v>
      </c>
      <c r="H126" s="1">
        <f>-H69</f>
        <v>-15000</v>
      </c>
      <c r="I126" s="1">
        <f>-I69</f>
        <v>-15000</v>
      </c>
    </row>
    <row r="127" spans="2:9" hidden="1" outlineLevel="1" x14ac:dyDescent="0.25">
      <c r="B127" s="1" t="s">
        <v>42</v>
      </c>
      <c r="E127" s="1">
        <f>E74</f>
        <v>170000</v>
      </c>
      <c r="F127" s="1">
        <f>F74</f>
        <v>0</v>
      </c>
      <c r="G127" s="1">
        <f>G74</f>
        <v>-20000</v>
      </c>
      <c r="H127" s="1">
        <f>H74</f>
        <v>0</v>
      </c>
      <c r="I127" s="1">
        <f>I74</f>
        <v>0</v>
      </c>
    </row>
    <row r="128" spans="2:9" hidden="1" outlineLevel="1" x14ac:dyDescent="0.25"/>
    <row r="129" spans="2:14" collapsed="1" x14ac:dyDescent="0.25"/>
    <row r="131" spans="2:14" x14ac:dyDescent="0.25">
      <c r="B131" s="68" t="s">
        <v>77</v>
      </c>
    </row>
    <row r="132" spans="2:14" x14ac:dyDescent="0.25">
      <c r="B132" s="69"/>
      <c r="C132" s="69"/>
      <c r="D132" s="69"/>
    </row>
    <row r="133" spans="2:14" x14ac:dyDescent="0.25">
      <c r="B133" s="69"/>
      <c r="C133" s="69"/>
      <c r="D133" s="69"/>
    </row>
    <row r="134" spans="2:14" x14ac:dyDescent="0.25">
      <c r="B134" s="69"/>
      <c r="C134" s="69"/>
      <c r="D134" s="69"/>
    </row>
    <row r="135" spans="2:14" x14ac:dyDescent="0.25">
      <c r="B135" s="69"/>
      <c r="C135" s="69"/>
      <c r="D135" s="69"/>
    </row>
    <row r="136" spans="2:14" x14ac:dyDescent="0.25">
      <c r="B136" s="69"/>
      <c r="C136" s="69"/>
      <c r="D136" s="69"/>
    </row>
    <row r="137" spans="2:14" x14ac:dyDescent="0.25">
      <c r="B137" s="69" t="s">
        <v>78</v>
      </c>
      <c r="C137" s="70"/>
      <c r="D137" s="70"/>
    </row>
    <row r="138" spans="2:14" ht="16.5" x14ac:dyDescent="0.3">
      <c r="B138" s="71" t="s">
        <v>79</v>
      </c>
      <c r="C138" s="72"/>
      <c r="D138" s="72"/>
    </row>
    <row r="141" spans="2:14" ht="16.5" thickBot="1" x14ac:dyDescent="0.3">
      <c r="J141" s="122">
        <v>2017</v>
      </c>
      <c r="K141" s="122">
        <v>2018</v>
      </c>
      <c r="L141" s="122">
        <v>2019</v>
      </c>
      <c r="M141" s="122">
        <v>2020</v>
      </c>
      <c r="N141" s="122">
        <v>2021</v>
      </c>
    </row>
    <row r="142" spans="2:14" x14ac:dyDescent="0.25">
      <c r="B142" s="105" t="s">
        <v>95</v>
      </c>
      <c r="C142" s="106"/>
      <c r="D142" s="107"/>
      <c r="E142" s="106"/>
      <c r="F142" s="106"/>
      <c r="G142" s="106"/>
      <c r="H142" s="106"/>
      <c r="I142" s="106"/>
      <c r="J142" s="112">
        <f>+J33/J45</f>
        <v>0.1473480947705576</v>
      </c>
      <c r="K142" s="112">
        <f>+K33/K45</f>
        <v>0.14409291376676642</v>
      </c>
      <c r="L142" s="112">
        <f t="shared" ref="L142:N142" si="78">+L33/L45</f>
        <v>0.15528678148152417</v>
      </c>
      <c r="M142" s="112">
        <f t="shared" si="78"/>
        <v>0.21117819305051688</v>
      </c>
      <c r="N142" s="114">
        <f t="shared" si="78"/>
        <v>0.20480182236005631</v>
      </c>
    </row>
    <row r="143" spans="2:14" ht="16.5" thickBot="1" x14ac:dyDescent="0.3">
      <c r="B143" s="109" t="s">
        <v>94</v>
      </c>
      <c r="C143" s="110"/>
      <c r="D143" s="111"/>
      <c r="E143" s="110"/>
      <c r="F143" s="110"/>
      <c r="G143" s="110"/>
      <c r="H143" s="110"/>
      <c r="I143" s="110"/>
      <c r="J143" s="113">
        <f>+J36/J54</f>
        <v>0.11899582319098369</v>
      </c>
      <c r="K143" s="113">
        <f t="shared" ref="K143:N143" si="79">+K36/K54</f>
        <v>0.11499873935185279</v>
      </c>
      <c r="L143" s="113">
        <f t="shared" si="79"/>
        <v>0.11662278957143994</v>
      </c>
      <c r="M143" s="113">
        <f t="shared" si="79"/>
        <v>0.16128047650525304</v>
      </c>
      <c r="N143" s="115">
        <f t="shared" si="79"/>
        <v>0.15502684921835269</v>
      </c>
    </row>
    <row r="144" spans="2:14" ht="16.5" thickBot="1" x14ac:dyDescent="0.3">
      <c r="J144" s="122">
        <v>2017</v>
      </c>
      <c r="K144" s="122">
        <v>2018</v>
      </c>
      <c r="L144" s="122">
        <v>2019</v>
      </c>
      <c r="M144" s="122">
        <v>2020</v>
      </c>
      <c r="N144" s="122">
        <v>2021</v>
      </c>
    </row>
    <row r="145" spans="2:14" x14ac:dyDescent="0.25">
      <c r="B145" s="105" t="s">
        <v>98</v>
      </c>
      <c r="C145" s="106"/>
      <c r="D145" s="107"/>
      <c r="E145" s="106"/>
      <c r="F145" s="106"/>
      <c r="G145" s="106"/>
      <c r="H145" s="106"/>
      <c r="I145" s="106"/>
      <c r="J145" s="106">
        <f>+SUM(J41:J42)/J48</f>
        <v>47.517456519856502</v>
      </c>
      <c r="K145" s="106">
        <f>+SUM(K41:K42)/K48</f>
        <v>52.422910317534019</v>
      </c>
      <c r="L145" s="106">
        <f t="shared" ref="L145:N145" si="80">+SUM(L41:L42)/L48</f>
        <v>53.718461013956976</v>
      </c>
      <c r="M145" s="106">
        <f t="shared" si="80"/>
        <v>36.730806702542218</v>
      </c>
      <c r="N145" s="108">
        <f t="shared" si="80"/>
        <v>44.290252999144862</v>
      </c>
    </row>
    <row r="146" spans="2:14" x14ac:dyDescent="0.25">
      <c r="B146" s="116"/>
      <c r="C146" s="6"/>
      <c r="D146" s="21"/>
      <c r="E146" s="6"/>
      <c r="F146" s="6"/>
      <c r="G146" s="6"/>
      <c r="H146" s="6"/>
      <c r="I146" s="6"/>
      <c r="J146" s="6"/>
      <c r="K146" s="6"/>
      <c r="L146" s="6"/>
      <c r="M146" s="6"/>
      <c r="N146" s="117"/>
    </row>
    <row r="147" spans="2:14" x14ac:dyDescent="0.25">
      <c r="B147" s="116" t="s">
        <v>99</v>
      </c>
      <c r="C147" s="6"/>
      <c r="D147" s="21"/>
      <c r="E147" s="6"/>
      <c r="F147" s="6"/>
      <c r="G147" s="6"/>
      <c r="H147" s="6"/>
      <c r="I147" s="6"/>
      <c r="J147" s="118">
        <f>+(J24-J25)/J24</f>
        <v>0.63000000000000012</v>
      </c>
      <c r="K147" s="118">
        <f>+(K24-K25)/K24</f>
        <v>0.63</v>
      </c>
      <c r="L147" s="118">
        <f t="shared" ref="L147:N147" si="81">+(L24-L25)/L24</f>
        <v>0.64</v>
      </c>
      <c r="M147" s="118">
        <f t="shared" si="81"/>
        <v>0.64</v>
      </c>
      <c r="N147" s="120">
        <f t="shared" si="81"/>
        <v>0.65</v>
      </c>
    </row>
    <row r="148" spans="2:14" x14ac:dyDescent="0.25">
      <c r="B148" s="116" t="s">
        <v>100</v>
      </c>
      <c r="C148" s="6"/>
      <c r="D148" s="21"/>
      <c r="E148" s="6"/>
      <c r="F148" s="6"/>
      <c r="G148" s="6"/>
      <c r="H148" s="6"/>
      <c r="I148" s="6"/>
      <c r="J148" s="118">
        <f>(J24-J25-SUM(J28:J30))/J24</f>
        <v>0.31411199250081812</v>
      </c>
      <c r="K148" s="118">
        <f>(K24-K25-SUM(K28:K30))/K24</f>
        <v>0.32773518386062661</v>
      </c>
      <c r="L148" s="118">
        <f t="shared" ref="L148:N148" si="82">(L24-L25-SUM(L28:L30))/L24</f>
        <v>0.3609968943237859</v>
      </c>
      <c r="M148" s="118">
        <f t="shared" si="82"/>
        <v>0.34348347122989376</v>
      </c>
      <c r="N148" s="120">
        <f t="shared" si="82"/>
        <v>0.37913435367033943</v>
      </c>
    </row>
    <row r="149" spans="2:14" x14ac:dyDescent="0.25">
      <c r="B149" s="116"/>
      <c r="C149" s="6"/>
      <c r="D149" s="21"/>
      <c r="E149" s="6"/>
      <c r="F149" s="6"/>
      <c r="G149" s="6"/>
      <c r="H149" s="6"/>
      <c r="I149" s="6"/>
      <c r="J149" s="6"/>
      <c r="K149" s="6"/>
      <c r="L149" s="6"/>
      <c r="M149" s="6"/>
      <c r="N149" s="117"/>
    </row>
    <row r="150" spans="2:14" x14ac:dyDescent="0.25">
      <c r="B150" s="116" t="s">
        <v>102</v>
      </c>
      <c r="C150" s="6"/>
      <c r="D150" s="21"/>
      <c r="E150" s="6"/>
      <c r="F150" s="6"/>
      <c r="G150" s="6"/>
      <c r="H150" s="6"/>
      <c r="I150" s="6"/>
      <c r="J150" s="119">
        <f>+J24/J45</f>
        <v>0.47774063601900046</v>
      </c>
      <c r="K150" s="119">
        <f t="shared" ref="K150:N150" si="83">+K24/K45</f>
        <v>0.44708397147879714</v>
      </c>
      <c r="L150" s="119">
        <f t="shared" si="83"/>
        <v>0.43648583045949108</v>
      </c>
      <c r="M150" s="119">
        <f t="shared" si="83"/>
        <v>0.61784361946513999</v>
      </c>
      <c r="N150" s="121">
        <f t="shared" si="83"/>
        <v>0.54252321253183744</v>
      </c>
    </row>
    <row r="151" spans="2:14" x14ac:dyDescent="0.25">
      <c r="B151" s="116"/>
      <c r="C151" s="6"/>
      <c r="D151" s="21"/>
      <c r="E151" s="6"/>
      <c r="F151" s="6"/>
      <c r="G151" s="6"/>
      <c r="H151" s="6"/>
      <c r="I151" s="6"/>
      <c r="J151" s="6"/>
      <c r="K151" s="6"/>
      <c r="L151" s="6"/>
      <c r="M151" s="6"/>
      <c r="N151" s="117"/>
    </row>
    <row r="152" spans="2:14" x14ac:dyDescent="0.25">
      <c r="B152" s="116" t="s">
        <v>103</v>
      </c>
      <c r="C152" s="6"/>
      <c r="D152" s="21"/>
      <c r="E152" s="6"/>
      <c r="F152" s="6"/>
      <c r="G152" s="6"/>
      <c r="H152" s="6"/>
      <c r="I152" s="6"/>
      <c r="J152" s="119">
        <f>+J50/J45</f>
        <v>0.10845082297947456</v>
      </c>
      <c r="K152" s="119">
        <f t="shared" ref="K152:N152" si="84">+K50/K45</f>
        <v>9.784317204864805E-2</v>
      </c>
      <c r="L152" s="119">
        <f>+L50/L45</f>
        <v>4.1298162412692019E-2</v>
      </c>
      <c r="M152" s="119">
        <f t="shared" si="84"/>
        <v>5.7242994991896737E-2</v>
      </c>
      <c r="N152" s="121">
        <f t="shared" si="84"/>
        <v>4.8827265452906186E-2</v>
      </c>
    </row>
    <row r="153" spans="2:14" ht="16.5" thickBot="1" x14ac:dyDescent="0.3">
      <c r="B153" s="109" t="s">
        <v>104</v>
      </c>
      <c r="C153" s="110"/>
      <c r="D153" s="111"/>
      <c r="E153" s="110"/>
      <c r="F153" s="110"/>
      <c r="G153" s="110"/>
      <c r="H153" s="110"/>
      <c r="I153" s="110"/>
      <c r="J153" s="113">
        <f>+J50/J54</f>
        <v>0.12164311938675906</v>
      </c>
      <c r="K153" s="113">
        <f t="shared" ref="K153:N153" si="85">+K50/K54</f>
        <v>0.10845472651449484</v>
      </c>
      <c r="L153" s="113">
        <f>+L50/L54</f>
        <v>4.3077170391812296E-2</v>
      </c>
      <c r="M153" s="113">
        <f t="shared" si="85"/>
        <v>6.0718716156773302E-2</v>
      </c>
      <c r="N153" s="115">
        <f t="shared" si="85"/>
        <v>5.1333752198180448E-2</v>
      </c>
    </row>
  </sheetData>
  <conditionalFormatting sqref="E3:N3">
    <cfRule type="containsText" dxfId="3" priority="1" operator="containsText" text="OK">
      <formula>NOT(ISERROR(SEARCH("OK",E3)))</formula>
    </cfRule>
    <cfRule type="containsText" dxfId="2" priority="2" operator="containsText" text="ERROR">
      <formula>NOT(ISERROR(SEARCH("ERROR",E3)))</formula>
    </cfRule>
  </conditionalFormatting>
  <hyperlinks>
    <hyperlink ref="B138" r:id="rId1" xr:uid="{00000000-0004-0000-0100-000000000000}"/>
  </hyperlinks>
  <pageMargins left="0.70866141732283472" right="0.70866141732283472" top="0.74803149606299213" bottom="0.74803149606299213" header="0.31496062992125984" footer="0.31496062992125984"/>
  <pageSetup scale="78" orientation="landscape" r:id="rId2"/>
  <rowBreaks count="3" manualBreakCount="3">
    <brk id="37" max="13" man="1"/>
    <brk id="58" max="13" man="1"/>
    <brk id="81" max="13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94D-F443-48A4-A77E-EE69CB9C9076}">
  <dimension ref="A1:U365"/>
  <sheetViews>
    <sheetView showGridLines="0" tabSelected="1" zoomScale="90" zoomScaleNormal="90" workbookViewId="0">
      <pane ySplit="3" topLeftCell="A303" activePane="bottomLeft" state="frozen"/>
      <selection pane="bottomLeft" activeCell="K318" sqref="K318"/>
    </sheetView>
  </sheetViews>
  <sheetFormatPr defaultColWidth="9.140625" defaultRowHeight="15.75" outlineLevelRow="1" x14ac:dyDescent="0.25"/>
  <cols>
    <col min="1" max="1" width="1.85546875" style="1" customWidth="1"/>
    <col min="2" max="3" width="15.5703125" style="1" customWidth="1"/>
    <col min="4" max="4" width="15.5703125" style="23" customWidth="1"/>
    <col min="5" max="5" width="11.5703125" style="1" customWidth="1"/>
    <col min="6" max="6" width="19" style="1" bestFit="1" customWidth="1"/>
    <col min="7" max="7" width="17.7109375" style="1" bestFit="1" customWidth="1"/>
    <col min="8" max="9" width="11.5703125" style="1" customWidth="1"/>
    <col min="10" max="14" width="12.5703125" style="1" customWidth="1"/>
    <col min="15" max="15" width="9.140625" style="1"/>
    <col min="16" max="16" width="29.7109375" style="1" customWidth="1"/>
    <col min="17" max="17" width="11.85546875" style="1" bestFit="1" customWidth="1"/>
    <col min="18" max="18" width="10.5703125" style="1" bestFit="1" customWidth="1"/>
    <col min="19" max="16384" width="9.140625" style="1"/>
  </cols>
  <sheetData>
    <row r="1" spans="1:21" x14ac:dyDescent="0.25">
      <c r="A1" s="56"/>
      <c r="B1" s="57" t="s">
        <v>74</v>
      </c>
      <c r="C1" s="56"/>
      <c r="D1" s="58"/>
      <c r="E1" s="81" t="s">
        <v>56</v>
      </c>
      <c r="F1" s="82"/>
      <c r="G1" s="82"/>
      <c r="H1" s="82"/>
      <c r="I1" s="82"/>
      <c r="J1" s="59" t="s">
        <v>68</v>
      </c>
      <c r="K1" s="60"/>
      <c r="L1" s="60"/>
      <c r="M1" s="60"/>
      <c r="N1" s="60"/>
    </row>
    <row r="2" spans="1:21" ht="21" customHeight="1" x14ac:dyDescent="0.3">
      <c r="A2" s="56"/>
      <c r="B2" s="61" t="s">
        <v>57</v>
      </c>
      <c r="C2" s="62"/>
      <c r="D2" s="63"/>
      <c r="E2" s="83">
        <v>2012</v>
      </c>
      <c r="F2" s="83">
        <f>+E2+1</f>
        <v>2013</v>
      </c>
      <c r="G2" s="83">
        <f t="shared" ref="G2:N2" si="0">+F2+1</f>
        <v>2014</v>
      </c>
      <c r="H2" s="83">
        <f t="shared" si="0"/>
        <v>2015</v>
      </c>
      <c r="I2" s="83">
        <f t="shared" si="0"/>
        <v>2016</v>
      </c>
      <c r="J2" s="64">
        <f t="shared" si="0"/>
        <v>2017</v>
      </c>
      <c r="K2" s="64">
        <f t="shared" si="0"/>
        <v>2018</v>
      </c>
      <c r="L2" s="64">
        <f t="shared" si="0"/>
        <v>2019</v>
      </c>
      <c r="M2" s="64">
        <f t="shared" si="0"/>
        <v>2020</v>
      </c>
      <c r="N2" s="64">
        <f t="shared" si="0"/>
        <v>2021</v>
      </c>
    </row>
    <row r="3" spans="1:21" x14ac:dyDescent="0.25">
      <c r="B3" s="1" t="s">
        <v>69</v>
      </c>
      <c r="E3" s="45" t="str">
        <f t="shared" ref="E3:N3" si="1">IFERROR(IF(ABS(E57)&gt;1,"ERROR","OK"),"OK")</f>
        <v>OK</v>
      </c>
      <c r="F3" s="45" t="str">
        <f t="shared" si="1"/>
        <v>OK</v>
      </c>
      <c r="G3" s="45" t="str">
        <f t="shared" si="1"/>
        <v>OK</v>
      </c>
      <c r="H3" s="45" t="str">
        <f t="shared" si="1"/>
        <v>OK</v>
      </c>
      <c r="I3" s="45" t="str">
        <f t="shared" si="1"/>
        <v>OK</v>
      </c>
      <c r="J3" s="45" t="str">
        <f t="shared" si="1"/>
        <v>OK</v>
      </c>
      <c r="K3" s="45" t="str">
        <f t="shared" si="1"/>
        <v>OK</v>
      </c>
      <c r="L3" s="45" t="str">
        <f t="shared" si="1"/>
        <v>OK</v>
      </c>
      <c r="M3" s="45" t="str">
        <f t="shared" si="1"/>
        <v>OK</v>
      </c>
      <c r="N3" s="45" t="str">
        <f t="shared" si="1"/>
        <v>OK</v>
      </c>
    </row>
    <row r="4" spans="1:21" x14ac:dyDescent="0.25">
      <c r="O4"/>
      <c r="P4"/>
      <c r="Q4"/>
      <c r="R4"/>
      <c r="S4"/>
      <c r="T4"/>
      <c r="U4"/>
    </row>
    <row r="5" spans="1:21" ht="18" x14ac:dyDescent="0.25">
      <c r="B5" s="65" t="s">
        <v>70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/>
      <c r="P5"/>
      <c r="Q5"/>
      <c r="R5"/>
      <c r="S5"/>
      <c r="T5"/>
      <c r="U5"/>
    </row>
    <row r="6" spans="1:21" s="19" customFormat="1" outlineLevel="1" x14ac:dyDescent="0.25">
      <c r="B6" s="3" t="s">
        <v>71</v>
      </c>
      <c r="D6" s="47"/>
      <c r="O6"/>
      <c r="P6"/>
      <c r="Q6"/>
      <c r="R6"/>
      <c r="S6"/>
      <c r="T6"/>
      <c r="U6"/>
    </row>
    <row r="7" spans="1:21" outlineLevel="1" x14ac:dyDescent="0.25">
      <c r="B7" s="1" t="s">
        <v>60</v>
      </c>
      <c r="C7" s="3"/>
      <c r="D7" s="20"/>
      <c r="E7" s="29"/>
      <c r="F7" s="35">
        <f>F24/E24-1</f>
        <v>0.15762643740135474</v>
      </c>
      <c r="G7" s="35">
        <f>G24/F24-1</f>
        <v>0.1122825737174602</v>
      </c>
      <c r="H7" s="35">
        <f>H24/G24-1</f>
        <v>8.3718451406600947E-2</v>
      </c>
      <c r="I7" s="35">
        <f>I24/H24-1</f>
        <v>5.9231001608812672E-2</v>
      </c>
      <c r="J7" s="36">
        <v>0.05</v>
      </c>
      <c r="K7" s="36">
        <v>4.4999999999999998E-2</v>
      </c>
      <c r="L7" s="36">
        <v>0.04</v>
      </c>
      <c r="M7" s="36">
        <v>3.5000000000000003E-2</v>
      </c>
      <c r="N7" s="36">
        <v>0.03</v>
      </c>
      <c r="O7"/>
      <c r="P7"/>
      <c r="Q7"/>
      <c r="R7"/>
      <c r="S7"/>
      <c r="T7"/>
      <c r="U7"/>
    </row>
    <row r="8" spans="1:21" outlineLevel="1" x14ac:dyDescent="0.25">
      <c r="B8" s="6" t="s">
        <v>58</v>
      </c>
      <c r="C8" s="6"/>
      <c r="D8" s="21"/>
      <c r="E8" s="37">
        <f>E25/E24</f>
        <v>0.38255217779172018</v>
      </c>
      <c r="F8" s="37">
        <f>F25/F24</f>
        <v>0.40651728401334619</v>
      </c>
      <c r="G8" s="37">
        <f>G25/G24</f>
        <v>0.37399977159389397</v>
      </c>
      <c r="H8" s="37">
        <f>H25/H24</f>
        <v>0.37412973071708078</v>
      </c>
      <c r="I8" s="37">
        <f>I25/I24</f>
        <v>0.38011036531982062</v>
      </c>
      <c r="J8" s="38">
        <v>0.37</v>
      </c>
      <c r="K8" s="38">
        <v>0.37</v>
      </c>
      <c r="L8" s="38">
        <v>0.36</v>
      </c>
      <c r="M8" s="38">
        <v>0.36</v>
      </c>
      <c r="N8" s="38">
        <v>0.35</v>
      </c>
      <c r="O8"/>
      <c r="P8"/>
      <c r="Q8"/>
      <c r="R8"/>
      <c r="S8"/>
      <c r="T8"/>
      <c r="U8"/>
    </row>
    <row r="9" spans="1:21" outlineLevel="1" x14ac:dyDescent="0.25">
      <c r="B9" s="6" t="s">
        <v>89</v>
      </c>
      <c r="C9" s="6"/>
      <c r="D9" s="21"/>
      <c r="E9" s="31">
        <f t="shared" ref="E9:I10" si="2">E28</f>
        <v>26427</v>
      </c>
      <c r="F9" s="31">
        <f t="shared" si="2"/>
        <v>22658</v>
      </c>
      <c r="G9" s="31">
        <f t="shared" si="2"/>
        <v>23872</v>
      </c>
      <c r="H9" s="31">
        <f t="shared" si="2"/>
        <v>23002</v>
      </c>
      <c r="I9" s="31">
        <f t="shared" si="2"/>
        <v>25245</v>
      </c>
      <c r="J9" s="30">
        <v>25000</v>
      </c>
      <c r="K9" s="30">
        <v>25000</v>
      </c>
      <c r="L9" s="30">
        <v>25000</v>
      </c>
      <c r="M9" s="30">
        <v>25000</v>
      </c>
      <c r="N9" s="30">
        <v>25000</v>
      </c>
      <c r="O9"/>
      <c r="P9"/>
      <c r="Q9"/>
      <c r="R9"/>
      <c r="S9"/>
      <c r="T9"/>
      <c r="U9"/>
    </row>
    <row r="10" spans="1:21" outlineLevel="1" x14ac:dyDescent="0.25">
      <c r="B10" s="6" t="s">
        <v>59</v>
      </c>
      <c r="C10" s="6"/>
      <c r="D10" s="21"/>
      <c r="E10" s="31">
        <f t="shared" si="2"/>
        <v>10963</v>
      </c>
      <c r="F10" s="31">
        <f t="shared" si="2"/>
        <v>10125</v>
      </c>
      <c r="G10" s="31">
        <f t="shared" si="2"/>
        <v>10087</v>
      </c>
      <c r="H10" s="31">
        <f t="shared" si="2"/>
        <v>11020</v>
      </c>
      <c r="I10" s="31">
        <f t="shared" si="2"/>
        <v>11412</v>
      </c>
      <c r="J10" s="30">
        <v>10000</v>
      </c>
      <c r="K10" s="30">
        <v>10000</v>
      </c>
      <c r="L10" s="30">
        <v>10000</v>
      </c>
      <c r="M10" s="30">
        <v>10000</v>
      </c>
      <c r="N10" s="30">
        <v>10000</v>
      </c>
      <c r="O10"/>
      <c r="P10"/>
      <c r="Q10"/>
      <c r="R10"/>
      <c r="S10"/>
      <c r="T10"/>
      <c r="U10"/>
    </row>
    <row r="11" spans="1:21" outlineLevel="1" x14ac:dyDescent="0.25">
      <c r="B11" s="6" t="s">
        <v>76</v>
      </c>
      <c r="C11" s="6"/>
      <c r="D11" s="21"/>
      <c r="E11" s="37">
        <f>E30/E92</f>
        <v>0.39</v>
      </c>
      <c r="F11" s="37">
        <f>F30/F92</f>
        <v>0.39890109890109893</v>
      </c>
      <c r="G11" s="37">
        <f>G30/G92</f>
        <v>0.4062573789846517</v>
      </c>
      <c r="H11" s="37">
        <f>H30/H92</f>
        <v>0.41209366048075724</v>
      </c>
      <c r="I11" s="37">
        <f>I30/I92</f>
        <v>0.41657578073390927</v>
      </c>
      <c r="J11" s="38">
        <v>0.4</v>
      </c>
      <c r="K11" s="38">
        <v>0.4</v>
      </c>
      <c r="L11" s="38">
        <v>0.4</v>
      </c>
      <c r="M11" s="38">
        <v>0.4</v>
      </c>
      <c r="N11" s="38">
        <v>0.4</v>
      </c>
      <c r="O11"/>
      <c r="P11"/>
      <c r="Q11"/>
      <c r="R11"/>
      <c r="S11"/>
      <c r="T11"/>
      <c r="U11"/>
    </row>
    <row r="12" spans="1:21" outlineLevel="1" x14ac:dyDescent="0.25">
      <c r="B12" s="6" t="s">
        <v>75</v>
      </c>
      <c r="C12" s="6"/>
      <c r="D12" s="21"/>
      <c r="E12" s="37">
        <f>E101/E98</f>
        <v>0.05</v>
      </c>
      <c r="F12" s="37">
        <f>F101/F98</f>
        <v>0.05</v>
      </c>
      <c r="G12" s="37">
        <f>G101/G98</f>
        <v>0.03</v>
      </c>
      <c r="H12" s="37">
        <f>H101/H98</f>
        <v>0.03</v>
      </c>
      <c r="I12" s="37">
        <f>I101/I98</f>
        <v>0.03</v>
      </c>
      <c r="J12" s="38">
        <v>0.03</v>
      </c>
      <c r="K12" s="38">
        <v>0.03</v>
      </c>
      <c r="L12" s="38">
        <v>0.03</v>
      </c>
      <c r="M12" s="38">
        <v>0.03</v>
      </c>
      <c r="N12" s="38">
        <v>0.03</v>
      </c>
      <c r="O12"/>
      <c r="P12"/>
      <c r="Q12"/>
      <c r="R12"/>
      <c r="S12"/>
      <c r="T12"/>
      <c r="U12"/>
    </row>
    <row r="13" spans="1:21" outlineLevel="1" x14ac:dyDescent="0.25">
      <c r="B13" s="6" t="s">
        <v>61</v>
      </c>
      <c r="C13" s="11"/>
      <c r="D13" s="25"/>
      <c r="E13" s="37">
        <f>E35/E33</f>
        <v>0.31167801892042296</v>
      </c>
      <c r="F13" s="37">
        <f>F35/F33</f>
        <v>0.29180230056592171</v>
      </c>
      <c r="G13" s="37">
        <f>G35/G33</f>
        <v>0.28698850107817436</v>
      </c>
      <c r="H13" s="37">
        <f>H35/H33</f>
        <v>0.2899411500446471</v>
      </c>
      <c r="I13" s="37">
        <f>I35/I33</f>
        <v>0.29121899033183596</v>
      </c>
      <c r="J13" s="38">
        <v>0.28000000000000003</v>
      </c>
      <c r="K13" s="38">
        <v>0.28000000000000003</v>
      </c>
      <c r="L13" s="38">
        <v>0.28000000000000003</v>
      </c>
      <c r="M13" s="38">
        <v>0.28000000000000003</v>
      </c>
      <c r="N13" s="38">
        <v>0.28000000000000003</v>
      </c>
      <c r="O13"/>
      <c r="P13"/>
      <c r="Q13"/>
      <c r="R13"/>
      <c r="S13"/>
      <c r="T13"/>
      <c r="U13"/>
    </row>
    <row r="14" spans="1:21" outlineLevel="1" x14ac:dyDescent="0.25">
      <c r="B14" s="3" t="s">
        <v>10</v>
      </c>
      <c r="C14" s="19"/>
      <c r="D14" s="4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  <c r="Q14"/>
      <c r="R14"/>
      <c r="S14"/>
      <c r="T14"/>
      <c r="U14"/>
    </row>
    <row r="15" spans="1:21" outlineLevel="1" x14ac:dyDescent="0.25">
      <c r="B15" s="1" t="s">
        <v>62</v>
      </c>
      <c r="D15" s="32"/>
      <c r="E15" s="34">
        <f t="shared" ref="E15:I16" si="3">E42/E24*365</f>
        <v>18.25</v>
      </c>
      <c r="F15" s="34">
        <f t="shared" si="3"/>
        <v>18.25</v>
      </c>
      <c r="G15" s="34">
        <f t="shared" si="3"/>
        <v>18.25</v>
      </c>
      <c r="H15" s="34">
        <f t="shared" si="3"/>
        <v>18.25</v>
      </c>
      <c r="I15" s="34">
        <f t="shared" si="3"/>
        <v>18.25</v>
      </c>
      <c r="J15" s="33">
        <v>18</v>
      </c>
      <c r="K15" s="33">
        <v>18</v>
      </c>
      <c r="L15" s="33">
        <v>18</v>
      </c>
      <c r="M15" s="33">
        <v>18</v>
      </c>
      <c r="N15" s="33">
        <v>18</v>
      </c>
      <c r="O15"/>
      <c r="P15"/>
      <c r="Q15"/>
      <c r="R15"/>
      <c r="S15"/>
      <c r="T15"/>
      <c r="U15"/>
    </row>
    <row r="16" spans="1:21" outlineLevel="1" x14ac:dyDescent="0.25">
      <c r="B16" s="1" t="s">
        <v>63</v>
      </c>
      <c r="D16" s="32"/>
      <c r="E16" s="34">
        <f t="shared" si="3"/>
        <v>73</v>
      </c>
      <c r="F16" s="34">
        <f t="shared" si="3"/>
        <v>73</v>
      </c>
      <c r="G16" s="34">
        <f t="shared" si="3"/>
        <v>73</v>
      </c>
      <c r="H16" s="34">
        <f t="shared" si="3"/>
        <v>72.177526570774049</v>
      </c>
      <c r="I16" s="34">
        <f t="shared" si="3"/>
        <v>72.235735473739325</v>
      </c>
      <c r="J16" s="33">
        <v>73</v>
      </c>
      <c r="K16" s="33">
        <v>73</v>
      </c>
      <c r="L16" s="33">
        <v>73</v>
      </c>
      <c r="M16" s="33">
        <v>73</v>
      </c>
      <c r="N16" s="33">
        <v>73</v>
      </c>
      <c r="O16"/>
      <c r="P16"/>
      <c r="Q16"/>
      <c r="R16"/>
      <c r="S16"/>
      <c r="T16"/>
      <c r="U16"/>
    </row>
    <row r="17" spans="2:21" outlineLevel="1" x14ac:dyDescent="0.25">
      <c r="B17" s="1" t="s">
        <v>64</v>
      </c>
      <c r="D17" s="32"/>
      <c r="E17" s="34">
        <f>E48/E25*365</f>
        <v>36.5</v>
      </c>
      <c r="F17" s="34">
        <f>F48/F25*365</f>
        <v>36.5</v>
      </c>
      <c r="G17" s="34">
        <f>G48/G25*365</f>
        <v>36.5</v>
      </c>
      <c r="H17" s="34">
        <f>H48/H25*365</f>
        <v>36.088763285387024</v>
      </c>
      <c r="I17" s="34">
        <f>I48/I25*365</f>
        <v>36.117867736869663</v>
      </c>
      <c r="J17" s="33">
        <v>37</v>
      </c>
      <c r="K17" s="33">
        <v>37</v>
      </c>
      <c r="L17" s="33">
        <v>37</v>
      </c>
      <c r="M17" s="33">
        <v>37</v>
      </c>
      <c r="N17" s="33">
        <v>37</v>
      </c>
      <c r="O17"/>
      <c r="P17"/>
      <c r="Q17"/>
      <c r="R17"/>
      <c r="S17"/>
      <c r="T17"/>
      <c r="U17"/>
    </row>
    <row r="18" spans="2:21" outlineLevel="1" x14ac:dyDescent="0.25">
      <c r="B18" s="1" t="s">
        <v>65</v>
      </c>
      <c r="E18" s="34">
        <f>E68</f>
        <v>15000</v>
      </c>
      <c r="F18" s="34">
        <f>F68</f>
        <v>15000</v>
      </c>
      <c r="G18" s="34">
        <f>G68</f>
        <v>15000</v>
      </c>
      <c r="H18" s="34">
        <f>H68</f>
        <v>15000</v>
      </c>
      <c r="I18" s="34">
        <f>I68</f>
        <v>15000</v>
      </c>
      <c r="J18" s="33">
        <v>15000</v>
      </c>
      <c r="K18" s="33">
        <v>10000</v>
      </c>
      <c r="L18" s="33">
        <v>25000</v>
      </c>
      <c r="M18" s="33">
        <v>10000</v>
      </c>
      <c r="N18" s="33">
        <v>15000</v>
      </c>
      <c r="O18"/>
      <c r="P18"/>
      <c r="Q18"/>
      <c r="R18"/>
      <c r="S18"/>
      <c r="T18"/>
      <c r="U18"/>
    </row>
    <row r="19" spans="2:21" outlineLevel="1" x14ac:dyDescent="0.25">
      <c r="B19" s="1" t="s">
        <v>67</v>
      </c>
      <c r="E19" s="34">
        <f>E99</f>
        <v>0</v>
      </c>
      <c r="F19" s="34">
        <f>F99</f>
        <v>0</v>
      </c>
      <c r="G19" s="34">
        <f>G99</f>
        <v>-20000</v>
      </c>
      <c r="H19" s="34">
        <f>H99</f>
        <v>0</v>
      </c>
      <c r="I19" s="34">
        <f>I99</f>
        <v>0</v>
      </c>
      <c r="J19" s="33">
        <v>0</v>
      </c>
      <c r="K19" s="33">
        <v>0</v>
      </c>
      <c r="L19" s="33">
        <v>-20000</v>
      </c>
      <c r="M19" s="33">
        <v>0</v>
      </c>
      <c r="N19" s="33">
        <v>0</v>
      </c>
      <c r="O19"/>
      <c r="P19"/>
      <c r="Q19"/>
      <c r="R19"/>
      <c r="S19"/>
      <c r="T19"/>
      <c r="U19"/>
    </row>
    <row r="20" spans="2:21" outlineLevel="1" x14ac:dyDescent="0.25">
      <c r="B20" s="1" t="s">
        <v>66</v>
      </c>
      <c r="E20" s="34">
        <f>E73</f>
        <v>170000</v>
      </c>
      <c r="F20" s="34">
        <f>F73</f>
        <v>0</v>
      </c>
      <c r="G20" s="34">
        <f>G73</f>
        <v>0</v>
      </c>
      <c r="H20" s="34">
        <f>H73</f>
        <v>0</v>
      </c>
      <c r="I20" s="34">
        <f>I73</f>
        <v>0</v>
      </c>
      <c r="J20" s="33">
        <v>0</v>
      </c>
      <c r="K20" s="33">
        <v>0</v>
      </c>
      <c r="L20" s="33">
        <v>0</v>
      </c>
      <c r="M20" s="33">
        <v>-150000</v>
      </c>
      <c r="N20" s="33">
        <v>0</v>
      </c>
      <c r="O20"/>
      <c r="P20"/>
      <c r="Q20"/>
      <c r="R20"/>
      <c r="S20"/>
      <c r="T20"/>
      <c r="U20"/>
    </row>
    <row r="21" spans="2:21" outlineLevel="1" x14ac:dyDescent="0.25">
      <c r="E21" s="34"/>
      <c r="F21" s="34"/>
      <c r="G21" s="34"/>
      <c r="H21" s="34"/>
      <c r="I21" s="34"/>
      <c r="J21" s="33"/>
      <c r="K21" s="33"/>
      <c r="L21" s="33"/>
      <c r="M21" s="33"/>
      <c r="N21" s="33"/>
      <c r="O21"/>
      <c r="P21"/>
      <c r="Q21"/>
      <c r="R21"/>
      <c r="S21"/>
      <c r="T21"/>
      <c r="U21"/>
    </row>
    <row r="22" spans="2:21" x14ac:dyDescent="0.25">
      <c r="E22" s="34"/>
      <c r="F22" s="34"/>
      <c r="G22" s="34"/>
      <c r="H22" s="34"/>
      <c r="I22" s="34"/>
      <c r="J22" s="34"/>
      <c r="K22" s="34"/>
      <c r="L22" s="34"/>
      <c r="M22" s="34"/>
      <c r="N22" s="34"/>
      <c r="O22"/>
      <c r="P22"/>
      <c r="Q22"/>
      <c r="R22"/>
      <c r="S22"/>
      <c r="T22"/>
      <c r="U22"/>
    </row>
    <row r="23" spans="2:21" ht="18" x14ac:dyDescent="0.25">
      <c r="B23" s="65" t="s">
        <v>0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/>
      <c r="P23"/>
      <c r="Q23"/>
      <c r="R23"/>
      <c r="S23"/>
      <c r="T23"/>
      <c r="U23"/>
    </row>
    <row r="24" spans="2:21" outlineLevel="1" x14ac:dyDescent="0.25">
      <c r="B24" s="3" t="s">
        <v>1</v>
      </c>
      <c r="C24" s="3"/>
      <c r="D24" s="20"/>
      <c r="E24" s="13">
        <v>102007</v>
      </c>
      <c r="F24" s="13">
        <v>118086</v>
      </c>
      <c r="G24" s="13">
        <v>131345</v>
      </c>
      <c r="H24" s="13">
        <v>142341</v>
      </c>
      <c r="I24" s="13">
        <v>150772</v>
      </c>
      <c r="J24" s="18">
        <f>I24*(1+J7)</f>
        <v>158310.6</v>
      </c>
      <c r="K24" s="92">
        <f>J24*(1+K7)</f>
        <v>165434.57699999999</v>
      </c>
      <c r="L24" s="18">
        <f t="shared" ref="L24:N24" si="4">K24*(1+L7)</f>
        <v>172051.96007999999</v>
      </c>
      <c r="M24" s="18">
        <f t="shared" si="4"/>
        <v>178073.77868279998</v>
      </c>
      <c r="N24" s="18">
        <f t="shared" si="4"/>
        <v>183415.99204328397</v>
      </c>
      <c r="O24"/>
      <c r="P24"/>
      <c r="Q24"/>
      <c r="R24"/>
      <c r="S24"/>
      <c r="T24"/>
      <c r="U24"/>
    </row>
    <row r="25" spans="2:21" outlineLevel="1" x14ac:dyDescent="0.25">
      <c r="B25" s="6" t="s">
        <v>55</v>
      </c>
      <c r="C25" s="6"/>
      <c r="D25" s="21"/>
      <c r="E25" s="15">
        <v>39023</v>
      </c>
      <c r="F25" s="15">
        <v>48004</v>
      </c>
      <c r="G25" s="15">
        <v>49123</v>
      </c>
      <c r="H25" s="15">
        <v>53253.999999999993</v>
      </c>
      <c r="I25" s="15">
        <v>57309.999999999993</v>
      </c>
      <c r="J25" s="53">
        <f>J24*J8</f>
        <v>58574.921999999999</v>
      </c>
      <c r="K25" s="93">
        <f>K24*K8</f>
        <v>61210.793489999996</v>
      </c>
      <c r="L25" s="53">
        <f>L24*L8</f>
        <v>61938.705628799995</v>
      </c>
      <c r="M25" s="53">
        <f t="shared" ref="M25:N25" si="5">M24*M8</f>
        <v>64106.560325807994</v>
      </c>
      <c r="N25" s="53">
        <f t="shared" si="5"/>
        <v>64195.597215149384</v>
      </c>
      <c r="O25"/>
      <c r="P25"/>
      <c r="Q25"/>
      <c r="R25"/>
      <c r="S25"/>
      <c r="T25"/>
      <c r="U25"/>
    </row>
    <row r="26" spans="2:21" outlineLevel="1" x14ac:dyDescent="0.25">
      <c r="B26" s="4" t="s">
        <v>2</v>
      </c>
      <c r="C26" s="4"/>
      <c r="D26" s="22"/>
      <c r="E26" s="17">
        <f>E24-E25</f>
        <v>62984</v>
      </c>
      <c r="F26" s="17">
        <f t="shared" ref="F26:H26" si="6">F24-F25</f>
        <v>70082</v>
      </c>
      <c r="G26" s="17">
        <f t="shared" si="6"/>
        <v>82222</v>
      </c>
      <c r="H26" s="17">
        <f t="shared" si="6"/>
        <v>89087</v>
      </c>
      <c r="I26" s="17">
        <f>I24-I25</f>
        <v>93462</v>
      </c>
      <c r="J26" s="17">
        <f t="shared" ref="J26:N26" si="7">J24-J25</f>
        <v>99735.678000000014</v>
      </c>
      <c r="K26" s="17">
        <f t="shared" si="7"/>
        <v>104223.78350999999</v>
      </c>
      <c r="L26" s="17">
        <f t="shared" si="7"/>
        <v>110113.25445119999</v>
      </c>
      <c r="M26" s="17">
        <f t="shared" si="7"/>
        <v>113967.21835699199</v>
      </c>
      <c r="N26" s="17">
        <f t="shared" si="7"/>
        <v>119220.39482813459</v>
      </c>
      <c r="O26"/>
      <c r="P26"/>
      <c r="Q26"/>
      <c r="R26"/>
      <c r="S26"/>
      <c r="T26"/>
      <c r="U26"/>
    </row>
    <row r="27" spans="2:21" outlineLevel="1" x14ac:dyDescent="0.25">
      <c r="B27" s="7" t="s">
        <v>72</v>
      </c>
      <c r="C27" s="7"/>
      <c r="D27" s="46"/>
      <c r="E27" s="44"/>
      <c r="F27" s="44"/>
      <c r="G27" s="44"/>
      <c r="H27" s="44"/>
      <c r="I27" s="44"/>
      <c r="J27" s="49"/>
      <c r="K27" s="49"/>
      <c r="L27" s="49"/>
      <c r="M27" s="49"/>
      <c r="N27" s="49"/>
      <c r="O27"/>
      <c r="P27"/>
      <c r="Q27"/>
      <c r="R27"/>
      <c r="S27"/>
      <c r="T27"/>
      <c r="U27"/>
    </row>
    <row r="28" spans="2:21" outlineLevel="1" x14ac:dyDescent="0.25">
      <c r="B28" s="1" t="s">
        <v>3</v>
      </c>
      <c r="E28" s="14">
        <v>26427</v>
      </c>
      <c r="F28" s="14">
        <v>22658</v>
      </c>
      <c r="G28" s="14">
        <v>23872</v>
      </c>
      <c r="H28" s="14">
        <v>23002</v>
      </c>
      <c r="I28" s="14">
        <v>25245</v>
      </c>
      <c r="J28" s="12">
        <f>J9</f>
        <v>25000</v>
      </c>
      <c r="K28" s="95">
        <f>K9</f>
        <v>25000</v>
      </c>
      <c r="L28" s="12">
        <f t="shared" ref="L28:N29" si="8">L9</f>
        <v>25000</v>
      </c>
      <c r="M28" s="12">
        <f t="shared" si="8"/>
        <v>25000</v>
      </c>
      <c r="N28" s="12">
        <f t="shared" si="8"/>
        <v>25000</v>
      </c>
      <c r="O28" t="s">
        <v>101</v>
      </c>
      <c r="P28"/>
      <c r="Q28"/>
      <c r="R28"/>
      <c r="S28"/>
      <c r="T28"/>
      <c r="U28"/>
    </row>
    <row r="29" spans="2:21" outlineLevel="1" x14ac:dyDescent="0.25">
      <c r="B29" s="1" t="s">
        <v>4</v>
      </c>
      <c r="E29" s="14">
        <v>10963</v>
      </c>
      <c r="F29" s="14">
        <v>10125</v>
      </c>
      <c r="G29" s="14">
        <v>10087</v>
      </c>
      <c r="H29" s="14">
        <v>11020</v>
      </c>
      <c r="I29" s="14">
        <v>11412</v>
      </c>
      <c r="J29" s="12">
        <f>J10</f>
        <v>10000</v>
      </c>
      <c r="K29" s="95">
        <f>K10</f>
        <v>10000</v>
      </c>
      <c r="L29" s="12">
        <f t="shared" si="8"/>
        <v>10000</v>
      </c>
      <c r="M29" s="12">
        <f t="shared" si="8"/>
        <v>10000</v>
      </c>
      <c r="N29" s="12">
        <f t="shared" si="8"/>
        <v>10000</v>
      </c>
      <c r="O29" t="s">
        <v>101</v>
      </c>
      <c r="P29"/>
      <c r="Q29"/>
      <c r="R29"/>
      <c r="S29"/>
      <c r="T29"/>
      <c r="U29"/>
    </row>
    <row r="30" spans="2:21" outlineLevel="1" x14ac:dyDescent="0.25">
      <c r="B30" s="1" t="s">
        <v>5</v>
      </c>
      <c r="E30" s="14">
        <v>19500</v>
      </c>
      <c r="F30" s="14">
        <v>18150</v>
      </c>
      <c r="G30" s="14">
        <v>17205</v>
      </c>
      <c r="H30" s="14">
        <v>16543.5</v>
      </c>
      <c r="I30" s="14">
        <v>16080.449999999999</v>
      </c>
      <c r="J30" s="12">
        <f>J94</f>
        <v>15008.420000000002</v>
      </c>
      <c r="K30" s="94">
        <f>K94</f>
        <v>15005.052000000003</v>
      </c>
      <c r="L30" s="12">
        <f>L94</f>
        <v>13003.031200000001</v>
      </c>
      <c r="M30" s="12">
        <f>M94</f>
        <v>17801.818719999999</v>
      </c>
      <c r="N30" s="12">
        <f>N94</f>
        <v>14681.091232000001</v>
      </c>
      <c r="O30" t="s">
        <v>101</v>
      </c>
      <c r="P30"/>
      <c r="Q30"/>
      <c r="R30"/>
      <c r="S30"/>
      <c r="T30"/>
      <c r="U30"/>
    </row>
    <row r="31" spans="2:21" outlineLevel="1" x14ac:dyDescent="0.25">
      <c r="B31" s="2" t="s">
        <v>6</v>
      </c>
      <c r="C31" s="2"/>
      <c r="D31" s="24"/>
      <c r="E31" s="43">
        <v>2500</v>
      </c>
      <c r="F31" s="43">
        <v>2500</v>
      </c>
      <c r="G31" s="43">
        <v>1500</v>
      </c>
      <c r="H31" s="43">
        <v>900</v>
      </c>
      <c r="I31" s="43">
        <v>900</v>
      </c>
      <c r="J31" s="16">
        <f>J101</f>
        <v>900</v>
      </c>
      <c r="K31" s="97">
        <f>K101</f>
        <v>900</v>
      </c>
      <c r="L31" s="16">
        <f>L101</f>
        <v>900</v>
      </c>
      <c r="M31" s="16">
        <f>M101</f>
        <v>300</v>
      </c>
      <c r="N31" s="16">
        <f>N101</f>
        <v>300</v>
      </c>
      <c r="O31"/>
      <c r="P31"/>
      <c r="Q31"/>
      <c r="R31"/>
      <c r="S31"/>
      <c r="T31"/>
      <c r="U31"/>
    </row>
    <row r="32" spans="2:21" outlineLevel="1" x14ac:dyDescent="0.25">
      <c r="B32" s="7" t="s">
        <v>73</v>
      </c>
      <c r="C32" s="6"/>
      <c r="D32" s="21"/>
      <c r="E32" s="49">
        <f>SUM(E28:E31)</f>
        <v>59390</v>
      </c>
      <c r="F32" s="49">
        <f t="shared" ref="F32:N32" si="9">SUM(F28:F31)</f>
        <v>53433</v>
      </c>
      <c r="G32" s="49">
        <f t="shared" si="9"/>
        <v>52664</v>
      </c>
      <c r="H32" s="49">
        <f t="shared" si="9"/>
        <v>51465.5</v>
      </c>
      <c r="I32" s="49">
        <f t="shared" si="9"/>
        <v>53637.45</v>
      </c>
      <c r="J32" s="49">
        <f t="shared" si="9"/>
        <v>50908.42</v>
      </c>
      <c r="K32" s="49">
        <f>SUM(K28:K31)</f>
        <v>50905.052000000003</v>
      </c>
      <c r="L32" s="49">
        <f t="shared" si="9"/>
        <v>48903.031199999998</v>
      </c>
      <c r="M32" s="49">
        <f t="shared" si="9"/>
        <v>53101.818719999996</v>
      </c>
      <c r="N32" s="49">
        <f t="shared" si="9"/>
        <v>49981.091231999999</v>
      </c>
      <c r="O32"/>
      <c r="P32"/>
      <c r="Q32"/>
      <c r="R32"/>
      <c r="S32"/>
      <c r="T32"/>
      <c r="U32"/>
    </row>
    <row r="33" spans="2:21" outlineLevel="1" x14ac:dyDescent="0.25">
      <c r="B33" s="4" t="s">
        <v>7</v>
      </c>
      <c r="C33" s="4"/>
      <c r="D33" s="22"/>
      <c r="E33" s="17">
        <f>E26-E32</f>
        <v>3594</v>
      </c>
      <c r="F33" s="17">
        <f t="shared" ref="F33:N33" si="10">F26-F32</f>
        <v>16649</v>
      </c>
      <c r="G33" s="17">
        <f t="shared" si="10"/>
        <v>29558</v>
      </c>
      <c r="H33" s="17">
        <f t="shared" si="10"/>
        <v>37621.5</v>
      </c>
      <c r="I33" s="17">
        <f t="shared" si="10"/>
        <v>39824.550000000003</v>
      </c>
      <c r="J33" s="17">
        <f t="shared" si="10"/>
        <v>48827.258000000016</v>
      </c>
      <c r="K33" s="17">
        <f>K26-K32</f>
        <v>53318.731509999991</v>
      </c>
      <c r="L33" s="17">
        <f t="shared" si="10"/>
        <v>61210.22325119999</v>
      </c>
      <c r="M33" s="17">
        <f t="shared" si="10"/>
        <v>60865.399636991991</v>
      </c>
      <c r="N33" s="17">
        <f t="shared" si="10"/>
        <v>69239.303596134589</v>
      </c>
      <c r="O33"/>
      <c r="P33"/>
      <c r="Q33"/>
      <c r="R33"/>
      <c r="S33"/>
      <c r="T33"/>
      <c r="U33"/>
    </row>
    <row r="34" spans="2:21" outlineLevel="1" x14ac:dyDescent="0.25">
      <c r="B34" s="7"/>
      <c r="C34" s="7"/>
      <c r="D34" s="46"/>
      <c r="E34" s="44"/>
      <c r="F34" s="44"/>
      <c r="G34" s="44"/>
      <c r="H34" s="44"/>
      <c r="I34" s="44"/>
      <c r="J34" s="49"/>
      <c r="K34" s="49"/>
      <c r="L34" s="49"/>
      <c r="M34" s="49"/>
      <c r="N34" s="49"/>
      <c r="O34"/>
      <c r="P34"/>
      <c r="Q34"/>
      <c r="R34"/>
      <c r="S34"/>
      <c r="T34"/>
      <c r="U34"/>
    </row>
    <row r="35" spans="2:21" outlineLevel="1" x14ac:dyDescent="0.25">
      <c r="B35" s="6" t="s">
        <v>8</v>
      </c>
      <c r="C35" s="6"/>
      <c r="D35" s="21"/>
      <c r="E35" s="14">
        <v>1120.1708000000001</v>
      </c>
      <c r="F35" s="14">
        <v>4858.2165021220308</v>
      </c>
      <c r="G35" s="14">
        <v>8482.8061148686775</v>
      </c>
      <c r="H35" s="14">
        <v>10908.02097640469</v>
      </c>
      <c r="I35" s="14">
        <v>11597.665241419718</v>
      </c>
      <c r="J35" s="54">
        <f>J33*J13</f>
        <v>13671.632240000006</v>
      </c>
      <c r="K35" s="54">
        <f>K33*K13</f>
        <v>14929.244822799999</v>
      </c>
      <c r="L35" s="54">
        <f t="shared" ref="L35:N35" si="11">L33*L13</f>
        <v>17138.862510335999</v>
      </c>
      <c r="M35" s="54">
        <f t="shared" si="11"/>
        <v>17042.311898357759</v>
      </c>
      <c r="N35" s="54">
        <f t="shared" si="11"/>
        <v>19387.005006917687</v>
      </c>
      <c r="O35"/>
      <c r="P35"/>
      <c r="Q35"/>
      <c r="R35"/>
      <c r="S35"/>
      <c r="T35"/>
      <c r="U35"/>
    </row>
    <row r="36" spans="2:21" ht="16.5" outlineLevel="1" thickBot="1" x14ac:dyDescent="0.3">
      <c r="B36" s="39" t="s">
        <v>9</v>
      </c>
      <c r="C36" s="39"/>
      <c r="D36" s="40"/>
      <c r="E36" s="41">
        <f>E33-E35</f>
        <v>2473.8292000000001</v>
      </c>
      <c r="F36" s="41">
        <f t="shared" ref="F36:N36" si="12">F33-F35</f>
        <v>11790.783497877968</v>
      </c>
      <c r="G36" s="41">
        <f t="shared" si="12"/>
        <v>21075.193885131324</v>
      </c>
      <c r="H36" s="41">
        <f t="shared" si="12"/>
        <v>26713.479023595311</v>
      </c>
      <c r="I36" s="41">
        <f t="shared" si="12"/>
        <v>28226.884758580287</v>
      </c>
      <c r="J36" s="41">
        <f t="shared" si="12"/>
        <v>35155.62576000001</v>
      </c>
      <c r="K36" s="104">
        <f>K33-K35</f>
        <v>38389.486687199991</v>
      </c>
      <c r="L36" s="41">
        <f t="shared" si="12"/>
        <v>44071.360740863995</v>
      </c>
      <c r="M36" s="41">
        <f t="shared" si="12"/>
        <v>43823.087738634233</v>
      </c>
      <c r="N36" s="41">
        <f t="shared" si="12"/>
        <v>49852.298589216902</v>
      </c>
      <c r="O36"/>
      <c r="P36"/>
      <c r="Q36"/>
      <c r="R36"/>
      <c r="S36"/>
      <c r="T36"/>
      <c r="U36"/>
    </row>
    <row r="37" spans="2:21" ht="16.5" outlineLevel="1" collapsed="1" thickTop="1" x14ac:dyDescent="0.25">
      <c r="E37" s="14"/>
      <c r="F37" s="14"/>
      <c r="G37" s="14"/>
      <c r="H37" s="14"/>
      <c r="I37" s="14"/>
      <c r="O37"/>
      <c r="P37"/>
      <c r="Q37"/>
      <c r="R37"/>
      <c r="S37"/>
      <c r="T37"/>
      <c r="U37"/>
    </row>
    <row r="38" spans="2:21" x14ac:dyDescent="0.25">
      <c r="E38" s="14"/>
      <c r="F38" s="14"/>
      <c r="G38" s="14"/>
      <c r="H38" s="14"/>
      <c r="I38" s="14"/>
      <c r="J38" s="14"/>
      <c r="K38" s="14"/>
      <c r="L38" s="14"/>
      <c r="M38" s="14"/>
      <c r="N38" s="14"/>
      <c r="O38"/>
      <c r="P38"/>
      <c r="Q38"/>
      <c r="R38"/>
      <c r="S38"/>
      <c r="T38"/>
      <c r="U38"/>
    </row>
    <row r="39" spans="2:21" ht="18" x14ac:dyDescent="0.25">
      <c r="B39" s="65" t="s">
        <v>10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/>
      <c r="P39"/>
      <c r="Q39"/>
      <c r="R39"/>
      <c r="S39"/>
      <c r="T39"/>
      <c r="U39"/>
    </row>
    <row r="40" spans="2:21" hidden="1" outlineLevel="1" x14ac:dyDescent="0.25">
      <c r="B40" s="3" t="s">
        <v>11</v>
      </c>
      <c r="E40" s="14"/>
      <c r="F40" s="14"/>
      <c r="G40" s="14"/>
      <c r="H40" s="14"/>
      <c r="I40" s="14"/>
      <c r="O40"/>
      <c r="P40"/>
      <c r="Q40"/>
      <c r="R40"/>
      <c r="S40"/>
      <c r="T40"/>
      <c r="U40"/>
    </row>
    <row r="41" spans="2:21" hidden="1" outlineLevel="1" x14ac:dyDescent="0.25">
      <c r="B41" s="1" t="s">
        <v>12</v>
      </c>
      <c r="D41"/>
      <c r="E41" s="14">
        <v>167971.17920000001</v>
      </c>
      <c r="F41" s="14">
        <v>181209.91269787797</v>
      </c>
      <c r="G41" s="14">
        <v>183715.25658300929</v>
      </c>
      <c r="H41" s="14">
        <v>211069.33560660461</v>
      </c>
      <c r="I41" s="14">
        <v>239549.5203651849</v>
      </c>
      <c r="J41" s="1">
        <f>J78</f>
        <v>274338.81546217122</v>
      </c>
      <c r="K41" s="99">
        <f>K78</f>
        <v>317122.0583695356</v>
      </c>
      <c r="L41" s="1">
        <f t="shared" ref="L41:N41" si="13">L78</f>
        <v>328798.31953660015</v>
      </c>
      <c r="M41" s="1">
        <f t="shared" si="13"/>
        <v>229912.44379265167</v>
      </c>
      <c r="N41" s="1">
        <f t="shared" si="13"/>
        <v>279173.6002754987</v>
      </c>
      <c r="O41" t="s">
        <v>96</v>
      </c>
      <c r="P41"/>
      <c r="Q41"/>
      <c r="R41"/>
      <c r="S41"/>
      <c r="T41"/>
      <c r="U41"/>
    </row>
    <row r="42" spans="2:21" hidden="1" outlineLevel="1" x14ac:dyDescent="0.25">
      <c r="B42" s="1" t="s">
        <v>13</v>
      </c>
      <c r="D42"/>
      <c r="E42" s="14">
        <v>5100.3500000000004</v>
      </c>
      <c r="F42" s="14">
        <v>5904.3</v>
      </c>
      <c r="G42" s="14">
        <v>6567.25</v>
      </c>
      <c r="H42" s="14">
        <v>7117.05</v>
      </c>
      <c r="I42" s="14">
        <v>7538.6</v>
      </c>
      <c r="J42" s="42">
        <f>J24*J15/365</f>
        <v>7807.0980821917819</v>
      </c>
      <c r="K42" s="101">
        <f>K24*K15/365</f>
        <v>8158.4174958904105</v>
      </c>
      <c r="L42" s="42">
        <f t="shared" ref="L42:N43" si="14">L24*L15/365</f>
        <v>8484.7541957260273</v>
      </c>
      <c r="M42" s="42">
        <f t="shared" si="14"/>
        <v>8781.7205925764374</v>
      </c>
      <c r="N42" s="42">
        <f t="shared" si="14"/>
        <v>9045.1722103537304</v>
      </c>
      <c r="O42" t="s">
        <v>96</v>
      </c>
      <c r="P42"/>
      <c r="Q42"/>
      <c r="R42"/>
      <c r="S42"/>
      <c r="T42"/>
      <c r="U42"/>
    </row>
    <row r="43" spans="2:21" hidden="1" outlineLevel="1" x14ac:dyDescent="0.25">
      <c r="B43" s="1" t="s">
        <v>19</v>
      </c>
      <c r="D43"/>
      <c r="E43" s="14">
        <v>7804.6</v>
      </c>
      <c r="F43" s="14">
        <v>9600.8000000000011</v>
      </c>
      <c r="G43" s="14">
        <v>9824.6</v>
      </c>
      <c r="H43" s="14">
        <v>10530.800000000001</v>
      </c>
      <c r="I43" s="14">
        <v>11342</v>
      </c>
      <c r="J43" s="1">
        <f>J25*J16/365</f>
        <v>11714.984399999999</v>
      </c>
      <c r="K43" s="102">
        <f>K25*K16/365</f>
        <v>12242.158697999999</v>
      </c>
      <c r="L43" s="1">
        <f>L25*L16/365</f>
        <v>12387.741125759998</v>
      </c>
      <c r="M43" s="1">
        <f t="shared" si="14"/>
        <v>12821.312065161599</v>
      </c>
      <c r="N43" s="1">
        <f t="shared" si="14"/>
        <v>12839.119443029876</v>
      </c>
      <c r="O43"/>
      <c r="P43"/>
      <c r="Q43"/>
      <c r="R43"/>
      <c r="S43"/>
      <c r="T43"/>
      <c r="U43"/>
    </row>
    <row r="44" spans="2:21" hidden="1" outlineLevel="1" x14ac:dyDescent="0.25">
      <c r="B44" s="1" t="s">
        <v>14</v>
      </c>
      <c r="E44" s="14">
        <v>45500</v>
      </c>
      <c r="F44" s="14">
        <v>42350</v>
      </c>
      <c r="G44" s="14">
        <v>40145</v>
      </c>
      <c r="H44" s="14">
        <v>38601.5</v>
      </c>
      <c r="I44" s="14">
        <v>37521.050000000003</v>
      </c>
      <c r="J44" s="1">
        <f>J95</f>
        <v>37512.630000000005</v>
      </c>
      <c r="K44" s="1">
        <f>K95</f>
        <v>32507.578000000001</v>
      </c>
      <c r="L44" s="1">
        <f t="shared" ref="L44:N44" si="15">L95</f>
        <v>44504.546799999996</v>
      </c>
      <c r="M44" s="1">
        <f t="shared" si="15"/>
        <v>36702.728080000001</v>
      </c>
      <c r="N44" s="1">
        <f t="shared" si="15"/>
        <v>37021.636848000002</v>
      </c>
      <c r="O44"/>
      <c r="P44"/>
      <c r="Q44"/>
      <c r="R44"/>
      <c r="S44"/>
      <c r="T44"/>
      <c r="U44"/>
    </row>
    <row r="45" spans="2:21" ht="16.5" hidden="1" outlineLevel="1" thickBot="1" x14ac:dyDescent="0.3">
      <c r="B45" s="39" t="s">
        <v>20</v>
      </c>
      <c r="C45" s="39"/>
      <c r="D45" s="40"/>
      <c r="E45" s="41">
        <f>SUM(E41:E44)</f>
        <v>226376.12920000002</v>
      </c>
      <c r="F45" s="41">
        <f t="shared" ref="F45:N45" si="16">SUM(F41:F44)</f>
        <v>239065.01269787794</v>
      </c>
      <c r="G45" s="41">
        <f t="shared" si="16"/>
        <v>240252.1065830093</v>
      </c>
      <c r="H45" s="41">
        <f t="shared" si="16"/>
        <v>267318.68560660456</v>
      </c>
      <c r="I45" s="41">
        <f t="shared" si="16"/>
        <v>295951.17036518489</v>
      </c>
      <c r="J45" s="41">
        <f t="shared" si="16"/>
        <v>331373.52794436301</v>
      </c>
      <c r="K45" s="41">
        <f>SUM(K41:K44)</f>
        <v>370030.212563426</v>
      </c>
      <c r="L45" s="41">
        <f t="shared" si="16"/>
        <v>394175.36165808619</v>
      </c>
      <c r="M45" s="41">
        <f t="shared" si="16"/>
        <v>288218.20453038969</v>
      </c>
      <c r="N45" s="41">
        <f t="shared" si="16"/>
        <v>338079.52877688227</v>
      </c>
      <c r="O45"/>
      <c r="P45"/>
      <c r="Q45"/>
      <c r="R45"/>
      <c r="S45"/>
      <c r="T45"/>
      <c r="U45"/>
    </row>
    <row r="46" spans="2:21" ht="16.5" hidden="1" outlineLevel="1" thickTop="1" x14ac:dyDescent="0.25">
      <c r="B46" s="7"/>
      <c r="C46" s="7"/>
      <c r="D46" s="46"/>
      <c r="E46" s="44"/>
      <c r="F46" s="44"/>
      <c r="G46" s="44"/>
      <c r="H46" s="44"/>
      <c r="I46" s="44"/>
      <c r="J46" s="7"/>
      <c r="K46" s="7"/>
      <c r="L46" s="7"/>
      <c r="M46" s="7"/>
      <c r="N46" s="7"/>
      <c r="O46"/>
      <c r="P46"/>
      <c r="Q46"/>
      <c r="R46"/>
      <c r="S46"/>
      <c r="T46"/>
      <c r="U46"/>
    </row>
    <row r="47" spans="2:21" hidden="1" outlineLevel="1" x14ac:dyDescent="0.25">
      <c r="B47" s="3" t="s">
        <v>21</v>
      </c>
      <c r="D47"/>
      <c r="E47" s="14"/>
      <c r="F47" s="14"/>
      <c r="G47" s="14"/>
      <c r="H47" s="14"/>
      <c r="I47" s="14"/>
      <c r="O47"/>
      <c r="P47"/>
      <c r="Q47"/>
      <c r="R47"/>
      <c r="S47"/>
      <c r="T47"/>
      <c r="U47"/>
    </row>
    <row r="48" spans="2:21" hidden="1" outlineLevel="1" x14ac:dyDescent="0.25">
      <c r="B48" s="1" t="s">
        <v>22</v>
      </c>
      <c r="D48"/>
      <c r="E48" s="14">
        <v>3902.3</v>
      </c>
      <c r="F48" s="14">
        <v>4800.4000000000005</v>
      </c>
      <c r="G48" s="14">
        <v>4912.3</v>
      </c>
      <c r="H48" s="14">
        <v>5265.4000000000005</v>
      </c>
      <c r="I48" s="14">
        <v>5671</v>
      </c>
      <c r="J48" s="1">
        <f>J25*J17/365</f>
        <v>5937.7318191780823</v>
      </c>
      <c r="K48" s="1">
        <f>K25*K17/365</f>
        <v>6204.9297510410952</v>
      </c>
      <c r="L48" s="1">
        <f t="shared" ref="L48:N48" si="17">L25*L17/365</f>
        <v>6278.7181048372595</v>
      </c>
      <c r="M48" s="1">
        <f t="shared" si="17"/>
        <v>6498.4732385065636</v>
      </c>
      <c r="N48" s="1">
        <f t="shared" si="17"/>
        <v>6507.498895782267</v>
      </c>
      <c r="O48" t="s">
        <v>97</v>
      </c>
      <c r="P48"/>
      <c r="Q48"/>
      <c r="R48"/>
      <c r="S48"/>
      <c r="T48"/>
      <c r="U48"/>
    </row>
    <row r="49" spans="2:21" hidden="1" outlineLevel="1" x14ac:dyDescent="0.25">
      <c r="B49" s="1" t="s">
        <v>23</v>
      </c>
      <c r="E49" s="14">
        <v>50000</v>
      </c>
      <c r="F49" s="14">
        <v>50000</v>
      </c>
      <c r="G49" s="14">
        <v>30000</v>
      </c>
      <c r="H49" s="14">
        <v>30000</v>
      </c>
      <c r="I49" s="14">
        <v>30000</v>
      </c>
      <c r="J49" s="1">
        <f>J100</f>
        <v>30000</v>
      </c>
      <c r="K49" s="1">
        <f>K100</f>
        <v>30000</v>
      </c>
      <c r="L49" s="1">
        <f t="shared" ref="L49:N49" si="18">L100</f>
        <v>10000</v>
      </c>
      <c r="M49" s="1">
        <f t="shared" si="18"/>
        <v>10000</v>
      </c>
      <c r="N49" s="1">
        <f t="shared" si="18"/>
        <v>10000</v>
      </c>
      <c r="O49"/>
      <c r="P49"/>
      <c r="Q49"/>
      <c r="R49"/>
      <c r="S49"/>
      <c r="T49"/>
      <c r="U49"/>
    </row>
    <row r="50" spans="2:21" hidden="1" outlineLevel="1" x14ac:dyDescent="0.25">
      <c r="B50" s="4" t="s">
        <v>28</v>
      </c>
      <c r="C50" s="4"/>
      <c r="D50" s="22"/>
      <c r="E50" s="17">
        <f>SUM(E48:E49)</f>
        <v>53902.3</v>
      </c>
      <c r="F50" s="17">
        <f t="shared" ref="F50:N50" si="19">SUM(F48:F49)</f>
        <v>54800.4</v>
      </c>
      <c r="G50" s="17">
        <f t="shared" si="19"/>
        <v>34912.300000000003</v>
      </c>
      <c r="H50" s="17">
        <f t="shared" si="19"/>
        <v>35265.4</v>
      </c>
      <c r="I50" s="17">
        <f t="shared" si="19"/>
        <v>35671</v>
      </c>
      <c r="J50" s="17">
        <f t="shared" si="19"/>
        <v>35937.73181917808</v>
      </c>
      <c r="K50" s="17">
        <f>SUM(K48:K49)</f>
        <v>36204.929751041098</v>
      </c>
      <c r="L50" s="17">
        <f t="shared" si="19"/>
        <v>16278.718104837259</v>
      </c>
      <c r="M50" s="17">
        <f t="shared" si="19"/>
        <v>16498.473238506565</v>
      </c>
      <c r="N50" s="17">
        <f t="shared" si="19"/>
        <v>16507.498895782268</v>
      </c>
      <c r="O50"/>
      <c r="P50"/>
      <c r="Q50"/>
      <c r="R50"/>
      <c r="S50"/>
      <c r="T50"/>
      <c r="U50"/>
    </row>
    <row r="51" spans="2:21" hidden="1" outlineLevel="1" x14ac:dyDescent="0.25">
      <c r="B51" s="3" t="s">
        <v>29</v>
      </c>
      <c r="E51" s="14"/>
      <c r="F51" s="14"/>
      <c r="G51" s="14"/>
      <c r="H51" s="14"/>
      <c r="I51" s="14"/>
      <c r="O51"/>
      <c r="P51"/>
      <c r="Q51"/>
      <c r="R51"/>
      <c r="S51"/>
      <c r="T51"/>
      <c r="U51"/>
    </row>
    <row r="52" spans="2:21" hidden="1" outlineLevel="1" x14ac:dyDescent="0.25">
      <c r="B52" s="1" t="s">
        <v>30</v>
      </c>
      <c r="E52" s="14">
        <v>170000</v>
      </c>
      <c r="F52" s="14">
        <v>170000</v>
      </c>
      <c r="G52" s="14">
        <v>170000</v>
      </c>
      <c r="H52" s="14">
        <v>170000</v>
      </c>
      <c r="I52" s="14">
        <v>170000</v>
      </c>
      <c r="J52" s="1">
        <f>I52+J20</f>
        <v>170000</v>
      </c>
      <c r="K52" s="1">
        <f>J52+K20</f>
        <v>170000</v>
      </c>
      <c r="L52" s="1">
        <f t="shared" ref="L52:N52" si="20">K52+L20</f>
        <v>170000</v>
      </c>
      <c r="M52" s="1">
        <f t="shared" si="20"/>
        <v>20000</v>
      </c>
      <c r="N52" s="1">
        <f t="shared" si="20"/>
        <v>20000</v>
      </c>
      <c r="O52"/>
      <c r="P52"/>
      <c r="Q52"/>
      <c r="R52"/>
      <c r="S52"/>
      <c r="T52"/>
      <c r="U52"/>
    </row>
    <row r="53" spans="2:21" hidden="1" outlineLevel="1" x14ac:dyDescent="0.25">
      <c r="B53" s="1" t="s">
        <v>31</v>
      </c>
      <c r="E53" s="14">
        <v>2473.8292000000001</v>
      </c>
      <c r="F53" s="14">
        <v>14264.612697877968</v>
      </c>
      <c r="G53" s="14">
        <v>35339.806583009296</v>
      </c>
      <c r="H53" s="14">
        <v>62053.285606604608</v>
      </c>
      <c r="I53" s="14">
        <v>90280.170365184895</v>
      </c>
      <c r="J53" s="1">
        <f>I53+J36</f>
        <v>125435.7961251849</v>
      </c>
      <c r="K53" s="1">
        <f>J53+K36</f>
        <v>163825.28281238489</v>
      </c>
      <c r="L53" s="1">
        <f t="shared" ref="L53:N53" si="21">K53+L36</f>
        <v>207896.6435532489</v>
      </c>
      <c r="M53" s="1">
        <f t="shared" si="21"/>
        <v>251719.73129188313</v>
      </c>
      <c r="N53" s="1">
        <f t="shared" si="21"/>
        <v>301572.02988110005</v>
      </c>
      <c r="O53"/>
      <c r="P53"/>
      <c r="Q53"/>
      <c r="R53"/>
      <c r="S53"/>
      <c r="T53"/>
      <c r="U53"/>
    </row>
    <row r="54" spans="2:21" hidden="1" outlineLevel="1" x14ac:dyDescent="0.25">
      <c r="B54" s="8" t="s">
        <v>29</v>
      </c>
      <c r="C54" s="8"/>
      <c r="D54" s="26"/>
      <c r="E54" s="50">
        <f>SUM(E52:E53)</f>
        <v>172473.82920000001</v>
      </c>
      <c r="F54" s="50">
        <f t="shared" ref="F54:N54" si="22">SUM(F52:F53)</f>
        <v>184264.61269787798</v>
      </c>
      <c r="G54" s="50">
        <f t="shared" si="22"/>
        <v>205339.80658300931</v>
      </c>
      <c r="H54" s="50">
        <f t="shared" si="22"/>
        <v>232053.28560660459</v>
      </c>
      <c r="I54" s="50">
        <f t="shared" si="22"/>
        <v>260280.17036518489</v>
      </c>
      <c r="J54" s="50">
        <f t="shared" si="22"/>
        <v>295435.79612518492</v>
      </c>
      <c r="K54" s="50">
        <f>SUM(K52:K53)</f>
        <v>333825.28281238489</v>
      </c>
      <c r="L54" s="50">
        <f t="shared" si="22"/>
        <v>377896.6435532489</v>
      </c>
      <c r="M54" s="50">
        <f t="shared" si="22"/>
        <v>271719.73129188316</v>
      </c>
      <c r="N54" s="50">
        <f t="shared" si="22"/>
        <v>321572.02988110005</v>
      </c>
      <c r="O54"/>
      <c r="P54"/>
      <c r="Q54"/>
      <c r="R54"/>
      <c r="S54"/>
      <c r="T54"/>
      <c r="U54"/>
    </row>
    <row r="55" spans="2:21" ht="16.5" hidden="1" outlineLevel="1" thickBot="1" x14ac:dyDescent="0.3">
      <c r="B55" s="39" t="s">
        <v>32</v>
      </c>
      <c r="C55" s="39"/>
      <c r="D55" s="40"/>
      <c r="E55" s="41">
        <f>E50+E54</f>
        <v>226376.12920000002</v>
      </c>
      <c r="F55" s="41">
        <f t="shared" ref="F55:N55" si="23">F50+F54</f>
        <v>239065.01269787797</v>
      </c>
      <c r="G55" s="41">
        <f t="shared" si="23"/>
        <v>240252.1065830093</v>
      </c>
      <c r="H55" s="41">
        <f t="shared" si="23"/>
        <v>267318.68560660462</v>
      </c>
      <c r="I55" s="41">
        <f t="shared" si="23"/>
        <v>295951.17036518489</v>
      </c>
      <c r="J55" s="41">
        <f t="shared" si="23"/>
        <v>331373.52794436301</v>
      </c>
      <c r="K55" s="41">
        <f>K50+K54</f>
        <v>370030.212563426</v>
      </c>
      <c r="L55" s="41">
        <f t="shared" si="23"/>
        <v>394175.36165808619</v>
      </c>
      <c r="M55" s="41">
        <f t="shared" si="23"/>
        <v>288218.20453038975</v>
      </c>
      <c r="N55" s="41">
        <f t="shared" si="23"/>
        <v>338079.52877688233</v>
      </c>
      <c r="O55"/>
      <c r="P55"/>
      <c r="Q55"/>
      <c r="R55"/>
      <c r="S55"/>
      <c r="T55"/>
      <c r="U55"/>
    </row>
    <row r="56" spans="2:21" ht="16.5" hidden="1" outlineLevel="1" thickTop="1" x14ac:dyDescent="0.25">
      <c r="E56" s="14"/>
      <c r="F56" s="14"/>
      <c r="G56" s="14"/>
      <c r="H56" s="14"/>
      <c r="I56" s="14"/>
      <c r="J56" s="14"/>
      <c r="K56" s="14"/>
      <c r="L56" s="14"/>
      <c r="M56" s="14"/>
      <c r="N56" s="14"/>
      <c r="O56"/>
      <c r="P56"/>
      <c r="Q56"/>
      <c r="R56"/>
      <c r="S56"/>
      <c r="T56"/>
      <c r="U56"/>
    </row>
    <row r="57" spans="2:21" hidden="1" outlineLevel="1" x14ac:dyDescent="0.25">
      <c r="B57" s="10" t="s">
        <v>50</v>
      </c>
      <c r="C57" s="9"/>
      <c r="D57" s="27"/>
      <c r="E57" s="66">
        <f>E55-E45</f>
        <v>0</v>
      </c>
      <c r="F57" s="66">
        <f>F55-F45</f>
        <v>0</v>
      </c>
      <c r="G57" s="66">
        <f t="shared" ref="G57:N57" si="24">G55-G45</f>
        <v>0</v>
      </c>
      <c r="H57" s="66">
        <f t="shared" si="24"/>
        <v>0</v>
      </c>
      <c r="I57" s="66">
        <f t="shared" si="24"/>
        <v>0</v>
      </c>
      <c r="J57" s="66">
        <f t="shared" si="24"/>
        <v>0</v>
      </c>
      <c r="K57" s="66">
        <f t="shared" si="24"/>
        <v>0</v>
      </c>
      <c r="L57" s="66">
        <f t="shared" si="24"/>
        <v>0</v>
      </c>
      <c r="M57" s="66">
        <f t="shared" si="24"/>
        <v>0</v>
      </c>
      <c r="N57" s="66">
        <f t="shared" si="24"/>
        <v>0</v>
      </c>
      <c r="O57"/>
      <c r="P57"/>
      <c r="Q57"/>
      <c r="R57"/>
      <c r="S57"/>
      <c r="T57"/>
      <c r="U57"/>
    </row>
    <row r="58" spans="2:21" hidden="1" outlineLevel="1" x14ac:dyDescent="0.25">
      <c r="B58" s="9"/>
      <c r="C58" s="9"/>
      <c r="D58" s="27"/>
      <c r="E58" s="9"/>
      <c r="F58" s="9"/>
      <c r="G58" s="9"/>
      <c r="H58" s="9"/>
      <c r="I58" s="9"/>
      <c r="J58" s="9"/>
      <c r="K58" s="9"/>
      <c r="L58" s="9"/>
      <c r="M58" s="9"/>
      <c r="N58" s="9"/>
      <c r="O58"/>
      <c r="P58"/>
      <c r="Q58"/>
      <c r="R58"/>
      <c r="S58"/>
      <c r="T58"/>
      <c r="U58"/>
    </row>
    <row r="59" spans="2:21" collapsed="1" x14ac:dyDescent="0.25">
      <c r="E59" s="14"/>
      <c r="F59" s="14"/>
      <c r="G59" s="14"/>
      <c r="H59" s="14"/>
      <c r="I59" s="14"/>
      <c r="O59"/>
      <c r="P59"/>
      <c r="Q59"/>
      <c r="R59"/>
      <c r="S59"/>
      <c r="T59"/>
      <c r="U59"/>
    </row>
    <row r="60" spans="2:21" ht="18" x14ac:dyDescent="0.25">
      <c r="B60" s="65" t="s">
        <v>49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/>
      <c r="P60"/>
      <c r="Q60"/>
      <c r="R60"/>
      <c r="S60"/>
      <c r="T60"/>
      <c r="U60"/>
    </row>
    <row r="61" spans="2:21" outlineLevel="1" x14ac:dyDescent="0.25">
      <c r="B61" s="3" t="s">
        <v>33</v>
      </c>
      <c r="E61" s="14"/>
      <c r="F61" s="14"/>
      <c r="G61" s="14"/>
      <c r="H61" s="14"/>
      <c r="I61" s="14"/>
    </row>
    <row r="62" spans="2:21" outlineLevel="1" x14ac:dyDescent="0.25">
      <c r="B62" s="1" t="s">
        <v>9</v>
      </c>
      <c r="E62" s="1">
        <f t="shared" ref="E62:J62" si="25">E36</f>
        <v>2473.8292000000001</v>
      </c>
      <c r="F62" s="1">
        <f t="shared" si="25"/>
        <v>11790.783497877968</v>
      </c>
      <c r="G62" s="1">
        <f t="shared" si="25"/>
        <v>21075.193885131324</v>
      </c>
      <c r="H62" s="1">
        <f t="shared" si="25"/>
        <v>26713.479023595311</v>
      </c>
      <c r="I62" s="1">
        <f t="shared" si="25"/>
        <v>28226.884758580287</v>
      </c>
      <c r="J62" s="1">
        <f t="shared" si="25"/>
        <v>35155.62576000001</v>
      </c>
      <c r="K62" s="103">
        <f>K36</f>
        <v>38389.486687199991</v>
      </c>
      <c r="L62" s="1">
        <f t="shared" ref="L62:N62" si="26">L36</f>
        <v>44071.360740863995</v>
      </c>
      <c r="M62" s="1">
        <f t="shared" si="26"/>
        <v>43823.087738634233</v>
      </c>
      <c r="N62" s="1">
        <f t="shared" si="26"/>
        <v>49852.298589216902</v>
      </c>
    </row>
    <row r="63" spans="2:21" outlineLevel="1" x14ac:dyDescent="0.25">
      <c r="B63" s="1" t="s">
        <v>34</v>
      </c>
      <c r="E63" s="1">
        <f>+E30</f>
        <v>19500</v>
      </c>
      <c r="F63" s="1">
        <f t="shared" ref="F63:I63" si="27">+F30</f>
        <v>18150</v>
      </c>
      <c r="G63" s="1">
        <f t="shared" si="27"/>
        <v>17205</v>
      </c>
      <c r="H63" s="1">
        <f t="shared" si="27"/>
        <v>16543.5</v>
      </c>
      <c r="I63" s="1">
        <f t="shared" si="27"/>
        <v>16080.449999999999</v>
      </c>
      <c r="J63" s="1">
        <f>+J30</f>
        <v>15008.420000000002</v>
      </c>
      <c r="K63" s="1">
        <f>+K30</f>
        <v>15005.052000000003</v>
      </c>
      <c r="L63" s="1">
        <f t="shared" ref="L63:N63" si="28">+L30</f>
        <v>13003.031200000001</v>
      </c>
      <c r="M63" s="1">
        <f t="shared" si="28"/>
        <v>17801.818719999999</v>
      </c>
      <c r="N63" s="1">
        <f t="shared" si="28"/>
        <v>14681.091232000001</v>
      </c>
    </row>
    <row r="64" spans="2:21" outlineLevel="1" x14ac:dyDescent="0.25">
      <c r="B64" s="1" t="s">
        <v>38</v>
      </c>
      <c r="E64" s="14">
        <v>9002.6500000000015</v>
      </c>
      <c r="F64" s="14">
        <v>1702.0499999999993</v>
      </c>
      <c r="G64" s="14">
        <v>774.84999999999854</v>
      </c>
      <c r="H64" s="14">
        <v>902.90000000000146</v>
      </c>
      <c r="I64" s="14">
        <v>827.14999999999782</v>
      </c>
      <c r="J64" s="1">
        <f>J89</f>
        <v>374.75066301369952</v>
      </c>
      <c r="K64" s="1">
        <f>K89</f>
        <v>611.2957798356183</v>
      </c>
      <c r="L64" s="1">
        <f t="shared" ref="L64:N64" si="29">L89</f>
        <v>398.13077379945025</v>
      </c>
      <c r="M64" s="1">
        <f t="shared" si="29"/>
        <v>510.7822025827063</v>
      </c>
      <c r="N64" s="1">
        <f t="shared" si="29"/>
        <v>272.23333836986603</v>
      </c>
    </row>
    <row r="65" spans="2:14" outlineLevel="1" x14ac:dyDescent="0.25">
      <c r="B65" s="4" t="s">
        <v>35</v>
      </c>
      <c r="C65" s="5"/>
      <c r="D65" s="28"/>
      <c r="E65" s="17">
        <f>E62+E63-E64</f>
        <v>12971.179199999999</v>
      </c>
      <c r="F65" s="17">
        <f t="shared" ref="F65:N65" si="30">F62+F63-F64</f>
        <v>28238.733497877969</v>
      </c>
      <c r="G65" s="17">
        <f t="shared" si="30"/>
        <v>37505.343885131326</v>
      </c>
      <c r="H65" s="17">
        <f t="shared" si="30"/>
        <v>42354.07902359531</v>
      </c>
      <c r="I65" s="17">
        <f t="shared" si="30"/>
        <v>43480.18475858029</v>
      </c>
      <c r="J65" s="17">
        <f t="shared" si="30"/>
        <v>49789.295096986309</v>
      </c>
      <c r="K65" s="17">
        <f t="shared" si="30"/>
        <v>52783.242907364373</v>
      </c>
      <c r="L65" s="17">
        <f t="shared" si="30"/>
        <v>56676.261167064542</v>
      </c>
      <c r="M65" s="17">
        <f t="shared" si="30"/>
        <v>61114.124256051524</v>
      </c>
      <c r="N65" s="17">
        <f t="shared" si="30"/>
        <v>64261.156482847036</v>
      </c>
    </row>
    <row r="66" spans="2:14" outlineLevel="1" x14ac:dyDescent="0.25">
      <c r="B66" s="7"/>
      <c r="C66" s="6"/>
      <c r="D66" s="21"/>
      <c r="E66" s="44"/>
      <c r="F66" s="44"/>
      <c r="G66" s="44"/>
      <c r="H66" s="44"/>
      <c r="I66" s="44"/>
      <c r="J66" s="7"/>
      <c r="K66" s="7"/>
      <c r="L66" s="7"/>
      <c r="M66" s="7"/>
      <c r="N66" s="7"/>
    </row>
    <row r="67" spans="2:14" outlineLevel="1" x14ac:dyDescent="0.25">
      <c r="B67" s="3" t="s">
        <v>39</v>
      </c>
      <c r="E67" s="15"/>
      <c r="F67" s="15"/>
      <c r="G67" s="15"/>
      <c r="H67" s="15"/>
      <c r="I67" s="15"/>
      <c r="J67" s="6"/>
      <c r="K67" s="6"/>
      <c r="L67" s="6"/>
      <c r="M67" s="6"/>
      <c r="N67" s="6"/>
    </row>
    <row r="68" spans="2:14" outlineLevel="1" x14ac:dyDescent="0.25">
      <c r="B68" s="1" t="s">
        <v>40</v>
      </c>
      <c r="E68" s="15">
        <v>15000</v>
      </c>
      <c r="F68" s="15">
        <v>15000</v>
      </c>
      <c r="G68" s="15">
        <v>15000</v>
      </c>
      <c r="H68" s="15">
        <v>15000</v>
      </c>
      <c r="I68" s="15">
        <v>15000</v>
      </c>
      <c r="J68" s="6">
        <f>J18</f>
        <v>15000</v>
      </c>
      <c r="K68" s="6">
        <f>K18</f>
        <v>10000</v>
      </c>
      <c r="L68" s="6">
        <f t="shared" ref="L68:N68" si="31">L18</f>
        <v>25000</v>
      </c>
      <c r="M68" s="6">
        <f t="shared" si="31"/>
        <v>10000</v>
      </c>
      <c r="N68" s="6">
        <f t="shared" si="31"/>
        <v>15000</v>
      </c>
    </row>
    <row r="69" spans="2:14" outlineLevel="1" x14ac:dyDescent="0.25">
      <c r="B69" s="4" t="s">
        <v>41</v>
      </c>
      <c r="C69" s="5"/>
      <c r="D69" s="28"/>
      <c r="E69" s="17">
        <f>SUM(E68)</f>
        <v>15000</v>
      </c>
      <c r="F69" s="17">
        <f t="shared" ref="F69:J69" si="32">SUM(F68)</f>
        <v>15000</v>
      </c>
      <c r="G69" s="17">
        <f t="shared" si="32"/>
        <v>15000</v>
      </c>
      <c r="H69" s="17">
        <f t="shared" si="32"/>
        <v>15000</v>
      </c>
      <c r="I69" s="17">
        <f t="shared" si="32"/>
        <v>15000</v>
      </c>
      <c r="J69" s="17">
        <f t="shared" si="32"/>
        <v>15000</v>
      </c>
      <c r="K69" s="17">
        <f>SUM(K68)</f>
        <v>10000</v>
      </c>
      <c r="L69" s="17">
        <f t="shared" ref="L69:N69" si="33">SUM(L68)</f>
        <v>25000</v>
      </c>
      <c r="M69" s="17">
        <f t="shared" si="33"/>
        <v>10000</v>
      </c>
      <c r="N69" s="17">
        <f t="shared" si="33"/>
        <v>15000</v>
      </c>
    </row>
    <row r="70" spans="2:14" outlineLevel="1" x14ac:dyDescent="0.25">
      <c r="B70" s="7"/>
      <c r="C70" s="6"/>
      <c r="D70" s="21"/>
      <c r="E70" s="44"/>
      <c r="F70" s="44"/>
      <c r="G70" s="44"/>
      <c r="H70" s="44"/>
      <c r="I70" s="44"/>
      <c r="J70" s="7"/>
      <c r="K70" s="7"/>
      <c r="L70" s="7"/>
      <c r="M70" s="7"/>
      <c r="N70" s="7"/>
    </row>
    <row r="71" spans="2:14" outlineLevel="1" x14ac:dyDescent="0.25">
      <c r="B71" s="3" t="s">
        <v>42</v>
      </c>
      <c r="E71" s="15"/>
      <c r="F71" s="15"/>
      <c r="G71" s="15"/>
      <c r="H71" s="15"/>
      <c r="I71" s="15"/>
      <c r="J71" s="6"/>
      <c r="K71" s="6"/>
      <c r="L71" s="6"/>
      <c r="M71" s="6"/>
      <c r="N71" s="6"/>
    </row>
    <row r="72" spans="2:14" outlineLevel="1" x14ac:dyDescent="0.25">
      <c r="B72" s="1" t="s">
        <v>43</v>
      </c>
      <c r="E72" s="15">
        <v>0</v>
      </c>
      <c r="F72" s="15">
        <v>0</v>
      </c>
      <c r="G72" s="15">
        <v>-20000</v>
      </c>
      <c r="H72" s="15">
        <v>0</v>
      </c>
      <c r="I72" s="15">
        <v>0</v>
      </c>
      <c r="J72" s="6">
        <f>J19</f>
        <v>0</v>
      </c>
      <c r="K72" s="6">
        <f t="shared" ref="K72:N73" si="34">K19</f>
        <v>0</v>
      </c>
      <c r="L72" s="6">
        <f t="shared" si="34"/>
        <v>-20000</v>
      </c>
      <c r="M72" s="6">
        <f t="shared" si="34"/>
        <v>0</v>
      </c>
      <c r="N72" s="6">
        <f t="shared" si="34"/>
        <v>0</v>
      </c>
    </row>
    <row r="73" spans="2:14" outlineLevel="1" x14ac:dyDescent="0.25">
      <c r="B73" s="1" t="s">
        <v>44</v>
      </c>
      <c r="E73" s="15">
        <v>170000</v>
      </c>
      <c r="F73" s="15">
        <v>0</v>
      </c>
      <c r="G73" s="15">
        <v>0</v>
      </c>
      <c r="H73" s="15">
        <v>0</v>
      </c>
      <c r="I73" s="15">
        <v>0</v>
      </c>
      <c r="J73" s="6">
        <f>J20</f>
        <v>0</v>
      </c>
      <c r="K73" s="6">
        <f t="shared" si="34"/>
        <v>0</v>
      </c>
      <c r="L73" s="6">
        <f t="shared" si="34"/>
        <v>0</v>
      </c>
      <c r="M73" s="6">
        <f t="shared" si="34"/>
        <v>-150000</v>
      </c>
      <c r="N73" s="6">
        <f t="shared" si="34"/>
        <v>0</v>
      </c>
    </row>
    <row r="74" spans="2:14" outlineLevel="1" x14ac:dyDescent="0.25">
      <c r="B74" s="4" t="s">
        <v>45</v>
      </c>
      <c r="C74" s="5"/>
      <c r="D74" s="28"/>
      <c r="E74" s="17">
        <f>SUM(E72:E73)</f>
        <v>170000</v>
      </c>
      <c r="F74" s="17">
        <f t="shared" ref="F74:N74" si="35">SUM(F72:F73)</f>
        <v>0</v>
      </c>
      <c r="G74" s="17">
        <f t="shared" si="35"/>
        <v>-20000</v>
      </c>
      <c r="H74" s="17">
        <f t="shared" si="35"/>
        <v>0</v>
      </c>
      <c r="I74" s="17">
        <f t="shared" si="35"/>
        <v>0</v>
      </c>
      <c r="J74" s="17">
        <f t="shared" si="35"/>
        <v>0</v>
      </c>
      <c r="K74" s="17">
        <f t="shared" si="35"/>
        <v>0</v>
      </c>
      <c r="L74" s="17">
        <f t="shared" si="35"/>
        <v>-20000</v>
      </c>
      <c r="M74" s="17">
        <f t="shared" si="35"/>
        <v>-150000</v>
      </c>
      <c r="N74" s="17">
        <f t="shared" si="35"/>
        <v>0</v>
      </c>
    </row>
    <row r="75" spans="2:14" outlineLevel="1" x14ac:dyDescent="0.25">
      <c r="B75" s="7"/>
      <c r="C75" s="6"/>
      <c r="D75" s="21"/>
      <c r="E75" s="44"/>
      <c r="F75" s="44"/>
      <c r="G75" s="44"/>
      <c r="H75" s="44"/>
      <c r="I75" s="44"/>
      <c r="J75" s="7"/>
      <c r="K75" s="7"/>
      <c r="L75" s="7"/>
      <c r="M75" s="7"/>
      <c r="N75" s="7"/>
    </row>
    <row r="76" spans="2:14" outlineLevel="1" x14ac:dyDescent="0.25">
      <c r="B76" s="1" t="s">
        <v>46</v>
      </c>
      <c r="E76" s="48">
        <f>E65-E69+E74</f>
        <v>167971.17920000001</v>
      </c>
      <c r="F76" s="48">
        <f t="shared" ref="F76:J76" si="36">F65-F69+F74</f>
        <v>13238.733497877969</v>
      </c>
      <c r="G76" s="48">
        <f t="shared" si="36"/>
        <v>2505.3438851313258</v>
      </c>
      <c r="H76" s="48">
        <f t="shared" si="36"/>
        <v>27354.07902359531</v>
      </c>
      <c r="I76" s="48">
        <f t="shared" si="36"/>
        <v>28480.18475858029</v>
      </c>
      <c r="J76" s="48">
        <f t="shared" si="36"/>
        <v>34789.295096986309</v>
      </c>
      <c r="K76" s="48">
        <f>K65-K69+K74</f>
        <v>42783.242907364373</v>
      </c>
      <c r="L76" s="48">
        <f t="shared" ref="L76:N76" si="37">L65-L69+L74</f>
        <v>11676.261167064542</v>
      </c>
      <c r="M76" s="48">
        <f t="shared" si="37"/>
        <v>-98885.875743948476</v>
      </c>
      <c r="N76" s="48">
        <f t="shared" si="37"/>
        <v>49261.156482847036</v>
      </c>
    </row>
    <row r="77" spans="2:14" outlineLevel="1" x14ac:dyDescent="0.25">
      <c r="B77" s="1" t="s">
        <v>47</v>
      </c>
      <c r="E77" s="6">
        <f>D78</f>
        <v>0</v>
      </c>
      <c r="F77" s="15">
        <v>167971.17920000001</v>
      </c>
      <c r="G77" s="15">
        <v>181209.91269787797</v>
      </c>
      <c r="H77" s="15">
        <v>183715.25658300929</v>
      </c>
      <c r="I77" s="15">
        <v>211069.33560660461</v>
      </c>
      <c r="J77" s="6">
        <f>+I78</f>
        <v>239549.5203651849</v>
      </c>
      <c r="K77" s="6">
        <f>+J78</f>
        <v>274338.81546217122</v>
      </c>
      <c r="L77" s="6">
        <f t="shared" ref="L77:N77" si="38">+K78</f>
        <v>317122.0583695356</v>
      </c>
      <c r="M77" s="6">
        <f t="shared" si="38"/>
        <v>328798.31953660015</v>
      </c>
      <c r="N77" s="6">
        <f t="shared" si="38"/>
        <v>229912.44379265167</v>
      </c>
    </row>
    <row r="78" spans="2:14" outlineLevel="1" x14ac:dyDescent="0.25">
      <c r="B78" s="4" t="s">
        <v>48</v>
      </c>
      <c r="C78" s="5"/>
      <c r="D78" s="28"/>
      <c r="E78" s="17">
        <f>SUM(E76:E77)</f>
        <v>167971.17920000001</v>
      </c>
      <c r="F78" s="17">
        <f t="shared" ref="F78:J78" si="39">SUM(F76:F77)</f>
        <v>181209.91269787797</v>
      </c>
      <c r="G78" s="17">
        <f t="shared" si="39"/>
        <v>183715.25658300929</v>
      </c>
      <c r="H78" s="17">
        <f t="shared" si="39"/>
        <v>211069.33560660461</v>
      </c>
      <c r="I78" s="17">
        <f t="shared" si="39"/>
        <v>239549.5203651849</v>
      </c>
      <c r="J78" s="17">
        <f t="shared" si="39"/>
        <v>274338.81546217122</v>
      </c>
      <c r="K78" s="100">
        <f>SUM(K76:K77)</f>
        <v>317122.0583695356</v>
      </c>
      <c r="L78" s="17">
        <f t="shared" ref="L78:N78" si="40">SUM(L76:L77)</f>
        <v>328798.31953660015</v>
      </c>
      <c r="M78" s="17">
        <f t="shared" si="40"/>
        <v>229912.44379265167</v>
      </c>
      <c r="N78" s="17">
        <f t="shared" si="40"/>
        <v>279173.6002754987</v>
      </c>
    </row>
    <row r="79" spans="2:14" outlineLevel="1" x14ac:dyDescent="0.25">
      <c r="B79" s="3"/>
      <c r="E79" s="44"/>
      <c r="F79" s="14"/>
      <c r="G79" s="14"/>
      <c r="H79" s="14"/>
      <c r="I79" s="14"/>
    </row>
    <row r="80" spans="2:14" outlineLevel="1" x14ac:dyDescent="0.25">
      <c r="B80" s="10" t="s">
        <v>50</v>
      </c>
      <c r="C80" s="9"/>
      <c r="D80" s="27"/>
      <c r="E80" s="66">
        <f>E78-E41</f>
        <v>0</v>
      </c>
      <c r="F80" s="66">
        <f t="shared" ref="F80:N80" si="41">F78-F41</f>
        <v>0</v>
      </c>
      <c r="G80" s="66">
        <f t="shared" si="41"/>
        <v>0</v>
      </c>
      <c r="H80" s="66">
        <f t="shared" si="41"/>
        <v>0</v>
      </c>
      <c r="I80" s="66">
        <f t="shared" si="41"/>
        <v>0</v>
      </c>
      <c r="J80" s="66">
        <f t="shared" si="41"/>
        <v>0</v>
      </c>
      <c r="K80" s="66">
        <f t="shared" si="41"/>
        <v>0</v>
      </c>
      <c r="L80" s="66">
        <f t="shared" si="41"/>
        <v>0</v>
      </c>
      <c r="M80" s="66">
        <f t="shared" si="41"/>
        <v>0</v>
      </c>
      <c r="N80" s="66">
        <f t="shared" si="41"/>
        <v>0</v>
      </c>
    </row>
    <row r="81" spans="2:14" outlineLevel="1" x14ac:dyDescent="0.25">
      <c r="B81" s="3"/>
      <c r="E81" s="44"/>
      <c r="F81" s="14"/>
      <c r="G81" s="14"/>
      <c r="H81" s="14"/>
      <c r="I81" s="14"/>
    </row>
    <row r="82" spans="2:14" x14ac:dyDescent="0.25">
      <c r="E82" s="14"/>
      <c r="F82" s="14"/>
      <c r="G82" s="14"/>
      <c r="H82" s="14"/>
      <c r="I82" s="14"/>
    </row>
    <row r="83" spans="2:14" ht="18" x14ac:dyDescent="0.25">
      <c r="B83" s="65" t="s">
        <v>51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2:14" outlineLevel="1" x14ac:dyDescent="0.25">
      <c r="B84" s="3" t="s">
        <v>52</v>
      </c>
      <c r="F84" s="14"/>
      <c r="G84" s="14"/>
      <c r="H84" s="14"/>
      <c r="I84" s="14"/>
    </row>
    <row r="85" spans="2:14" outlineLevel="1" x14ac:dyDescent="0.25">
      <c r="B85" s="1" t="s">
        <v>13</v>
      </c>
      <c r="E85" s="14">
        <v>5100.3500000000004</v>
      </c>
      <c r="F85" s="14">
        <v>5904.3</v>
      </c>
      <c r="G85" s="14">
        <v>6567.25</v>
      </c>
      <c r="H85" s="14">
        <v>7117.05</v>
      </c>
      <c r="I85" s="14">
        <v>7538.6</v>
      </c>
      <c r="J85" s="1">
        <f>J42</f>
        <v>7807.0980821917819</v>
      </c>
      <c r="K85" s="1">
        <f t="shared" ref="K85:N86" si="42">K42</f>
        <v>8158.4174958904105</v>
      </c>
      <c r="L85" s="1">
        <f t="shared" si="42"/>
        <v>8484.7541957260273</v>
      </c>
      <c r="M85" s="1">
        <f t="shared" si="42"/>
        <v>8781.7205925764374</v>
      </c>
      <c r="N85" s="1">
        <f t="shared" si="42"/>
        <v>9045.1722103537304</v>
      </c>
    </row>
    <row r="86" spans="2:14" outlineLevel="1" x14ac:dyDescent="0.25">
      <c r="B86" s="1" t="s">
        <v>19</v>
      </c>
      <c r="E86" s="14">
        <v>7804.6</v>
      </c>
      <c r="F86" s="14">
        <v>9600.8000000000011</v>
      </c>
      <c r="G86" s="14">
        <v>9824.6</v>
      </c>
      <c r="H86" s="14">
        <v>10530.800000000001</v>
      </c>
      <c r="I86" s="14">
        <v>11342</v>
      </c>
      <c r="J86" s="1">
        <f>J43</f>
        <v>11714.984399999999</v>
      </c>
      <c r="K86" s="1">
        <f t="shared" si="42"/>
        <v>12242.158697999999</v>
      </c>
      <c r="L86" s="1">
        <f t="shared" si="42"/>
        <v>12387.741125759998</v>
      </c>
      <c r="M86" s="1">
        <f t="shared" si="42"/>
        <v>12821.312065161599</v>
      </c>
      <c r="N86" s="1">
        <f t="shared" si="42"/>
        <v>12839.119443029876</v>
      </c>
    </row>
    <row r="87" spans="2:14" outlineLevel="1" x14ac:dyDescent="0.25">
      <c r="B87" s="1" t="s">
        <v>22</v>
      </c>
      <c r="E87" s="14">
        <v>3902.3</v>
      </c>
      <c r="F87" s="14">
        <v>4800.4000000000005</v>
      </c>
      <c r="G87" s="14">
        <v>4912.3</v>
      </c>
      <c r="H87" s="14">
        <v>5265.4000000000005</v>
      </c>
      <c r="I87" s="14">
        <v>5671</v>
      </c>
      <c r="J87" s="1">
        <f>J48</f>
        <v>5937.7318191780823</v>
      </c>
      <c r="K87" s="1">
        <f t="shared" ref="K87:N87" si="43">K48</f>
        <v>6204.9297510410952</v>
      </c>
      <c r="L87" s="1">
        <f t="shared" si="43"/>
        <v>6278.7181048372595</v>
      </c>
      <c r="M87" s="1">
        <f t="shared" si="43"/>
        <v>6498.4732385065636</v>
      </c>
      <c r="N87" s="1">
        <f t="shared" si="43"/>
        <v>6507.498895782267</v>
      </c>
    </row>
    <row r="88" spans="2:14" outlineLevel="1" x14ac:dyDescent="0.25">
      <c r="B88" s="5" t="s">
        <v>37</v>
      </c>
      <c r="C88" s="5"/>
      <c r="D88" s="28"/>
      <c r="E88" s="51">
        <f>E85+E86-E87</f>
        <v>9002.6500000000015</v>
      </c>
      <c r="F88" s="51">
        <f t="shared" ref="F88:N88" si="44">F85+F86-F87</f>
        <v>10704.7</v>
      </c>
      <c r="G88" s="51">
        <f t="shared" si="44"/>
        <v>11479.55</v>
      </c>
      <c r="H88" s="51">
        <f t="shared" si="44"/>
        <v>12382.45</v>
      </c>
      <c r="I88" s="51">
        <f t="shared" si="44"/>
        <v>13209.599999999999</v>
      </c>
      <c r="J88" s="51">
        <f t="shared" si="44"/>
        <v>13584.350663013698</v>
      </c>
      <c r="K88" s="51">
        <f t="shared" si="44"/>
        <v>14195.646442849316</v>
      </c>
      <c r="L88" s="51">
        <f t="shared" si="44"/>
        <v>14593.777216648767</v>
      </c>
      <c r="M88" s="51">
        <f t="shared" si="44"/>
        <v>15104.559419231473</v>
      </c>
      <c r="N88" s="51">
        <f t="shared" si="44"/>
        <v>15376.792757601339</v>
      </c>
    </row>
    <row r="89" spans="2:14" outlineLevel="1" x14ac:dyDescent="0.25">
      <c r="B89" s="1" t="s">
        <v>36</v>
      </c>
      <c r="E89" s="52">
        <f>E88-D88</f>
        <v>9002.6500000000015</v>
      </c>
      <c r="F89" s="52">
        <f t="shared" ref="F89:N89" si="45">F88-E88</f>
        <v>1702.0499999999993</v>
      </c>
      <c r="G89" s="52">
        <f t="shared" si="45"/>
        <v>774.84999999999854</v>
      </c>
      <c r="H89" s="52">
        <f t="shared" si="45"/>
        <v>902.90000000000146</v>
      </c>
      <c r="I89" s="52">
        <f t="shared" si="45"/>
        <v>827.14999999999782</v>
      </c>
      <c r="J89" s="52">
        <f t="shared" si="45"/>
        <v>374.75066301369952</v>
      </c>
      <c r="K89" s="52">
        <f t="shared" si="45"/>
        <v>611.2957798356183</v>
      </c>
      <c r="L89" s="52">
        <f t="shared" si="45"/>
        <v>398.13077379945025</v>
      </c>
      <c r="M89" s="52">
        <f t="shared" si="45"/>
        <v>510.7822025827063</v>
      </c>
      <c r="N89" s="52">
        <f t="shared" si="45"/>
        <v>272.23333836986603</v>
      </c>
    </row>
    <row r="90" spans="2:14" outlineLevel="1" x14ac:dyDescent="0.25">
      <c r="E90" s="14"/>
      <c r="F90" s="14"/>
      <c r="G90" s="14"/>
      <c r="H90" s="14"/>
      <c r="I90" s="14"/>
    </row>
    <row r="91" spans="2:14" outlineLevel="1" x14ac:dyDescent="0.25">
      <c r="B91" s="3" t="s">
        <v>53</v>
      </c>
      <c r="E91" s="14"/>
      <c r="F91" s="14"/>
      <c r="G91" s="14"/>
      <c r="H91" s="14"/>
      <c r="I91" s="14"/>
    </row>
    <row r="92" spans="2:14" outlineLevel="1" x14ac:dyDescent="0.25">
      <c r="B92" s="1" t="s">
        <v>15</v>
      </c>
      <c r="E92" s="14">
        <v>50000</v>
      </c>
      <c r="F92" s="14">
        <v>45500</v>
      </c>
      <c r="G92" s="14">
        <v>42350</v>
      </c>
      <c r="H92" s="14">
        <v>40145</v>
      </c>
      <c r="I92" s="14">
        <v>38601.5</v>
      </c>
      <c r="J92" s="1">
        <f>I95</f>
        <v>37521.050000000003</v>
      </c>
      <c r="K92" s="1">
        <f t="shared" ref="K92:N92" si="46">J95</f>
        <v>37512.630000000005</v>
      </c>
      <c r="L92" s="1">
        <f t="shared" si="46"/>
        <v>32507.578000000001</v>
      </c>
      <c r="M92" s="1">
        <f t="shared" si="46"/>
        <v>44504.546799999996</v>
      </c>
      <c r="N92" s="1">
        <f t="shared" si="46"/>
        <v>36702.728080000001</v>
      </c>
    </row>
    <row r="93" spans="2:14" outlineLevel="1" x14ac:dyDescent="0.25">
      <c r="B93" s="1" t="s">
        <v>16</v>
      </c>
      <c r="E93" s="14">
        <v>15000</v>
      </c>
      <c r="F93" s="14">
        <v>15000</v>
      </c>
      <c r="G93" s="14">
        <v>15000</v>
      </c>
      <c r="H93" s="14">
        <v>15000</v>
      </c>
      <c r="I93" s="14">
        <v>15000</v>
      </c>
      <c r="J93" s="1">
        <f>+J18</f>
        <v>15000</v>
      </c>
      <c r="K93" s="1">
        <f t="shared" ref="K93:N93" si="47">+K18</f>
        <v>10000</v>
      </c>
      <c r="L93" s="1">
        <f t="shared" si="47"/>
        <v>25000</v>
      </c>
      <c r="M93" s="1">
        <f t="shared" si="47"/>
        <v>10000</v>
      </c>
      <c r="N93" s="1">
        <f t="shared" si="47"/>
        <v>15000</v>
      </c>
    </row>
    <row r="94" spans="2:14" outlineLevel="1" x14ac:dyDescent="0.25">
      <c r="B94" s="1" t="s">
        <v>17</v>
      </c>
      <c r="D94"/>
      <c r="E94" s="14">
        <v>19500</v>
      </c>
      <c r="F94" s="14">
        <v>18150</v>
      </c>
      <c r="G94" s="14">
        <v>17205</v>
      </c>
      <c r="H94" s="14">
        <v>16543.5</v>
      </c>
      <c r="I94" s="14">
        <v>16080.449999999999</v>
      </c>
      <c r="J94" s="55">
        <f>J92*J11</f>
        <v>15008.420000000002</v>
      </c>
      <c r="K94" s="98">
        <f>K92*K11</f>
        <v>15005.052000000003</v>
      </c>
      <c r="L94" s="55">
        <f t="shared" ref="L94:N94" si="48">L92*L11</f>
        <v>13003.031200000001</v>
      </c>
      <c r="M94" s="55">
        <f t="shared" si="48"/>
        <v>17801.818719999999</v>
      </c>
      <c r="N94" s="55">
        <f t="shared" si="48"/>
        <v>14681.091232000001</v>
      </c>
    </row>
    <row r="95" spans="2:14" outlineLevel="1" x14ac:dyDescent="0.25">
      <c r="B95" s="5" t="s">
        <v>18</v>
      </c>
      <c r="C95" s="5"/>
      <c r="D95" s="28"/>
      <c r="E95" s="51">
        <f>E92+E93-E94</f>
        <v>45500</v>
      </c>
      <c r="F95" s="51">
        <f t="shared" ref="F95:J95" si="49">F92+F93-F94</f>
        <v>42350</v>
      </c>
      <c r="G95" s="51">
        <f t="shared" si="49"/>
        <v>40145</v>
      </c>
      <c r="H95" s="51">
        <f t="shared" si="49"/>
        <v>38601.5</v>
      </c>
      <c r="I95" s="51">
        <f t="shared" si="49"/>
        <v>37521.050000000003</v>
      </c>
      <c r="J95" s="51">
        <f t="shared" si="49"/>
        <v>37512.630000000005</v>
      </c>
      <c r="K95" s="51">
        <f>K92+K93-K94</f>
        <v>32507.578000000001</v>
      </c>
      <c r="L95" s="51">
        <f t="shared" ref="L95:N95" si="50">L92+L93-L94</f>
        <v>44504.546799999996</v>
      </c>
      <c r="M95" s="51">
        <f t="shared" si="50"/>
        <v>36702.728080000001</v>
      </c>
      <c r="N95" s="51">
        <f t="shared" si="50"/>
        <v>37021.636848000002</v>
      </c>
    </row>
    <row r="96" spans="2:14" outlineLevel="1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outlineLevel="1" x14ac:dyDescent="0.25">
      <c r="B97" s="3" t="s">
        <v>54</v>
      </c>
      <c r="E97" s="14"/>
      <c r="F97" s="14"/>
      <c r="G97" s="14"/>
      <c r="H97" s="14"/>
      <c r="I97" s="14"/>
    </row>
    <row r="98" spans="2:14" outlineLevel="1" x14ac:dyDescent="0.25">
      <c r="B98" s="1" t="s">
        <v>24</v>
      </c>
      <c r="E98" s="14">
        <v>50000</v>
      </c>
      <c r="F98" s="14">
        <v>50000</v>
      </c>
      <c r="G98" s="14">
        <v>50000</v>
      </c>
      <c r="H98" s="14">
        <v>30000</v>
      </c>
      <c r="I98" s="14">
        <v>30000</v>
      </c>
      <c r="J98" s="1">
        <f>I100</f>
        <v>30000</v>
      </c>
      <c r="K98" s="1">
        <f t="shared" ref="K98:N98" si="51">J100</f>
        <v>30000</v>
      </c>
      <c r="L98" s="1">
        <f t="shared" si="51"/>
        <v>30000</v>
      </c>
      <c r="M98" s="1">
        <f t="shared" si="51"/>
        <v>10000</v>
      </c>
      <c r="N98" s="1">
        <f t="shared" si="51"/>
        <v>10000</v>
      </c>
    </row>
    <row r="99" spans="2:14" outlineLevel="1" x14ac:dyDescent="0.25">
      <c r="B99" s="1" t="s">
        <v>25</v>
      </c>
      <c r="E99" s="14">
        <v>0</v>
      </c>
      <c r="F99" s="14">
        <v>0</v>
      </c>
      <c r="G99" s="14">
        <v>-20000</v>
      </c>
      <c r="H99" s="14">
        <v>0</v>
      </c>
      <c r="I99" s="14">
        <v>0</v>
      </c>
      <c r="J99" s="34">
        <f>+J19</f>
        <v>0</v>
      </c>
      <c r="K99" s="34">
        <f t="shared" ref="K99:N99" si="52">+K19</f>
        <v>0</v>
      </c>
      <c r="L99" s="34">
        <f t="shared" si="52"/>
        <v>-20000</v>
      </c>
      <c r="M99" s="34">
        <f t="shared" si="52"/>
        <v>0</v>
      </c>
      <c r="N99" s="34">
        <f t="shared" si="52"/>
        <v>0</v>
      </c>
    </row>
    <row r="100" spans="2:14" outlineLevel="1" x14ac:dyDescent="0.25">
      <c r="B100" s="5" t="s">
        <v>26</v>
      </c>
      <c r="C100" s="5"/>
      <c r="D100" s="28"/>
      <c r="E100" s="51">
        <f>SUM(E98:E99)</f>
        <v>50000</v>
      </c>
      <c r="F100" s="51">
        <f t="shared" ref="F100:N100" si="53">SUM(F98:F99)</f>
        <v>50000</v>
      </c>
      <c r="G100" s="51">
        <f t="shared" si="53"/>
        <v>30000</v>
      </c>
      <c r="H100" s="51">
        <f t="shared" si="53"/>
        <v>30000</v>
      </c>
      <c r="I100" s="51">
        <f t="shared" si="53"/>
        <v>30000</v>
      </c>
      <c r="J100" s="51">
        <f t="shared" si="53"/>
        <v>30000</v>
      </c>
      <c r="K100" s="51">
        <f t="shared" si="53"/>
        <v>30000</v>
      </c>
      <c r="L100" s="51">
        <f t="shared" si="53"/>
        <v>10000</v>
      </c>
      <c r="M100" s="51">
        <f t="shared" si="53"/>
        <v>10000</v>
      </c>
      <c r="N100" s="51">
        <f t="shared" si="53"/>
        <v>10000</v>
      </c>
    </row>
    <row r="101" spans="2:14" outlineLevel="1" x14ac:dyDescent="0.25">
      <c r="B101" s="1" t="s">
        <v>27</v>
      </c>
      <c r="D101"/>
      <c r="E101" s="14">
        <v>2500</v>
      </c>
      <c r="F101" s="14">
        <v>2500</v>
      </c>
      <c r="G101" s="14">
        <v>1500</v>
      </c>
      <c r="H101" s="14">
        <v>900</v>
      </c>
      <c r="I101" s="14">
        <v>900</v>
      </c>
      <c r="J101" s="1">
        <f>J98*J12</f>
        <v>900</v>
      </c>
      <c r="K101" s="96">
        <f>K98*K12</f>
        <v>900</v>
      </c>
      <c r="L101" s="1">
        <f t="shared" ref="L101:N101" si="54">L98*L12</f>
        <v>900</v>
      </c>
      <c r="M101" s="1">
        <f t="shared" si="54"/>
        <v>300</v>
      </c>
      <c r="N101" s="1">
        <f t="shared" si="54"/>
        <v>300</v>
      </c>
    </row>
    <row r="102" spans="2:14" outlineLevel="1" x14ac:dyDescent="0.25">
      <c r="E102" s="14"/>
      <c r="F102" s="14"/>
      <c r="G102" s="67"/>
      <c r="H102" s="14"/>
      <c r="I102" s="14"/>
    </row>
    <row r="103" spans="2:14" outlineLevel="1" x14ac:dyDescent="0.25">
      <c r="E103" s="14"/>
      <c r="F103" s="14"/>
      <c r="G103" s="14"/>
      <c r="H103" s="14"/>
      <c r="I103" s="14"/>
    </row>
    <row r="104" spans="2:14" x14ac:dyDescent="0.25">
      <c r="E104" s="14"/>
      <c r="F104" s="14"/>
      <c r="G104" s="14"/>
      <c r="H104" s="14"/>
      <c r="I104" s="14"/>
    </row>
    <row r="105" spans="2:14" ht="18" x14ac:dyDescent="0.25">
      <c r="B105" s="65" t="s">
        <v>86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</row>
    <row r="106" spans="2:14" outlineLevel="1" x14ac:dyDescent="0.25"/>
    <row r="107" spans="2:14" outlineLevel="1" x14ac:dyDescent="0.25"/>
    <row r="108" spans="2:14" outlineLevel="1" x14ac:dyDescent="0.25"/>
    <row r="109" spans="2:14" outlineLevel="1" x14ac:dyDescent="0.25"/>
    <row r="110" spans="2:14" outlineLevel="1" x14ac:dyDescent="0.25"/>
    <row r="111" spans="2:14" outlineLevel="1" x14ac:dyDescent="0.25"/>
    <row r="112" spans="2:14" outlineLevel="1" x14ac:dyDescent="0.25"/>
    <row r="113" spans="2:9" outlineLevel="1" x14ac:dyDescent="0.25"/>
    <row r="114" spans="2:9" outlineLevel="1" x14ac:dyDescent="0.25"/>
    <row r="115" spans="2:9" outlineLevel="1" x14ac:dyDescent="0.25"/>
    <row r="116" spans="2:9" outlineLevel="1" x14ac:dyDescent="0.25"/>
    <row r="117" spans="2:9" outlineLevel="1" x14ac:dyDescent="0.25"/>
    <row r="118" spans="2:9" outlineLevel="1" x14ac:dyDescent="0.25">
      <c r="C118" s="69"/>
      <c r="D118" s="69"/>
    </row>
    <row r="119" spans="2:9" outlineLevel="1" x14ac:dyDescent="0.25">
      <c r="B119" s="69"/>
      <c r="C119" s="69"/>
      <c r="D119" s="69"/>
    </row>
    <row r="120" spans="2:9" outlineLevel="1" x14ac:dyDescent="0.25"/>
    <row r="121" spans="2:9" outlineLevel="1" x14ac:dyDescent="0.25">
      <c r="B121" s="1" t="s">
        <v>87</v>
      </c>
      <c r="E121" s="1">
        <f>E24</f>
        <v>102007</v>
      </c>
      <c r="F121" s="1">
        <f>F24</f>
        <v>118086</v>
      </c>
      <c r="G121" s="1">
        <f>G24</f>
        <v>131345</v>
      </c>
      <c r="H121" s="1">
        <f>H24</f>
        <v>142341</v>
      </c>
      <c r="I121" s="1">
        <f>I24</f>
        <v>150772</v>
      </c>
    </row>
    <row r="122" spans="2:9" outlineLevel="1" x14ac:dyDescent="0.25">
      <c r="B122" s="1" t="s">
        <v>2</v>
      </c>
      <c r="E122" s="1">
        <f>E26</f>
        <v>62984</v>
      </c>
      <c r="F122" s="1">
        <f>F26</f>
        <v>70082</v>
      </c>
      <c r="G122" s="1">
        <f>G26</f>
        <v>82222</v>
      </c>
      <c r="H122" s="1">
        <f>H26</f>
        <v>89087</v>
      </c>
      <c r="I122" s="1">
        <f>I26</f>
        <v>93462</v>
      </c>
    </row>
    <row r="123" spans="2:9" outlineLevel="1" x14ac:dyDescent="0.25">
      <c r="B123" s="1" t="s">
        <v>88</v>
      </c>
      <c r="E123" s="1">
        <f>E33</f>
        <v>3594</v>
      </c>
      <c r="F123" s="1">
        <f>F33</f>
        <v>16649</v>
      </c>
      <c r="G123" s="1">
        <f>G33</f>
        <v>29558</v>
      </c>
      <c r="H123" s="1">
        <f>H33</f>
        <v>37621.5</v>
      </c>
      <c r="I123" s="1">
        <f>I33</f>
        <v>39824.550000000003</v>
      </c>
    </row>
    <row r="124" spans="2:9" outlineLevel="1" x14ac:dyDescent="0.25"/>
    <row r="125" spans="2:9" outlineLevel="1" x14ac:dyDescent="0.25">
      <c r="B125" s="1" t="s">
        <v>33</v>
      </c>
      <c r="E125" s="1">
        <f>E65</f>
        <v>12971.179199999999</v>
      </c>
      <c r="F125" s="1">
        <f>F65</f>
        <v>28238.733497877969</v>
      </c>
      <c r="G125" s="1">
        <f>G65</f>
        <v>37505.343885131326</v>
      </c>
      <c r="H125" s="1">
        <f>H65</f>
        <v>42354.07902359531</v>
      </c>
      <c r="I125" s="1">
        <f>I65</f>
        <v>43480.18475858029</v>
      </c>
    </row>
    <row r="126" spans="2:9" outlineLevel="1" x14ac:dyDescent="0.25">
      <c r="B126" s="1" t="s">
        <v>39</v>
      </c>
      <c r="E126" s="1">
        <f>-E69</f>
        <v>-15000</v>
      </c>
      <c r="F126" s="1">
        <f>-F69</f>
        <v>-15000</v>
      </c>
      <c r="G126" s="1">
        <f>-G69</f>
        <v>-15000</v>
      </c>
      <c r="H126" s="1">
        <f>-H69</f>
        <v>-15000</v>
      </c>
      <c r="I126" s="1">
        <f>-I69</f>
        <v>-15000</v>
      </c>
    </row>
    <row r="127" spans="2:9" outlineLevel="1" x14ac:dyDescent="0.25">
      <c r="B127" s="1" t="s">
        <v>42</v>
      </c>
      <c r="E127" s="1">
        <f>E74</f>
        <v>170000</v>
      </c>
      <c r="F127" s="1">
        <f>F74</f>
        <v>0</v>
      </c>
      <c r="G127" s="1">
        <f>G74</f>
        <v>-20000</v>
      </c>
      <c r="H127" s="1">
        <f>H74</f>
        <v>0</v>
      </c>
      <c r="I127" s="1">
        <f>I74</f>
        <v>0</v>
      </c>
    </row>
    <row r="128" spans="2:9" outlineLevel="1" x14ac:dyDescent="0.25"/>
    <row r="131" spans="2:14" x14ac:dyDescent="0.25">
      <c r="B131" s="68" t="s">
        <v>77</v>
      </c>
    </row>
    <row r="132" spans="2:14" x14ac:dyDescent="0.25">
      <c r="B132" s="69"/>
      <c r="C132" s="69"/>
      <c r="D132" s="69"/>
    </row>
    <row r="133" spans="2:14" x14ac:dyDescent="0.25">
      <c r="B133" s="69"/>
      <c r="C133" s="69"/>
      <c r="D133" s="69"/>
    </row>
    <row r="134" spans="2:14" x14ac:dyDescent="0.25">
      <c r="B134" s="69"/>
      <c r="C134" s="69"/>
      <c r="D134" s="69"/>
    </row>
    <row r="135" spans="2:14" x14ac:dyDescent="0.25">
      <c r="B135" s="69"/>
      <c r="C135" s="69"/>
      <c r="D135" s="69"/>
    </row>
    <row r="136" spans="2:14" x14ac:dyDescent="0.25">
      <c r="B136" s="69"/>
      <c r="C136" s="69"/>
      <c r="D136" s="69"/>
    </row>
    <row r="137" spans="2:14" x14ac:dyDescent="0.25">
      <c r="B137" s="69" t="s">
        <v>78</v>
      </c>
      <c r="C137" s="70"/>
      <c r="D137" s="70"/>
    </row>
    <row r="138" spans="2:14" ht="16.5" x14ac:dyDescent="0.3">
      <c r="B138" s="71" t="s">
        <v>79</v>
      </c>
      <c r="C138" s="72"/>
      <c r="D138" s="72"/>
    </row>
    <row r="141" spans="2:14" ht="16.5" thickBot="1" x14ac:dyDescent="0.3">
      <c r="J141" s="122">
        <v>2017</v>
      </c>
      <c r="K141" s="122">
        <v>2018</v>
      </c>
      <c r="L141" s="122">
        <v>2019</v>
      </c>
      <c r="M141" s="122">
        <v>2020</v>
      </c>
      <c r="N141" s="122">
        <v>2021</v>
      </c>
    </row>
    <row r="142" spans="2:14" x14ac:dyDescent="0.25">
      <c r="B142" s="105" t="s">
        <v>95</v>
      </c>
      <c r="C142" s="106"/>
      <c r="D142" s="107"/>
      <c r="E142" s="106"/>
      <c r="F142" s="106"/>
      <c r="G142" s="106"/>
      <c r="H142" s="106"/>
      <c r="I142" s="106"/>
      <c r="J142" s="112">
        <f>+J33/J45</f>
        <v>0.1473480947705576</v>
      </c>
      <c r="K142" s="112">
        <f>+K33/K45</f>
        <v>0.14409291376676642</v>
      </c>
      <c r="L142" s="112">
        <f t="shared" ref="L142:N142" si="55">+L33/L45</f>
        <v>0.15528678148152417</v>
      </c>
      <c r="M142" s="112">
        <f t="shared" si="55"/>
        <v>0.21117819305051688</v>
      </c>
      <c r="N142" s="114">
        <f t="shared" si="55"/>
        <v>0.20480182236005631</v>
      </c>
    </row>
    <row r="143" spans="2:14" ht="16.5" thickBot="1" x14ac:dyDescent="0.3">
      <c r="B143" s="109" t="s">
        <v>94</v>
      </c>
      <c r="C143" s="110"/>
      <c r="D143" s="111"/>
      <c r="E143" s="110"/>
      <c r="F143" s="110"/>
      <c r="G143" s="110"/>
      <c r="H143" s="110"/>
      <c r="I143" s="110"/>
      <c r="J143" s="113">
        <f>+J36/J54</f>
        <v>0.11899582319098369</v>
      </c>
      <c r="K143" s="113">
        <f t="shared" ref="K143:N143" si="56">+K36/K54</f>
        <v>0.11499873935185279</v>
      </c>
      <c r="L143" s="113">
        <f t="shared" si="56"/>
        <v>0.11662278957143994</v>
      </c>
      <c r="M143" s="113">
        <f t="shared" si="56"/>
        <v>0.16128047650525304</v>
      </c>
      <c r="N143" s="115">
        <f t="shared" si="56"/>
        <v>0.15502684921835269</v>
      </c>
    </row>
    <row r="144" spans="2:14" ht="16.5" thickBot="1" x14ac:dyDescent="0.3">
      <c r="J144" s="122">
        <v>2017</v>
      </c>
      <c r="K144" s="122">
        <v>2018</v>
      </c>
      <c r="L144" s="122">
        <v>2019</v>
      </c>
      <c r="M144" s="122">
        <v>2020</v>
      </c>
      <c r="N144" s="122">
        <v>2021</v>
      </c>
    </row>
    <row r="145" spans="2:14" x14ac:dyDescent="0.25">
      <c r="B145" s="105" t="s">
        <v>98</v>
      </c>
      <c r="C145" s="106"/>
      <c r="D145" s="107"/>
      <c r="E145" s="106"/>
      <c r="F145" s="106"/>
      <c r="G145" s="106"/>
      <c r="H145" s="106"/>
      <c r="I145" s="106"/>
      <c r="J145" s="106">
        <f>+SUM(J41:J42)/J48</f>
        <v>47.517456519856502</v>
      </c>
      <c r="K145" s="106">
        <f>+SUM(K41:K42)/K48</f>
        <v>52.422910317534019</v>
      </c>
      <c r="L145" s="106">
        <f t="shared" ref="L145:N145" si="57">+SUM(L41:L42)/L48</f>
        <v>53.718461013956976</v>
      </c>
      <c r="M145" s="106">
        <f t="shared" si="57"/>
        <v>36.730806702542218</v>
      </c>
      <c r="N145" s="108">
        <f t="shared" si="57"/>
        <v>44.290252999144862</v>
      </c>
    </row>
    <row r="146" spans="2:14" x14ac:dyDescent="0.25">
      <c r="B146" s="116"/>
      <c r="C146" s="6"/>
      <c r="D146" s="21"/>
      <c r="E146" s="6"/>
      <c r="F146" s="6"/>
      <c r="G146" s="6"/>
      <c r="H146" s="6"/>
      <c r="I146" s="6"/>
      <c r="J146" s="6"/>
      <c r="K146" s="6"/>
      <c r="L146" s="6"/>
      <c r="M146" s="6"/>
      <c r="N146" s="117"/>
    </row>
    <row r="147" spans="2:14" x14ac:dyDescent="0.25">
      <c r="B147" s="116" t="s">
        <v>99</v>
      </c>
      <c r="C147" s="6"/>
      <c r="D147" s="21"/>
      <c r="E147" s="6"/>
      <c r="F147" s="6"/>
      <c r="G147" s="6"/>
      <c r="H147" s="6"/>
      <c r="I147" s="6"/>
      <c r="J147" s="118">
        <f>+(J24-J25)/J24</f>
        <v>0.63000000000000012</v>
      </c>
      <c r="K147" s="118">
        <f>+(K24-K25)/K24</f>
        <v>0.63</v>
      </c>
      <c r="L147" s="118">
        <f t="shared" ref="L147:N147" si="58">+(L24-L25)/L24</f>
        <v>0.64</v>
      </c>
      <c r="M147" s="118">
        <f t="shared" si="58"/>
        <v>0.64</v>
      </c>
      <c r="N147" s="120">
        <f t="shared" si="58"/>
        <v>0.65</v>
      </c>
    </row>
    <row r="148" spans="2:14" x14ac:dyDescent="0.25">
      <c r="B148" s="116" t="s">
        <v>100</v>
      </c>
      <c r="C148" s="6"/>
      <c r="D148" s="21"/>
      <c r="E148" s="6"/>
      <c r="F148" s="6"/>
      <c r="G148" s="6"/>
      <c r="H148" s="6"/>
      <c r="I148" s="6"/>
      <c r="J148" s="118">
        <f>(J24-J25-SUM(J28:J30))/J24</f>
        <v>0.31411199250081812</v>
      </c>
      <c r="K148" s="118">
        <f>(K24-K25-SUM(K28:K30))/K24</f>
        <v>0.32773518386062661</v>
      </c>
      <c r="L148" s="118">
        <f t="shared" ref="L148:N148" si="59">(L24-L25-SUM(L28:L30))/L24</f>
        <v>0.3609968943237859</v>
      </c>
      <c r="M148" s="118">
        <f t="shared" si="59"/>
        <v>0.34348347122989376</v>
      </c>
      <c r="N148" s="120">
        <f t="shared" si="59"/>
        <v>0.37913435367033943</v>
      </c>
    </row>
    <row r="149" spans="2:14" x14ac:dyDescent="0.25">
      <c r="B149" s="116"/>
      <c r="C149" s="6"/>
      <c r="D149" s="21"/>
      <c r="E149" s="6"/>
      <c r="F149" s="6"/>
      <c r="G149" s="6"/>
      <c r="H149" s="6"/>
      <c r="I149" s="6"/>
      <c r="J149" s="6"/>
      <c r="K149" s="6"/>
      <c r="L149" s="6"/>
      <c r="M149" s="6"/>
      <c r="N149" s="117"/>
    </row>
    <row r="150" spans="2:14" x14ac:dyDescent="0.25">
      <c r="B150" s="116" t="s">
        <v>102</v>
      </c>
      <c r="C150" s="6"/>
      <c r="D150" s="21"/>
      <c r="E150" s="6"/>
      <c r="F150" s="6"/>
      <c r="G150" s="6"/>
      <c r="H150" s="6"/>
      <c r="I150" s="6"/>
      <c r="J150" s="119">
        <f>+J24/J45</f>
        <v>0.47774063601900046</v>
      </c>
      <c r="K150" s="119">
        <f t="shared" ref="K150:N150" si="60">+K24/K45</f>
        <v>0.44708397147879714</v>
      </c>
      <c r="L150" s="119">
        <f t="shared" si="60"/>
        <v>0.43648583045949108</v>
      </c>
      <c r="M150" s="119">
        <f t="shared" si="60"/>
        <v>0.61784361946513999</v>
      </c>
      <c r="N150" s="121">
        <f t="shared" si="60"/>
        <v>0.54252321253183744</v>
      </c>
    </row>
    <row r="151" spans="2:14" x14ac:dyDescent="0.25">
      <c r="B151" s="116"/>
      <c r="C151" s="6"/>
      <c r="D151" s="21"/>
      <c r="E151" s="6"/>
      <c r="F151" s="6"/>
      <c r="G151" s="6"/>
      <c r="H151" s="6"/>
      <c r="I151" s="6"/>
      <c r="J151" s="6"/>
      <c r="K151" s="6"/>
      <c r="L151" s="6"/>
      <c r="M151" s="6"/>
      <c r="N151" s="117"/>
    </row>
    <row r="152" spans="2:14" x14ac:dyDescent="0.25">
      <c r="B152" s="116" t="s">
        <v>103</v>
      </c>
      <c r="C152" s="6"/>
      <c r="D152" s="21"/>
      <c r="E152" s="6"/>
      <c r="F152" s="6"/>
      <c r="G152" s="6"/>
      <c r="H152" s="6"/>
      <c r="I152" s="6"/>
      <c r="J152" s="119">
        <f>+J50/J45</f>
        <v>0.10845082297947456</v>
      </c>
      <c r="K152" s="119">
        <f t="shared" ref="K152:N152" si="61">+K50/K45</f>
        <v>9.784317204864805E-2</v>
      </c>
      <c r="L152" s="119">
        <f>+L50/L45</f>
        <v>4.1298162412692019E-2</v>
      </c>
      <c r="M152" s="119">
        <f t="shared" si="61"/>
        <v>5.7242994991896737E-2</v>
      </c>
      <c r="N152" s="121">
        <f t="shared" si="61"/>
        <v>4.8827265452906186E-2</v>
      </c>
    </row>
    <row r="153" spans="2:14" ht="16.5" thickBot="1" x14ac:dyDescent="0.3">
      <c r="B153" s="109" t="s">
        <v>104</v>
      </c>
      <c r="C153" s="110"/>
      <c r="D153" s="111"/>
      <c r="E153" s="110"/>
      <c r="F153" s="110"/>
      <c r="G153" s="110"/>
      <c r="H153" s="110"/>
      <c r="I153" s="110"/>
      <c r="J153" s="113">
        <f>+J50/J54</f>
        <v>0.12164311938675906</v>
      </c>
      <c r="K153" s="113">
        <f t="shared" ref="K153:N153" si="62">+K50/K54</f>
        <v>0.10845472651449484</v>
      </c>
      <c r="L153" s="113">
        <f>+L50/L54</f>
        <v>4.3077170391812296E-2</v>
      </c>
      <c r="M153" s="113">
        <f t="shared" si="62"/>
        <v>6.0718716156773302E-2</v>
      </c>
      <c r="N153" s="115">
        <f t="shared" si="62"/>
        <v>5.1333752198180448E-2</v>
      </c>
    </row>
    <row r="221" spans="2:14" ht="16.5" thickBot="1" x14ac:dyDescent="0.3"/>
    <row r="222" spans="2:14" x14ac:dyDescent="0.25">
      <c r="B222" s="105"/>
      <c r="C222" s="106"/>
      <c r="D222" s="107"/>
      <c r="E222" s="106"/>
      <c r="F222" s="106"/>
      <c r="G222" s="106"/>
      <c r="H222" s="106"/>
      <c r="I222" s="106"/>
      <c r="J222" s="112"/>
      <c r="K222" s="112"/>
      <c r="L222" s="112"/>
      <c r="M222" s="112"/>
      <c r="N222" s="114"/>
    </row>
    <row r="223" spans="2:14" ht="16.5" thickBot="1" x14ac:dyDescent="0.3">
      <c r="B223" s="109"/>
      <c r="C223" s="110"/>
      <c r="D223" s="111"/>
      <c r="E223" s="110"/>
      <c r="F223" s="110"/>
      <c r="G223" s="110"/>
      <c r="H223" s="110"/>
      <c r="I223" s="110"/>
      <c r="J223" s="113"/>
      <c r="K223" s="113"/>
      <c r="L223" s="113"/>
      <c r="M223" s="113"/>
      <c r="N223" s="115"/>
    </row>
    <row r="224" spans="2:14" x14ac:dyDescent="0.25">
      <c r="J224" s="122"/>
      <c r="K224" s="122"/>
      <c r="L224" s="122"/>
      <c r="M224" s="122"/>
      <c r="N224" s="122"/>
    </row>
    <row r="229" spans="2:17" ht="18" x14ac:dyDescent="0.25">
      <c r="B229" s="65" t="s">
        <v>0</v>
      </c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</row>
    <row r="230" spans="2:17" x14ac:dyDescent="0.25">
      <c r="B230" s="1" t="s">
        <v>1</v>
      </c>
      <c r="E230" s="1">
        <v>102007</v>
      </c>
      <c r="F230" s="1">
        <v>118086</v>
      </c>
      <c r="G230" s="1">
        <v>131345</v>
      </c>
      <c r="H230" s="1">
        <v>142341</v>
      </c>
      <c r="I230" s="1">
        <v>150772</v>
      </c>
      <c r="J230" s="1">
        <v>158310.6</v>
      </c>
      <c r="K230" s="1">
        <v>165434.57699999999</v>
      </c>
      <c r="L230" s="1">
        <v>172051.96007999999</v>
      </c>
      <c r="M230" s="1">
        <v>178073.77868279998</v>
      </c>
      <c r="N230" s="1">
        <v>183415.99204328397</v>
      </c>
    </row>
    <row r="231" spans="2:17" x14ac:dyDescent="0.25">
      <c r="B231" s="1" t="s">
        <v>55</v>
      </c>
      <c r="E231" s="1">
        <v>39023</v>
      </c>
      <c r="F231" s="1">
        <v>48004</v>
      </c>
      <c r="G231" s="1">
        <v>49123</v>
      </c>
      <c r="H231" s="1">
        <v>53253.999999999993</v>
      </c>
      <c r="I231" s="1">
        <v>57309.999999999993</v>
      </c>
      <c r="J231" s="1">
        <v>58574.921999999999</v>
      </c>
      <c r="K231" s="1">
        <v>61210.793489999996</v>
      </c>
      <c r="L231" s="1">
        <v>61938.705628799995</v>
      </c>
      <c r="M231" s="1">
        <v>64106.560325807994</v>
      </c>
      <c r="N231" s="1">
        <v>64195.597215149384</v>
      </c>
      <c r="Q231" s="1" t="s">
        <v>110</v>
      </c>
    </row>
    <row r="232" spans="2:17" x14ac:dyDescent="0.25">
      <c r="B232" s="3" t="s">
        <v>2</v>
      </c>
      <c r="E232" s="1">
        <f>+E230-E231</f>
        <v>62984</v>
      </c>
      <c r="F232" s="1">
        <f t="shared" ref="F232:N232" si="63">+F230-F231</f>
        <v>70082</v>
      </c>
      <c r="G232" s="1">
        <f t="shared" si="63"/>
        <v>82222</v>
      </c>
      <c r="H232" s="1">
        <f t="shared" si="63"/>
        <v>89087</v>
      </c>
      <c r="I232" s="1">
        <f t="shared" si="63"/>
        <v>93462</v>
      </c>
      <c r="J232" s="1">
        <f t="shared" si="63"/>
        <v>99735.678000000014</v>
      </c>
      <c r="K232" s="1">
        <f t="shared" si="63"/>
        <v>104223.78350999999</v>
      </c>
      <c r="L232" s="1">
        <f t="shared" si="63"/>
        <v>110113.25445119999</v>
      </c>
      <c r="M232" s="1">
        <f t="shared" si="63"/>
        <v>113967.21835699199</v>
      </c>
      <c r="N232" s="1">
        <f t="shared" si="63"/>
        <v>119220.39482813459</v>
      </c>
    </row>
    <row r="233" spans="2:17" x14ac:dyDescent="0.25">
      <c r="B233" s="1" t="s">
        <v>72</v>
      </c>
    </row>
    <row r="234" spans="2:17" x14ac:dyDescent="0.25">
      <c r="B234" s="1" t="s">
        <v>3</v>
      </c>
      <c r="E234" s="1">
        <v>26427</v>
      </c>
      <c r="F234" s="1">
        <v>22658</v>
      </c>
      <c r="G234" s="1">
        <v>23872</v>
      </c>
      <c r="H234" s="1">
        <v>23002</v>
      </c>
      <c r="I234" s="1">
        <v>25245</v>
      </c>
      <c r="J234" s="1">
        <v>25000</v>
      </c>
      <c r="K234" s="1">
        <v>25000</v>
      </c>
      <c r="L234" s="1">
        <v>25000</v>
      </c>
      <c r="M234" s="1">
        <v>25000</v>
      </c>
      <c r="N234" s="1">
        <v>25000</v>
      </c>
      <c r="O234" s="1" t="s">
        <v>101</v>
      </c>
      <c r="Q234" s="1" t="s">
        <v>109</v>
      </c>
    </row>
    <row r="235" spans="2:17" x14ac:dyDescent="0.25">
      <c r="B235" s="1" t="s">
        <v>4</v>
      </c>
      <c r="E235" s="1">
        <v>10963</v>
      </c>
      <c r="F235" s="1">
        <v>10125</v>
      </c>
      <c r="G235" s="1">
        <v>10087</v>
      </c>
      <c r="H235" s="1">
        <v>11020</v>
      </c>
      <c r="I235" s="1">
        <v>11412</v>
      </c>
      <c r="J235" s="1">
        <v>10000</v>
      </c>
      <c r="K235" s="1">
        <v>10000</v>
      </c>
      <c r="L235" s="1">
        <v>10000</v>
      </c>
      <c r="M235" s="1">
        <v>10000</v>
      </c>
      <c r="N235" s="1">
        <v>10000</v>
      </c>
      <c r="O235" s="1" t="s">
        <v>101</v>
      </c>
      <c r="Q235" s="1" t="s">
        <v>109</v>
      </c>
    </row>
    <row r="236" spans="2:17" x14ac:dyDescent="0.25">
      <c r="B236" s="1" t="s">
        <v>5</v>
      </c>
      <c r="E236" s="1">
        <v>19500</v>
      </c>
      <c r="F236" s="1">
        <v>18150</v>
      </c>
      <c r="G236" s="1">
        <v>17205</v>
      </c>
      <c r="H236" s="1">
        <v>16543.5</v>
      </c>
      <c r="I236" s="1">
        <v>16080.449999999999</v>
      </c>
      <c r="J236" s="1">
        <v>15008.420000000002</v>
      </c>
      <c r="K236" s="1">
        <v>15005.052000000003</v>
      </c>
      <c r="L236" s="1">
        <v>13003.031200000001</v>
      </c>
      <c r="M236" s="1">
        <v>17801.818719999999</v>
      </c>
      <c r="N236" s="1">
        <v>14681.091232000001</v>
      </c>
      <c r="O236" s="1" t="s">
        <v>101</v>
      </c>
      <c r="Q236" s="1" t="s">
        <v>109</v>
      </c>
    </row>
    <row r="239" spans="2:17" x14ac:dyDescent="0.25">
      <c r="B239" s="125" t="s">
        <v>107</v>
      </c>
      <c r="E239" s="125">
        <f>+E232-E234-E235-E236</f>
        <v>6094</v>
      </c>
      <c r="F239" s="125">
        <f t="shared" ref="F239:N239" si="64">+F232-F234-F235-F236</f>
        <v>19149</v>
      </c>
      <c r="G239" s="125">
        <f t="shared" si="64"/>
        <v>31058</v>
      </c>
      <c r="H239" s="125">
        <f t="shared" si="64"/>
        <v>38521.5</v>
      </c>
      <c r="I239" s="125">
        <f t="shared" si="64"/>
        <v>40724.550000000003</v>
      </c>
      <c r="J239" s="125">
        <f t="shared" si="64"/>
        <v>49727.258000000016</v>
      </c>
      <c r="K239" s="125">
        <f t="shared" si="64"/>
        <v>54218.731509999991</v>
      </c>
      <c r="L239" s="125">
        <f t="shared" si="64"/>
        <v>62110.22325119999</v>
      </c>
      <c r="M239" s="125">
        <f t="shared" si="64"/>
        <v>61165.399636991991</v>
      </c>
      <c r="N239" s="125">
        <f t="shared" si="64"/>
        <v>69539.303596134589</v>
      </c>
    </row>
    <row r="240" spans="2:17" x14ac:dyDescent="0.25">
      <c r="B240" s="1" t="s">
        <v>6</v>
      </c>
      <c r="E240" s="1">
        <v>2500</v>
      </c>
      <c r="F240" s="1">
        <v>2500</v>
      </c>
      <c r="G240" s="1">
        <v>1500</v>
      </c>
      <c r="H240" s="1">
        <v>900</v>
      </c>
      <c r="I240" s="1">
        <v>900</v>
      </c>
      <c r="J240" s="1">
        <v>900</v>
      </c>
      <c r="K240" s="1">
        <v>900</v>
      </c>
      <c r="L240" s="1">
        <v>900</v>
      </c>
      <c r="M240" s="1">
        <v>300</v>
      </c>
      <c r="N240" s="1">
        <v>300</v>
      </c>
    </row>
    <row r="242" spans="2:14" x14ac:dyDescent="0.25">
      <c r="B242" s="1" t="s">
        <v>73</v>
      </c>
      <c r="E242" s="1">
        <v>59390</v>
      </c>
      <c r="F242" s="1">
        <v>53433</v>
      </c>
      <c r="G242" s="1">
        <v>52664</v>
      </c>
      <c r="H242" s="1">
        <v>51465.5</v>
      </c>
      <c r="I242" s="1">
        <v>53637.45</v>
      </c>
      <c r="J242" s="1">
        <v>50908.42</v>
      </c>
      <c r="K242" s="1">
        <v>50905.052000000003</v>
      </c>
      <c r="L242" s="1">
        <v>48903.031199999998</v>
      </c>
      <c r="M242" s="1">
        <v>53101.818719999996</v>
      </c>
      <c r="N242" s="1">
        <v>49981.091231999999</v>
      </c>
    </row>
    <row r="243" spans="2:14" x14ac:dyDescent="0.25">
      <c r="B243" s="125" t="s">
        <v>111</v>
      </c>
      <c r="E243" s="1">
        <v>3594</v>
      </c>
      <c r="F243" s="1">
        <v>16649</v>
      </c>
      <c r="G243" s="1">
        <v>29558</v>
      </c>
      <c r="H243" s="1">
        <v>37621.5</v>
      </c>
      <c r="I243" s="1">
        <v>39824.550000000003</v>
      </c>
      <c r="J243" s="1">
        <v>48827.258000000016</v>
      </c>
      <c r="K243" s="1">
        <v>53318.731509999991</v>
      </c>
      <c r="L243" s="1">
        <v>61210.22325119999</v>
      </c>
      <c r="M243" s="1">
        <v>60865.399636991991</v>
      </c>
      <c r="N243" s="1">
        <v>69239.303596134589</v>
      </c>
    </row>
    <row r="245" spans="2:14" x14ac:dyDescent="0.25">
      <c r="B245" s="1" t="s">
        <v>8</v>
      </c>
      <c r="E245" s="1">
        <v>1120.1708000000001</v>
      </c>
      <c r="F245" s="1">
        <v>4858.2165021220308</v>
      </c>
      <c r="G245" s="1">
        <v>8482.8061148686775</v>
      </c>
      <c r="H245" s="1">
        <v>10908.02097640469</v>
      </c>
      <c r="I245" s="1">
        <v>11597.665241419718</v>
      </c>
      <c r="J245" s="1">
        <v>13671.632240000006</v>
      </c>
      <c r="K245" s="1">
        <v>14929.244822799999</v>
      </c>
      <c r="L245" s="1">
        <v>17138.862510335999</v>
      </c>
      <c r="M245" s="1">
        <v>17042.311898357759</v>
      </c>
      <c r="N245" s="1">
        <v>19387.005006917687</v>
      </c>
    </row>
    <row r="246" spans="2:14" x14ac:dyDescent="0.25">
      <c r="B246" s="125" t="s">
        <v>112</v>
      </c>
      <c r="E246" s="1">
        <v>2473.8292000000001</v>
      </c>
      <c r="F246" s="1">
        <v>11790.783497877968</v>
      </c>
      <c r="G246" s="1">
        <v>21075.193885131324</v>
      </c>
      <c r="H246" s="1">
        <v>26713.479023595311</v>
      </c>
      <c r="I246" s="1">
        <v>28226.884758580287</v>
      </c>
      <c r="J246" s="1">
        <v>35155.62576000001</v>
      </c>
      <c r="K246" s="1">
        <v>38389.486687199991</v>
      </c>
      <c r="L246" s="1">
        <v>44071.360740863995</v>
      </c>
      <c r="M246" s="1">
        <v>43823.087738634233</v>
      </c>
      <c r="N246" s="1">
        <v>49852.298589216902</v>
      </c>
    </row>
    <row r="248" spans="2:14" ht="14.25" customHeight="1" x14ac:dyDescent="0.25"/>
    <row r="249" spans="2:14" ht="14.25" customHeight="1" x14ac:dyDescent="0.25">
      <c r="B249" s="1" t="s">
        <v>106</v>
      </c>
      <c r="E249" s="1">
        <v>1000</v>
      </c>
      <c r="F249" s="1">
        <f t="shared" ref="F249:N249" si="65">+E249*F292+E249</f>
        <v>1157.6264374013547</v>
      </c>
      <c r="G249" s="1">
        <f t="shared" si="65"/>
        <v>1287.6077131961531</v>
      </c>
      <c r="H249" s="1">
        <f t="shared" si="65"/>
        <v>1395.4042369641297</v>
      </c>
      <c r="I249" s="1">
        <f t="shared" si="65"/>
        <v>1478.0554275686961</v>
      </c>
      <c r="J249" s="1">
        <f t="shared" si="65"/>
        <v>1551.958198947131</v>
      </c>
      <c r="K249" s="1">
        <f t="shared" si="65"/>
        <v>1621.7963178997518</v>
      </c>
      <c r="L249" s="1">
        <f t="shared" si="65"/>
        <v>1686.6681706157419</v>
      </c>
      <c r="M249" s="1">
        <f t="shared" si="65"/>
        <v>1745.701556587293</v>
      </c>
      <c r="N249" s="1">
        <f t="shared" si="65"/>
        <v>1798.0726032849118</v>
      </c>
    </row>
    <row r="250" spans="2:14" ht="14.25" customHeight="1" x14ac:dyDescent="0.25">
      <c r="B250" s="1" t="s">
        <v>108</v>
      </c>
      <c r="E250" s="1">
        <f>+E230/E249</f>
        <v>102.00700000000001</v>
      </c>
      <c r="F250" s="1">
        <f>+E250+1</f>
        <v>103.00700000000001</v>
      </c>
      <c r="G250" s="1">
        <f t="shared" ref="G250:N250" si="66">+F250+1</f>
        <v>104.00700000000001</v>
      </c>
      <c r="H250" s="1">
        <f>+G250+1</f>
        <v>105.00700000000001</v>
      </c>
      <c r="I250" s="1">
        <f t="shared" si="66"/>
        <v>106.00700000000001</v>
      </c>
      <c r="J250" s="1">
        <f t="shared" si="66"/>
        <v>107.00700000000001</v>
      </c>
      <c r="K250" s="1">
        <f t="shared" si="66"/>
        <v>108.00700000000001</v>
      </c>
      <c r="L250" s="1">
        <f t="shared" si="66"/>
        <v>109.00700000000001</v>
      </c>
      <c r="M250" s="1">
        <f t="shared" si="66"/>
        <v>110.00700000000001</v>
      </c>
      <c r="N250" s="1">
        <f t="shared" si="66"/>
        <v>111.00700000000001</v>
      </c>
    </row>
    <row r="251" spans="2:14" ht="14.25" customHeight="1" x14ac:dyDescent="0.25">
      <c r="B251" s="1" t="s">
        <v>114</v>
      </c>
      <c r="E251" s="1">
        <f>+E231/E249</f>
        <v>39.023000000000003</v>
      </c>
      <c r="F251" s="1">
        <f t="shared" ref="F251:N251" si="67">+F231/F249</f>
        <v>41.467608590349414</v>
      </c>
      <c r="G251" s="1">
        <f t="shared" si="67"/>
        <v>38.150594700978345</v>
      </c>
      <c r="H251" s="1">
        <f t="shared" si="67"/>
        <v>38.163851441257265</v>
      </c>
      <c r="I251" s="1">
        <f t="shared" si="67"/>
        <v>38.773918035178944</v>
      </c>
      <c r="J251" s="1">
        <f t="shared" si="67"/>
        <v>37.74259</v>
      </c>
      <c r="K251" s="1">
        <f t="shared" si="67"/>
        <v>37.74259</v>
      </c>
      <c r="L251" s="1">
        <f t="shared" si="67"/>
        <v>36.722520000000003</v>
      </c>
      <c r="M251" s="1">
        <f t="shared" si="67"/>
        <v>36.722519999999996</v>
      </c>
      <c r="N251" s="1">
        <f t="shared" si="67"/>
        <v>35.702449999999992</v>
      </c>
    </row>
    <row r="252" spans="2:14" ht="14.25" customHeight="1" x14ac:dyDescent="0.25">
      <c r="B252" s="1" t="s">
        <v>113</v>
      </c>
      <c r="E252" s="1">
        <f>+E250-E251</f>
        <v>62.984000000000002</v>
      </c>
      <c r="F252" s="1">
        <f t="shared" ref="F252:N252" si="68">+F250-F251</f>
        <v>61.539391409650591</v>
      </c>
      <c r="G252" s="1">
        <f t="shared" si="68"/>
        <v>65.85640529902166</v>
      </c>
      <c r="H252" s="1">
        <f t="shared" si="68"/>
        <v>66.84314855874274</v>
      </c>
      <c r="I252" s="1">
        <f t="shared" si="68"/>
        <v>67.233081964821054</v>
      </c>
      <c r="J252" s="1">
        <f t="shared" si="68"/>
        <v>69.264409999999998</v>
      </c>
      <c r="K252" s="1">
        <f t="shared" si="68"/>
        <v>70.264409999999998</v>
      </c>
      <c r="L252" s="1">
        <f t="shared" si="68"/>
        <v>72.284480000000002</v>
      </c>
      <c r="M252" s="1">
        <f t="shared" si="68"/>
        <v>73.284480000000002</v>
      </c>
      <c r="N252" s="1">
        <f t="shared" si="68"/>
        <v>75.304550000000006</v>
      </c>
    </row>
    <row r="253" spans="2:14" ht="14.25" customHeight="1" x14ac:dyDescent="0.25">
      <c r="B253" s="1" t="s">
        <v>115</v>
      </c>
      <c r="E253" s="1">
        <f>+E234+E235+E236</f>
        <v>56890</v>
      </c>
      <c r="F253" s="1">
        <f t="shared" ref="F253:N253" si="69">+F234+F235+F236</f>
        <v>50933</v>
      </c>
      <c r="G253" s="1">
        <f t="shared" si="69"/>
        <v>51164</v>
      </c>
      <c r="H253" s="1">
        <f t="shared" si="69"/>
        <v>50565.5</v>
      </c>
      <c r="I253" s="1">
        <f t="shared" si="69"/>
        <v>52737.45</v>
      </c>
      <c r="J253" s="1">
        <f t="shared" si="69"/>
        <v>50008.42</v>
      </c>
      <c r="K253" s="1">
        <f t="shared" si="69"/>
        <v>50005.052000000003</v>
      </c>
      <c r="L253" s="1">
        <f t="shared" si="69"/>
        <v>48003.031199999998</v>
      </c>
      <c r="M253" s="1">
        <f t="shared" si="69"/>
        <v>52801.818719999996</v>
      </c>
      <c r="N253" s="1">
        <f t="shared" si="69"/>
        <v>49681.091231999999</v>
      </c>
    </row>
    <row r="254" spans="2:14" ht="14.25" customHeight="1" x14ac:dyDescent="0.25"/>
    <row r="255" spans="2:14" ht="14.25" customHeight="1" x14ac:dyDescent="0.25"/>
    <row r="256" spans="2:14" ht="14.25" customHeight="1" x14ac:dyDescent="0.25"/>
    <row r="257" spans="2:14" ht="14.25" customHeight="1" thickBot="1" x14ac:dyDescent="0.3">
      <c r="B257" s="1" t="s">
        <v>105</v>
      </c>
      <c r="E257" s="1">
        <f>+E253/E252</f>
        <v>903.24526863965446</v>
      </c>
      <c r="F257" s="1">
        <f>+F253/F252</f>
        <v>827.64874389077397</v>
      </c>
      <c r="G257" s="1">
        <f t="shared" ref="G257:N257" si="70">+G253/G252</f>
        <v>776.9024101405073</v>
      </c>
      <c r="H257" s="1">
        <f t="shared" si="70"/>
        <v>756.4799248731124</v>
      </c>
      <c r="I257" s="1">
        <f t="shared" si="70"/>
        <v>784.39733028443152</v>
      </c>
      <c r="J257" s="1">
        <f t="shared" si="70"/>
        <v>721.9930119956266</v>
      </c>
      <c r="K257" s="1">
        <f t="shared" si="70"/>
        <v>711.66970590089636</v>
      </c>
      <c r="L257" s="1">
        <f t="shared" si="70"/>
        <v>664.08489346537453</v>
      </c>
      <c r="M257" s="1">
        <f t="shared" si="70"/>
        <v>720.50478791689579</v>
      </c>
      <c r="N257" s="1">
        <f t="shared" si="70"/>
        <v>659.73558346739992</v>
      </c>
    </row>
    <row r="258" spans="2:14" ht="14.25" customHeight="1" x14ac:dyDescent="0.25">
      <c r="B258" s="1" t="s">
        <v>116</v>
      </c>
      <c r="C258" s="1" t="s">
        <v>117</v>
      </c>
      <c r="D258" s="23">
        <v>770</v>
      </c>
      <c r="E258" s="127"/>
      <c r="F258" s="128"/>
      <c r="G258" s="128"/>
      <c r="H258" s="128"/>
      <c r="I258" s="128"/>
      <c r="J258" s="139"/>
      <c r="K258" s="139"/>
      <c r="L258" s="139"/>
      <c r="M258" s="139"/>
      <c r="N258" s="140"/>
    </row>
    <row r="259" spans="2:14" ht="14.25" customHeight="1" x14ac:dyDescent="0.25">
      <c r="C259" s="1" t="s">
        <v>117</v>
      </c>
      <c r="D259" s="23">
        <f>+D258+20</f>
        <v>790</v>
      </c>
      <c r="E259" s="130"/>
      <c r="F259" s="131"/>
      <c r="G259" s="131"/>
      <c r="H259" s="141"/>
      <c r="I259" s="131"/>
      <c r="J259" s="141"/>
      <c r="K259" s="141"/>
      <c r="L259" s="141"/>
      <c r="M259" s="141"/>
      <c r="N259" s="142"/>
    </row>
    <row r="260" spans="2:14" ht="14.25" customHeight="1" x14ac:dyDescent="0.25">
      <c r="C260" s="1" t="s">
        <v>117</v>
      </c>
      <c r="D260" s="23">
        <f t="shared" ref="D260:D286" si="71">+D259+20</f>
        <v>810</v>
      </c>
      <c r="E260" s="130"/>
      <c r="F260" s="131"/>
      <c r="G260" s="141"/>
      <c r="H260" s="141"/>
      <c r="I260" s="141"/>
      <c r="J260" s="141"/>
      <c r="K260" s="141"/>
      <c r="L260" s="141"/>
      <c r="M260" s="141"/>
      <c r="N260" s="142"/>
    </row>
    <row r="261" spans="2:14" ht="14.25" customHeight="1" x14ac:dyDescent="0.25">
      <c r="C261" s="1" t="s">
        <v>117</v>
      </c>
      <c r="D261" s="23">
        <f t="shared" si="71"/>
        <v>830</v>
      </c>
      <c r="E261" s="130"/>
      <c r="F261" s="131"/>
      <c r="G261" s="141"/>
      <c r="H261" s="141"/>
      <c r="I261" s="141"/>
      <c r="J261" s="141"/>
      <c r="K261" s="141"/>
      <c r="L261" s="141"/>
      <c r="M261" s="141"/>
      <c r="N261" s="142"/>
    </row>
    <row r="262" spans="2:14" ht="14.25" customHeight="1" x14ac:dyDescent="0.25">
      <c r="C262" s="1" t="s">
        <v>117</v>
      </c>
      <c r="D262" s="23">
        <f t="shared" si="71"/>
        <v>850</v>
      </c>
      <c r="E262" s="130"/>
      <c r="F262" s="141"/>
      <c r="G262" s="141"/>
      <c r="H262" s="141"/>
      <c r="I262" s="141"/>
      <c r="J262" s="141"/>
      <c r="K262" s="141"/>
      <c r="L262" s="141"/>
      <c r="M262" s="141"/>
      <c r="N262" s="142"/>
    </row>
    <row r="263" spans="2:14" ht="14.25" customHeight="1" x14ac:dyDescent="0.25">
      <c r="C263" s="1" t="s">
        <v>117</v>
      </c>
      <c r="D263" s="23">
        <f t="shared" si="71"/>
        <v>870</v>
      </c>
      <c r="E263" s="130"/>
      <c r="F263" s="141"/>
      <c r="G263" s="141"/>
      <c r="H263" s="141"/>
      <c r="I263" s="141"/>
      <c r="J263" s="141"/>
      <c r="K263" s="141"/>
      <c r="L263" s="141"/>
      <c r="M263" s="141"/>
      <c r="N263" s="142"/>
    </row>
    <row r="264" spans="2:14" ht="14.25" customHeight="1" x14ac:dyDescent="0.25">
      <c r="C264" s="1" t="s">
        <v>117</v>
      </c>
      <c r="D264" s="23">
        <f t="shared" si="71"/>
        <v>890</v>
      </c>
      <c r="E264" s="130"/>
      <c r="F264" s="141"/>
      <c r="G264" s="141"/>
      <c r="H264" s="141"/>
      <c r="I264" s="141"/>
      <c r="J264" s="141"/>
      <c r="K264" s="141"/>
      <c r="L264" s="141"/>
      <c r="M264" s="141"/>
      <c r="N264" s="142"/>
    </row>
    <row r="265" spans="2:14" ht="14.25" customHeight="1" x14ac:dyDescent="0.25">
      <c r="C265" s="1" t="s">
        <v>117</v>
      </c>
      <c r="D265" s="23">
        <f t="shared" si="71"/>
        <v>910</v>
      </c>
      <c r="E265" s="134"/>
      <c r="F265" s="141"/>
      <c r="G265" s="141"/>
      <c r="H265" s="141"/>
      <c r="I265" s="141"/>
      <c r="J265" s="141"/>
      <c r="K265" s="141"/>
      <c r="L265" s="141"/>
      <c r="M265" s="141"/>
      <c r="N265" s="142"/>
    </row>
    <row r="266" spans="2:14" ht="14.25" customHeight="1" x14ac:dyDescent="0.25">
      <c r="C266" s="1" t="s">
        <v>117</v>
      </c>
      <c r="D266" s="23">
        <f t="shared" si="71"/>
        <v>930</v>
      </c>
      <c r="E266" s="143"/>
      <c r="F266" s="141"/>
      <c r="G266" s="141"/>
      <c r="H266" s="141"/>
      <c r="I266" s="141"/>
      <c r="J266" s="141"/>
      <c r="K266" s="141"/>
      <c r="L266" s="141"/>
      <c r="M266" s="141"/>
      <c r="N266" s="142"/>
    </row>
    <row r="267" spans="2:14" ht="14.25" customHeight="1" x14ac:dyDescent="0.25">
      <c r="C267" s="1" t="s">
        <v>117</v>
      </c>
      <c r="D267" s="23">
        <f t="shared" si="71"/>
        <v>950</v>
      </c>
      <c r="E267" s="143"/>
      <c r="F267" s="141"/>
      <c r="G267" s="141"/>
      <c r="H267" s="141"/>
      <c r="I267" s="141"/>
      <c r="J267" s="141"/>
      <c r="K267" s="141"/>
      <c r="L267" s="141"/>
      <c r="M267" s="141"/>
      <c r="N267" s="142"/>
    </row>
    <row r="268" spans="2:14" ht="14.25" customHeight="1" x14ac:dyDescent="0.25">
      <c r="C268" s="1" t="s">
        <v>117</v>
      </c>
      <c r="D268" s="23">
        <f t="shared" si="71"/>
        <v>970</v>
      </c>
      <c r="E268" s="143"/>
      <c r="F268" s="141"/>
      <c r="G268" s="141"/>
      <c r="H268" s="141"/>
      <c r="I268" s="141"/>
      <c r="J268" s="141"/>
      <c r="K268" s="141"/>
      <c r="L268" s="141"/>
      <c r="M268" s="141"/>
      <c r="N268" s="142"/>
    </row>
    <row r="269" spans="2:14" x14ac:dyDescent="0.25">
      <c r="C269" s="1" t="s">
        <v>117</v>
      </c>
      <c r="D269" s="23">
        <f t="shared" si="71"/>
        <v>990</v>
      </c>
      <c r="E269" s="143"/>
      <c r="F269" s="141"/>
      <c r="G269" s="141"/>
      <c r="H269" s="141"/>
      <c r="I269" s="141"/>
      <c r="J269" s="141"/>
      <c r="K269" s="141"/>
      <c r="L269" s="141"/>
      <c r="M269" s="141"/>
      <c r="N269" s="142"/>
    </row>
    <row r="270" spans="2:14" x14ac:dyDescent="0.25">
      <c r="C270" s="1" t="s">
        <v>117</v>
      </c>
      <c r="D270" s="23">
        <f t="shared" si="71"/>
        <v>1010</v>
      </c>
      <c r="E270" s="143"/>
      <c r="F270" s="141"/>
      <c r="G270" s="141"/>
      <c r="H270" s="141"/>
      <c r="I270" s="141"/>
      <c r="J270" s="141"/>
      <c r="K270" s="141"/>
      <c r="L270" s="141"/>
      <c r="M270" s="141"/>
      <c r="N270" s="142"/>
    </row>
    <row r="271" spans="2:14" x14ac:dyDescent="0.25">
      <c r="C271" s="1" t="s">
        <v>117</v>
      </c>
      <c r="D271" s="23">
        <f t="shared" si="71"/>
        <v>1030</v>
      </c>
      <c r="E271" s="143"/>
      <c r="F271" s="141"/>
      <c r="G271" s="141"/>
      <c r="H271" s="141"/>
      <c r="I271" s="141"/>
      <c r="J271" s="141"/>
      <c r="K271" s="141"/>
      <c r="L271" s="141"/>
      <c r="M271" s="141"/>
      <c r="N271" s="142"/>
    </row>
    <row r="272" spans="2:14" x14ac:dyDescent="0.25">
      <c r="C272" s="1" t="s">
        <v>117</v>
      </c>
      <c r="D272" s="23">
        <f t="shared" si="71"/>
        <v>1050</v>
      </c>
      <c r="E272" s="143"/>
      <c r="F272" s="141"/>
      <c r="G272" s="141"/>
      <c r="H272" s="141"/>
      <c r="I272" s="141"/>
      <c r="J272" s="141"/>
      <c r="K272" s="141"/>
      <c r="L272" s="141"/>
      <c r="M272" s="141"/>
      <c r="N272" s="142"/>
    </row>
    <row r="273" spans="3:14" x14ac:dyDescent="0.25">
      <c r="C273" s="1" t="s">
        <v>117</v>
      </c>
      <c r="D273" s="23">
        <f t="shared" si="71"/>
        <v>1070</v>
      </c>
      <c r="E273" s="143"/>
      <c r="F273" s="141"/>
      <c r="G273" s="141"/>
      <c r="H273" s="141"/>
      <c r="I273" s="141"/>
      <c r="J273" s="141"/>
      <c r="K273" s="141"/>
      <c r="L273" s="141"/>
      <c r="M273" s="141"/>
      <c r="N273" s="142"/>
    </row>
    <row r="274" spans="3:14" x14ac:dyDescent="0.25">
      <c r="C274" s="1" t="s">
        <v>117</v>
      </c>
      <c r="D274" s="23">
        <f t="shared" si="71"/>
        <v>1090</v>
      </c>
      <c r="E274" s="143"/>
      <c r="F274" s="141"/>
      <c r="G274" s="141"/>
      <c r="H274" s="141"/>
      <c r="I274" s="141"/>
      <c r="J274" s="141"/>
      <c r="K274" s="141"/>
      <c r="L274" s="141"/>
      <c r="M274" s="141"/>
      <c r="N274" s="142"/>
    </row>
    <row r="275" spans="3:14" x14ac:dyDescent="0.25">
      <c r="C275" s="1" t="s">
        <v>117</v>
      </c>
      <c r="D275" s="23">
        <f t="shared" si="71"/>
        <v>1110</v>
      </c>
      <c r="E275" s="143"/>
      <c r="F275" s="141"/>
      <c r="G275" s="141"/>
      <c r="H275" s="141"/>
      <c r="I275" s="141"/>
      <c r="J275" s="141"/>
      <c r="K275" s="141"/>
      <c r="L275" s="141"/>
      <c r="M275" s="141"/>
      <c r="N275" s="142"/>
    </row>
    <row r="276" spans="3:14" x14ac:dyDescent="0.25">
      <c r="C276" s="1" t="s">
        <v>117</v>
      </c>
      <c r="D276" s="23">
        <f t="shared" si="71"/>
        <v>1130</v>
      </c>
      <c r="E276" s="143"/>
      <c r="F276" s="141"/>
      <c r="G276" s="141"/>
      <c r="H276" s="141"/>
      <c r="I276" s="141"/>
      <c r="J276" s="141"/>
      <c r="K276" s="141"/>
      <c r="L276" s="141"/>
      <c r="M276" s="141"/>
      <c r="N276" s="142"/>
    </row>
    <row r="277" spans="3:14" x14ac:dyDescent="0.25">
      <c r="C277" s="1" t="s">
        <v>117</v>
      </c>
      <c r="D277" s="23">
        <f t="shared" si="71"/>
        <v>1150</v>
      </c>
      <c r="E277" s="143"/>
      <c r="F277" s="141"/>
      <c r="G277" s="141"/>
      <c r="H277" s="141"/>
      <c r="I277" s="141"/>
      <c r="J277" s="141"/>
      <c r="K277" s="141"/>
      <c r="L277" s="141"/>
      <c r="M277" s="141"/>
      <c r="N277" s="142"/>
    </row>
    <row r="278" spans="3:14" x14ac:dyDescent="0.25">
      <c r="C278" s="1" t="s">
        <v>117</v>
      </c>
      <c r="D278" s="23">
        <f t="shared" si="71"/>
        <v>1170</v>
      </c>
      <c r="E278" s="143"/>
      <c r="F278" s="141"/>
      <c r="G278" s="141"/>
      <c r="H278" s="141"/>
      <c r="I278" s="141"/>
      <c r="J278" s="141"/>
      <c r="K278" s="141"/>
      <c r="L278" s="141"/>
      <c r="M278" s="141"/>
      <c r="N278" s="142"/>
    </row>
    <row r="279" spans="3:14" x14ac:dyDescent="0.25">
      <c r="C279" s="1" t="s">
        <v>117</v>
      </c>
      <c r="D279" s="23">
        <f t="shared" si="71"/>
        <v>1190</v>
      </c>
      <c r="E279" s="143"/>
      <c r="F279" s="141"/>
      <c r="G279" s="141"/>
      <c r="H279" s="141"/>
      <c r="I279" s="141"/>
      <c r="J279" s="141"/>
      <c r="K279" s="141"/>
      <c r="L279" s="141"/>
      <c r="M279" s="141"/>
      <c r="N279" s="142"/>
    </row>
    <row r="280" spans="3:14" x14ac:dyDescent="0.25">
      <c r="C280" s="1" t="s">
        <v>117</v>
      </c>
      <c r="D280" s="23">
        <f t="shared" si="71"/>
        <v>1210</v>
      </c>
      <c r="E280" s="143"/>
      <c r="F280" s="141"/>
      <c r="G280" s="141"/>
      <c r="H280" s="141"/>
      <c r="I280" s="141"/>
      <c r="J280" s="141"/>
      <c r="K280" s="141"/>
      <c r="L280" s="141"/>
      <c r="M280" s="141"/>
      <c r="N280" s="142"/>
    </row>
    <row r="281" spans="3:14" x14ac:dyDescent="0.25">
      <c r="C281" s="1" t="s">
        <v>117</v>
      </c>
      <c r="D281" s="23">
        <f t="shared" si="71"/>
        <v>1230</v>
      </c>
      <c r="E281" s="143"/>
      <c r="F281" s="141"/>
      <c r="G281" s="141"/>
      <c r="H281" s="141"/>
      <c r="I281" s="141"/>
      <c r="J281" s="141"/>
      <c r="K281" s="141"/>
      <c r="L281" s="141"/>
      <c r="M281" s="141"/>
      <c r="N281" s="142"/>
    </row>
    <row r="282" spans="3:14" x14ac:dyDescent="0.25">
      <c r="C282" s="1" t="s">
        <v>117</v>
      </c>
      <c r="D282" s="23">
        <f t="shared" si="71"/>
        <v>1250</v>
      </c>
      <c r="E282" s="143"/>
      <c r="F282" s="141"/>
      <c r="G282" s="141"/>
      <c r="H282" s="141"/>
      <c r="I282" s="141"/>
      <c r="J282" s="141"/>
      <c r="K282" s="141"/>
      <c r="L282" s="141"/>
      <c r="M282" s="141"/>
      <c r="N282" s="142"/>
    </row>
    <row r="283" spans="3:14" x14ac:dyDescent="0.25">
      <c r="C283" s="1" t="s">
        <v>117</v>
      </c>
      <c r="D283" s="23">
        <f t="shared" si="71"/>
        <v>1270</v>
      </c>
      <c r="E283" s="143"/>
      <c r="F283" s="141"/>
      <c r="G283" s="141"/>
      <c r="H283" s="141"/>
      <c r="I283" s="141"/>
      <c r="J283" s="141"/>
      <c r="K283" s="141"/>
      <c r="L283" s="141"/>
      <c r="M283" s="141"/>
      <c r="N283" s="142"/>
    </row>
    <row r="284" spans="3:14" x14ac:dyDescent="0.25">
      <c r="C284" s="1" t="s">
        <v>117</v>
      </c>
      <c r="D284" s="23">
        <f t="shared" si="71"/>
        <v>1290</v>
      </c>
      <c r="E284" s="143"/>
      <c r="F284" s="141"/>
      <c r="G284" s="141"/>
      <c r="H284" s="141"/>
      <c r="I284" s="141"/>
      <c r="J284" s="141"/>
      <c r="K284" s="141"/>
      <c r="L284" s="141"/>
      <c r="M284" s="141"/>
      <c r="N284" s="142"/>
    </row>
    <row r="285" spans="3:14" x14ac:dyDescent="0.25">
      <c r="C285" s="1" t="s">
        <v>117</v>
      </c>
      <c r="D285" s="23">
        <f t="shared" si="71"/>
        <v>1310</v>
      </c>
      <c r="E285" s="143"/>
      <c r="F285" s="141"/>
      <c r="G285" s="141"/>
      <c r="H285" s="141"/>
      <c r="I285" s="141"/>
      <c r="J285" s="141"/>
      <c r="K285" s="141"/>
      <c r="L285" s="141"/>
      <c r="M285" s="141"/>
      <c r="N285" s="142"/>
    </row>
    <row r="286" spans="3:14" ht="16.5" thickBot="1" x14ac:dyDescent="0.3">
      <c r="C286" s="1" t="s">
        <v>117</v>
      </c>
      <c r="D286" s="23">
        <f t="shared" si="71"/>
        <v>1330</v>
      </c>
      <c r="E286" s="144"/>
      <c r="F286" s="145"/>
      <c r="G286" s="145"/>
      <c r="H286" s="145"/>
      <c r="I286" s="145"/>
      <c r="J286" s="145"/>
      <c r="K286" s="145"/>
      <c r="L286" s="145"/>
      <c r="M286" s="145"/>
      <c r="N286" s="146"/>
    </row>
    <row r="289" spans="2:14" ht="18" x14ac:dyDescent="0.25">
      <c r="B289" s="65" t="s">
        <v>70</v>
      </c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</row>
    <row r="290" spans="2:14" x14ac:dyDescent="0.25">
      <c r="B290" s="3" t="s">
        <v>71</v>
      </c>
      <c r="C290" s="19"/>
      <c r="D290" s="47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2:14" x14ac:dyDescent="0.25"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</row>
    <row r="292" spans="2:14" x14ac:dyDescent="0.25">
      <c r="B292" s="1" t="s">
        <v>60</v>
      </c>
      <c r="E292" s="124"/>
      <c r="F292" s="124">
        <v>0.15762643740135474</v>
      </c>
      <c r="G292" s="124">
        <v>0.1122825737174602</v>
      </c>
      <c r="H292" s="124">
        <v>8.3718451406600947E-2</v>
      </c>
      <c r="I292" s="124">
        <v>5.9231001608812672E-2</v>
      </c>
      <c r="J292" s="124">
        <v>0.05</v>
      </c>
      <c r="K292" s="124">
        <v>4.4999999999999998E-2</v>
      </c>
      <c r="L292" s="124">
        <v>0.04</v>
      </c>
      <c r="M292" s="124">
        <v>3.5000000000000003E-2</v>
      </c>
      <c r="N292" s="124">
        <v>0.03</v>
      </c>
    </row>
    <row r="293" spans="2:14" x14ac:dyDescent="0.25">
      <c r="B293" s="1" t="s">
        <v>58</v>
      </c>
      <c r="E293" s="124">
        <v>0.38255217779172018</v>
      </c>
      <c r="F293" s="124">
        <v>0.40651728401334619</v>
      </c>
      <c r="G293" s="124">
        <v>0.37399977159389397</v>
      </c>
      <c r="H293" s="124">
        <v>0.37412973071708078</v>
      </c>
      <c r="I293" s="124">
        <v>0.38011036531982062</v>
      </c>
      <c r="J293" s="124">
        <v>0.37</v>
      </c>
      <c r="K293" s="124">
        <v>0.37</v>
      </c>
      <c r="L293" s="124">
        <v>0.36</v>
      </c>
      <c r="M293" s="124">
        <v>0.36</v>
      </c>
      <c r="N293" s="124">
        <v>0.35</v>
      </c>
    </row>
    <row r="294" spans="2:14" x14ac:dyDescent="0.25">
      <c r="B294" s="1" t="s">
        <v>89</v>
      </c>
      <c r="E294" s="1">
        <v>26427</v>
      </c>
      <c r="F294" s="1">
        <v>22658</v>
      </c>
      <c r="G294" s="1">
        <v>23872</v>
      </c>
      <c r="H294" s="1">
        <v>23002</v>
      </c>
      <c r="I294" s="1">
        <v>25245</v>
      </c>
      <c r="J294" s="1">
        <v>25000</v>
      </c>
      <c r="K294" s="1">
        <v>25000</v>
      </c>
      <c r="L294" s="1">
        <v>25000</v>
      </c>
      <c r="M294" s="1">
        <v>25000</v>
      </c>
      <c r="N294" s="1">
        <v>25000</v>
      </c>
    </row>
    <row r="295" spans="2:14" x14ac:dyDescent="0.25">
      <c r="B295" s="1" t="s">
        <v>59</v>
      </c>
      <c r="E295" s="1">
        <v>10963</v>
      </c>
      <c r="F295" s="1">
        <v>10125</v>
      </c>
      <c r="G295" s="1">
        <v>10087</v>
      </c>
      <c r="H295" s="1">
        <v>11020</v>
      </c>
      <c r="I295" s="1">
        <v>11412</v>
      </c>
      <c r="J295" s="1">
        <v>10000</v>
      </c>
      <c r="K295" s="1">
        <v>10000</v>
      </c>
      <c r="L295" s="1">
        <v>10000</v>
      </c>
      <c r="M295" s="1">
        <v>10000</v>
      </c>
      <c r="N295" s="1">
        <v>10000</v>
      </c>
    </row>
    <row r="296" spans="2:14" x14ac:dyDescent="0.25">
      <c r="B296" s="1" t="s">
        <v>76</v>
      </c>
      <c r="E296" s="123">
        <v>0.39</v>
      </c>
      <c r="F296" s="123">
        <v>0.39890109890109893</v>
      </c>
      <c r="G296" s="123">
        <v>0.4062573789846517</v>
      </c>
      <c r="H296" s="123">
        <v>0.41209366048075724</v>
      </c>
      <c r="I296" s="123">
        <v>0.41657578073390927</v>
      </c>
      <c r="J296" s="123">
        <v>0.4</v>
      </c>
      <c r="K296" s="123">
        <v>0.4</v>
      </c>
      <c r="L296" s="123">
        <v>0.4</v>
      </c>
      <c r="M296" s="123">
        <v>0.4</v>
      </c>
      <c r="N296" s="123">
        <v>0.4</v>
      </c>
    </row>
    <row r="297" spans="2:14" x14ac:dyDescent="0.25">
      <c r="B297" s="1" t="s">
        <v>75</v>
      </c>
      <c r="E297" s="124">
        <v>0.05</v>
      </c>
      <c r="F297" s="124">
        <v>0.05</v>
      </c>
      <c r="G297" s="124">
        <v>0.03</v>
      </c>
      <c r="H297" s="124">
        <v>0.03</v>
      </c>
      <c r="I297" s="124">
        <v>0.03</v>
      </c>
      <c r="J297" s="124">
        <v>0.03</v>
      </c>
      <c r="K297" s="124">
        <v>0.03</v>
      </c>
      <c r="L297" s="124">
        <v>0.03</v>
      </c>
      <c r="M297" s="124">
        <v>0.03</v>
      </c>
      <c r="N297" s="124">
        <v>0.03</v>
      </c>
    </row>
    <row r="298" spans="2:14" x14ac:dyDescent="0.25">
      <c r="B298" s="1" t="s">
        <v>61</v>
      </c>
      <c r="E298" s="124">
        <v>0.31167801892042296</v>
      </c>
      <c r="F298" s="124">
        <v>0.29180230056592171</v>
      </c>
      <c r="G298" s="124">
        <v>0.28698850107817436</v>
      </c>
      <c r="H298" s="124">
        <v>0.2899411500446471</v>
      </c>
      <c r="I298" s="124">
        <v>0.29121899033183596</v>
      </c>
      <c r="J298" s="124">
        <v>0.28000000000000003</v>
      </c>
      <c r="K298" s="124">
        <v>0.28000000000000003</v>
      </c>
      <c r="L298" s="124">
        <v>0.28000000000000003</v>
      </c>
      <c r="M298" s="124">
        <v>0.28000000000000003</v>
      </c>
      <c r="N298" s="124">
        <v>0.28000000000000003</v>
      </c>
    </row>
    <row r="306" spans="2:7" x14ac:dyDescent="0.25">
      <c r="B306" s="1" t="s">
        <v>118</v>
      </c>
    </row>
    <row r="308" spans="2:7" ht="18.75" thickBot="1" x14ac:dyDescent="0.3">
      <c r="B308" s="65" t="s">
        <v>0</v>
      </c>
      <c r="C308" s="65"/>
      <c r="D308" s="65"/>
      <c r="E308" s="126">
        <v>2012</v>
      </c>
      <c r="F308" s="126" t="s">
        <v>119</v>
      </c>
      <c r="G308" s="126" t="s">
        <v>120</v>
      </c>
    </row>
    <row r="309" spans="2:7" ht="16.5" thickBot="1" x14ac:dyDescent="0.3">
      <c r="B309" s="1" t="s">
        <v>1</v>
      </c>
      <c r="E309" s="147">
        <v>102007</v>
      </c>
      <c r="F309" s="148">
        <f>+E309*0.85</f>
        <v>86705.95</v>
      </c>
      <c r="G309" s="149">
        <f>+E309*1.15</f>
        <v>117308.04999999999</v>
      </c>
    </row>
    <row r="310" spans="2:7" x14ac:dyDescent="0.25">
      <c r="B310" s="1" t="s">
        <v>55</v>
      </c>
      <c r="E310" s="1">
        <v>39023</v>
      </c>
      <c r="F310" s="1">
        <v>39023</v>
      </c>
      <c r="G310" s="1">
        <v>39023</v>
      </c>
    </row>
    <row r="311" spans="2:7" x14ac:dyDescent="0.25">
      <c r="B311" s="3" t="s">
        <v>2</v>
      </c>
      <c r="E311" s="1">
        <f>+E309-E310</f>
        <v>62984</v>
      </c>
      <c r="F311" s="1">
        <f>+F309-F310</f>
        <v>47682.95</v>
      </c>
      <c r="G311" s="1">
        <f>+G309-G310</f>
        <v>78285.049999999988</v>
      </c>
    </row>
    <row r="312" spans="2:7" x14ac:dyDescent="0.25">
      <c r="B312" s="1" t="s">
        <v>72</v>
      </c>
    </row>
    <row r="313" spans="2:7" x14ac:dyDescent="0.25">
      <c r="B313" s="1" t="s">
        <v>3</v>
      </c>
      <c r="E313" s="1">
        <v>26427</v>
      </c>
      <c r="F313" s="1">
        <v>26427</v>
      </c>
      <c r="G313" s="1">
        <v>26427</v>
      </c>
    </row>
    <row r="314" spans="2:7" x14ac:dyDescent="0.25">
      <c r="B314" s="1" t="s">
        <v>4</v>
      </c>
      <c r="E314" s="1">
        <v>10963</v>
      </c>
      <c r="F314" s="1">
        <v>10963</v>
      </c>
      <c r="G314" s="1">
        <v>10963</v>
      </c>
    </row>
    <row r="315" spans="2:7" x14ac:dyDescent="0.25">
      <c r="B315" s="1" t="s">
        <v>5</v>
      </c>
      <c r="E315" s="1">
        <v>19500</v>
      </c>
      <c r="F315" s="1">
        <v>19500</v>
      </c>
      <c r="G315" s="1">
        <v>19500</v>
      </c>
    </row>
    <row r="318" spans="2:7" x14ac:dyDescent="0.25">
      <c r="B318" s="125" t="s">
        <v>107</v>
      </c>
      <c r="E318" s="125">
        <f>+E311-E313-E314-E315</f>
        <v>6094</v>
      </c>
      <c r="F318" s="125">
        <f>+F311-F313-F314-F315</f>
        <v>-9207.0500000000029</v>
      </c>
      <c r="G318" s="125">
        <f>+G311-G313-G314-G315</f>
        <v>21395.049999999988</v>
      </c>
    </row>
    <row r="319" spans="2:7" x14ac:dyDescent="0.25">
      <c r="B319" s="1" t="s">
        <v>6</v>
      </c>
      <c r="E319" s="1">
        <v>2500</v>
      </c>
      <c r="F319" s="1">
        <v>2500</v>
      </c>
      <c r="G319" s="1">
        <v>2500</v>
      </c>
    </row>
    <row r="321" spans="2:7" x14ac:dyDescent="0.25">
      <c r="B321" s="1" t="s">
        <v>73</v>
      </c>
      <c r="E321" s="1">
        <v>59390</v>
      </c>
      <c r="F321" s="1">
        <v>59390</v>
      </c>
      <c r="G321" s="1">
        <v>59390</v>
      </c>
    </row>
    <row r="322" spans="2:7" x14ac:dyDescent="0.25">
      <c r="B322" s="125" t="s">
        <v>111</v>
      </c>
      <c r="E322" s="1">
        <v>3594</v>
      </c>
      <c r="F322" s="1">
        <v>3594</v>
      </c>
      <c r="G322" s="1">
        <v>3594</v>
      </c>
    </row>
    <row r="324" spans="2:7" x14ac:dyDescent="0.25">
      <c r="B324" s="1" t="s">
        <v>8</v>
      </c>
      <c r="E324" s="1">
        <v>1120.1708000000001</v>
      </c>
      <c r="F324" s="1">
        <v>1120.1708000000001</v>
      </c>
      <c r="G324" s="1">
        <v>1120.1708000000001</v>
      </c>
    </row>
    <row r="325" spans="2:7" x14ac:dyDescent="0.25">
      <c r="B325" s="125" t="s">
        <v>112</v>
      </c>
      <c r="E325" s="1">
        <v>2473.8292000000001</v>
      </c>
      <c r="F325" s="1">
        <v>2473.8292000000001</v>
      </c>
      <c r="G325" s="1">
        <v>2473.8292000000001</v>
      </c>
    </row>
    <row r="328" spans="2:7" x14ac:dyDescent="0.25">
      <c r="B328" s="1" t="s">
        <v>106</v>
      </c>
      <c r="E328" s="1">
        <v>1000</v>
      </c>
      <c r="F328" s="1">
        <f>+E328*0.85</f>
        <v>850</v>
      </c>
      <c r="G328" s="1">
        <f>+E328*1.15</f>
        <v>1150</v>
      </c>
    </row>
    <row r="329" spans="2:7" x14ac:dyDescent="0.25">
      <c r="B329" s="1" t="s">
        <v>108</v>
      </c>
      <c r="E329" s="1">
        <f>+E309/E328</f>
        <v>102.00700000000001</v>
      </c>
      <c r="F329" s="1">
        <v>102</v>
      </c>
      <c r="G329" s="1">
        <v>102</v>
      </c>
    </row>
    <row r="330" spans="2:7" x14ac:dyDescent="0.25">
      <c r="B330" s="1" t="s">
        <v>114</v>
      </c>
      <c r="E330" s="1">
        <f>+E310/E328</f>
        <v>39.023000000000003</v>
      </c>
      <c r="F330" s="1">
        <f t="shared" ref="F330:G330" si="72">+F310/F328</f>
        <v>45.909411764705879</v>
      </c>
      <c r="G330" s="1">
        <f t="shared" si="72"/>
        <v>33.933043478260871</v>
      </c>
    </row>
    <row r="331" spans="2:7" x14ac:dyDescent="0.25">
      <c r="B331" s="1" t="s">
        <v>113</v>
      </c>
      <c r="E331" s="1">
        <f>+E329-E330</f>
        <v>62.984000000000002</v>
      </c>
      <c r="F331" s="1">
        <f t="shared" ref="F331" si="73">+F329-F330</f>
        <v>56.090588235294121</v>
      </c>
      <c r="G331" s="1">
        <f t="shared" ref="G331" si="74">+G329-G330</f>
        <v>68.066956521739129</v>
      </c>
    </row>
    <row r="332" spans="2:7" x14ac:dyDescent="0.25">
      <c r="B332" s="1" t="s">
        <v>115</v>
      </c>
      <c r="E332" s="1">
        <f>+E313+E314+E315</f>
        <v>56890</v>
      </c>
      <c r="F332" s="1">
        <f t="shared" ref="F332:G332" si="75">+F313+F314+F315</f>
        <v>56890</v>
      </c>
      <c r="G332" s="1">
        <f t="shared" si="75"/>
        <v>56890</v>
      </c>
    </row>
    <row r="336" spans="2:7" ht="16.5" thickBot="1" x14ac:dyDescent="0.3">
      <c r="B336" s="1" t="s">
        <v>105</v>
      </c>
      <c r="E336" s="1">
        <f>+E332/E331</f>
        <v>903.24526863965446</v>
      </c>
      <c r="F336" s="1">
        <f>+F332/F331</f>
        <v>1014.2521551272101</v>
      </c>
      <c r="G336" s="1">
        <f>+G332/G331</f>
        <v>835.79467787472697</v>
      </c>
    </row>
    <row r="337" spans="2:7" x14ac:dyDescent="0.25">
      <c r="B337" s="1" t="s">
        <v>116</v>
      </c>
      <c r="C337" s="1" t="s">
        <v>117</v>
      </c>
      <c r="D337" s="23">
        <v>770</v>
      </c>
      <c r="E337" s="127"/>
      <c r="F337" s="128"/>
      <c r="G337" s="129"/>
    </row>
    <row r="338" spans="2:7" x14ac:dyDescent="0.25">
      <c r="C338" s="1" t="s">
        <v>117</v>
      </c>
      <c r="D338" s="23">
        <f>+D337+50</f>
        <v>820</v>
      </c>
      <c r="E338" s="130"/>
      <c r="F338" s="131"/>
      <c r="G338" s="132"/>
    </row>
    <row r="339" spans="2:7" x14ac:dyDescent="0.25">
      <c r="C339" s="1" t="s">
        <v>117</v>
      </c>
      <c r="D339" s="23">
        <f t="shared" ref="D339:D365" si="76">+D338+50</f>
        <v>870</v>
      </c>
      <c r="E339" s="130"/>
      <c r="F339" s="131"/>
      <c r="G339" s="133"/>
    </row>
    <row r="340" spans="2:7" x14ac:dyDescent="0.25">
      <c r="C340" s="1" t="s">
        <v>117</v>
      </c>
      <c r="D340" s="23">
        <f t="shared" si="76"/>
        <v>920</v>
      </c>
      <c r="E340" s="134"/>
      <c r="F340" s="131"/>
      <c r="G340" s="133"/>
    </row>
    <row r="341" spans="2:7" x14ac:dyDescent="0.25">
      <c r="C341" s="1" t="s">
        <v>117</v>
      </c>
      <c r="D341" s="23">
        <f t="shared" si="76"/>
        <v>970</v>
      </c>
      <c r="E341" s="134"/>
      <c r="F341" s="131"/>
      <c r="G341" s="133"/>
    </row>
    <row r="342" spans="2:7" x14ac:dyDescent="0.25">
      <c r="C342" s="1" t="s">
        <v>117</v>
      </c>
      <c r="D342" s="23">
        <f t="shared" si="76"/>
        <v>1020</v>
      </c>
      <c r="E342" s="134"/>
      <c r="F342" s="135"/>
      <c r="G342" s="133"/>
    </row>
    <row r="343" spans="2:7" x14ac:dyDescent="0.25">
      <c r="C343" s="1" t="s">
        <v>117</v>
      </c>
      <c r="D343" s="23">
        <f t="shared" si="76"/>
        <v>1070</v>
      </c>
      <c r="E343" s="134"/>
      <c r="F343" s="135"/>
      <c r="G343" s="133"/>
    </row>
    <row r="344" spans="2:7" x14ac:dyDescent="0.25">
      <c r="C344" s="1" t="s">
        <v>117</v>
      </c>
      <c r="D344" s="23">
        <f t="shared" si="76"/>
        <v>1120</v>
      </c>
      <c r="E344" s="134"/>
      <c r="F344" s="135"/>
      <c r="G344" s="133"/>
    </row>
    <row r="345" spans="2:7" x14ac:dyDescent="0.25">
      <c r="C345" s="1" t="s">
        <v>117</v>
      </c>
      <c r="D345" s="23">
        <f t="shared" si="76"/>
        <v>1170</v>
      </c>
      <c r="E345" s="134"/>
      <c r="F345" s="135"/>
      <c r="G345" s="133"/>
    </row>
    <row r="346" spans="2:7" x14ac:dyDescent="0.25">
      <c r="C346" s="1" t="s">
        <v>117</v>
      </c>
      <c r="D346" s="23">
        <f t="shared" si="76"/>
        <v>1220</v>
      </c>
      <c r="E346" s="134"/>
      <c r="F346" s="135"/>
      <c r="G346" s="133"/>
    </row>
    <row r="347" spans="2:7" x14ac:dyDescent="0.25">
      <c r="C347" s="1" t="s">
        <v>117</v>
      </c>
      <c r="D347" s="23">
        <f t="shared" si="76"/>
        <v>1270</v>
      </c>
      <c r="E347" s="134"/>
      <c r="F347" s="135"/>
      <c r="G347" s="133"/>
    </row>
    <row r="348" spans="2:7" x14ac:dyDescent="0.25">
      <c r="C348" s="1" t="s">
        <v>117</v>
      </c>
      <c r="D348" s="23">
        <f t="shared" si="76"/>
        <v>1320</v>
      </c>
      <c r="E348" s="134"/>
      <c r="F348" s="135"/>
      <c r="G348" s="133"/>
    </row>
    <row r="349" spans="2:7" x14ac:dyDescent="0.25">
      <c r="C349" s="1" t="s">
        <v>117</v>
      </c>
      <c r="D349" s="23">
        <f t="shared" si="76"/>
        <v>1370</v>
      </c>
      <c r="E349" s="134"/>
      <c r="F349" s="135"/>
      <c r="G349" s="133"/>
    </row>
    <row r="350" spans="2:7" x14ac:dyDescent="0.25">
      <c r="C350" s="1" t="s">
        <v>117</v>
      </c>
      <c r="D350" s="23">
        <f t="shared" si="76"/>
        <v>1420</v>
      </c>
      <c r="E350" s="134"/>
      <c r="F350" s="135"/>
      <c r="G350" s="133"/>
    </row>
    <row r="351" spans="2:7" x14ac:dyDescent="0.25">
      <c r="C351" s="1" t="s">
        <v>117</v>
      </c>
      <c r="D351" s="23">
        <f t="shared" si="76"/>
        <v>1470</v>
      </c>
      <c r="E351" s="134"/>
      <c r="F351" s="135"/>
      <c r="G351" s="133"/>
    </row>
    <row r="352" spans="2:7" x14ac:dyDescent="0.25">
      <c r="C352" s="1" t="s">
        <v>117</v>
      </c>
      <c r="D352" s="23">
        <f t="shared" si="76"/>
        <v>1520</v>
      </c>
      <c r="E352" s="134"/>
      <c r="F352" s="135"/>
      <c r="G352" s="133"/>
    </row>
    <row r="353" spans="3:7" x14ac:dyDescent="0.25">
      <c r="C353" s="1" t="s">
        <v>117</v>
      </c>
      <c r="D353" s="23">
        <f t="shared" si="76"/>
        <v>1570</v>
      </c>
      <c r="E353" s="134"/>
      <c r="F353" s="135"/>
      <c r="G353" s="133"/>
    </row>
    <row r="354" spans="3:7" x14ac:dyDescent="0.25">
      <c r="C354" s="1" t="s">
        <v>117</v>
      </c>
      <c r="D354" s="23">
        <f t="shared" si="76"/>
        <v>1620</v>
      </c>
      <c r="E354" s="134"/>
      <c r="F354" s="135"/>
      <c r="G354" s="133"/>
    </row>
    <row r="355" spans="3:7" x14ac:dyDescent="0.25">
      <c r="C355" s="1" t="s">
        <v>117</v>
      </c>
      <c r="D355" s="23">
        <f t="shared" si="76"/>
        <v>1670</v>
      </c>
      <c r="E355" s="134"/>
      <c r="F355" s="135"/>
      <c r="G355" s="133"/>
    </row>
    <row r="356" spans="3:7" x14ac:dyDescent="0.25">
      <c r="C356" s="1" t="s">
        <v>117</v>
      </c>
      <c r="D356" s="23">
        <f t="shared" si="76"/>
        <v>1720</v>
      </c>
      <c r="E356" s="134"/>
      <c r="F356" s="135"/>
      <c r="G356" s="133"/>
    </row>
    <row r="357" spans="3:7" x14ac:dyDescent="0.25">
      <c r="C357" s="1" t="s">
        <v>117</v>
      </c>
      <c r="D357" s="23">
        <f t="shared" si="76"/>
        <v>1770</v>
      </c>
      <c r="E357" s="134"/>
      <c r="F357" s="135"/>
      <c r="G357" s="133"/>
    </row>
    <row r="358" spans="3:7" x14ac:dyDescent="0.25">
      <c r="C358" s="1" t="s">
        <v>117</v>
      </c>
      <c r="D358" s="23">
        <f t="shared" si="76"/>
        <v>1820</v>
      </c>
      <c r="E358" s="134"/>
      <c r="F358" s="135"/>
      <c r="G358" s="133"/>
    </row>
    <row r="359" spans="3:7" x14ac:dyDescent="0.25">
      <c r="C359" s="1" t="s">
        <v>117</v>
      </c>
      <c r="D359" s="23">
        <f t="shared" si="76"/>
        <v>1870</v>
      </c>
      <c r="E359" s="134"/>
      <c r="F359" s="135"/>
      <c r="G359" s="133"/>
    </row>
    <row r="360" spans="3:7" x14ac:dyDescent="0.25">
      <c r="C360" s="1" t="s">
        <v>117</v>
      </c>
      <c r="D360" s="23">
        <f t="shared" si="76"/>
        <v>1920</v>
      </c>
      <c r="E360" s="134"/>
      <c r="F360" s="135"/>
      <c r="G360" s="133"/>
    </row>
    <row r="361" spans="3:7" x14ac:dyDescent="0.25">
      <c r="C361" s="1" t="s">
        <v>117</v>
      </c>
      <c r="D361" s="23">
        <f t="shared" si="76"/>
        <v>1970</v>
      </c>
      <c r="E361" s="134"/>
      <c r="F361" s="135"/>
      <c r="G361" s="133"/>
    </row>
    <row r="362" spans="3:7" x14ac:dyDescent="0.25">
      <c r="C362" s="1" t="s">
        <v>117</v>
      </c>
      <c r="D362" s="23">
        <f t="shared" si="76"/>
        <v>2020</v>
      </c>
      <c r="E362" s="134"/>
      <c r="F362" s="135"/>
      <c r="G362" s="133"/>
    </row>
    <row r="363" spans="3:7" x14ac:dyDescent="0.25">
      <c r="C363" s="1" t="s">
        <v>117</v>
      </c>
      <c r="D363" s="23">
        <f t="shared" si="76"/>
        <v>2070</v>
      </c>
      <c r="E363" s="134"/>
      <c r="F363" s="135"/>
      <c r="G363" s="133"/>
    </row>
    <row r="364" spans="3:7" x14ac:dyDescent="0.25">
      <c r="C364" s="1" t="s">
        <v>117</v>
      </c>
      <c r="D364" s="23">
        <f t="shared" si="76"/>
        <v>2120</v>
      </c>
      <c r="E364" s="134"/>
      <c r="F364" s="135"/>
      <c r="G364" s="133"/>
    </row>
    <row r="365" spans="3:7" ht="16.5" thickBot="1" x14ac:dyDescent="0.3">
      <c r="C365" s="1" t="s">
        <v>117</v>
      </c>
      <c r="D365" s="23">
        <f t="shared" si="76"/>
        <v>2170</v>
      </c>
      <c r="E365" s="136"/>
      <c r="F365" s="137"/>
      <c r="G365" s="138"/>
    </row>
  </sheetData>
  <conditionalFormatting sqref="E3:N3">
    <cfRule type="containsText" dxfId="1" priority="1" operator="containsText" text="OK">
      <formula>NOT(ISERROR(SEARCH("OK",E3)))</formula>
    </cfRule>
    <cfRule type="containsText" dxfId="0" priority="2" operator="containsText" text="ERROR">
      <formula>NOT(ISERROR(SEARCH("ERROR",E3)))</formula>
    </cfRule>
  </conditionalFormatting>
  <hyperlinks>
    <hyperlink ref="B138" r:id="rId1" xr:uid="{C5F4F08C-E639-47FB-B374-ABEE1E053B29}"/>
  </hyperlinks>
  <pageMargins left="0.70866141732283472" right="0.70866141732283472" top="0.74803149606299213" bottom="0.74803149606299213" header="0.31496062992125984" footer="0.31496062992125984"/>
  <pageSetup scale="78" orientation="landscape" r:id="rId2"/>
  <rowBreaks count="3" manualBreakCount="3">
    <brk id="37" max="13" man="1"/>
    <brk id="58" max="13" man="1"/>
    <brk id="81" max="1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Cover Page</vt:lpstr>
      <vt:lpstr>3 Statement Model</vt:lpstr>
      <vt:lpstr>3 Statement Model BEP OL</vt:lpstr>
      <vt:lpstr>'3 Statement Model'!Print_Area</vt:lpstr>
      <vt:lpstr>'3 Statement Model BEP OL'!Print_Area</vt:lpstr>
      <vt:lpstr>'Cover Page'!Print_Area</vt:lpstr>
      <vt:lpstr>'3 Statement Model'!Print_Titles</vt:lpstr>
      <vt:lpstr>'3 Statement Model BEP OL'!Print_Titles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Gregory A</cp:lastModifiedBy>
  <cp:lastPrinted>2014-12-13T23:43:21Z</cp:lastPrinted>
  <dcterms:created xsi:type="dcterms:W3CDTF">2014-11-08T22:00:02Z</dcterms:created>
  <dcterms:modified xsi:type="dcterms:W3CDTF">2021-11-02T11:16:18Z</dcterms:modified>
</cp:coreProperties>
</file>