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ncyli/Desktop/ADM4350/Summutative/"/>
    </mc:Choice>
  </mc:AlternateContent>
  <xr:revisionPtr revIDLastSave="0" documentId="13_ncr:1_{BCB13DCC-E7DA-F745-9937-B20E2D59FBC6}" xr6:coauthVersionLast="47" xr6:coauthVersionMax="47" xr10:uidLastSave="{00000000-0000-0000-0000-000000000000}"/>
  <bookViews>
    <workbookView xWindow="0" yWindow="0" windowWidth="28800" windowHeight="18000" activeTab="2" xr2:uid="{D203676A-8503-9840-8C03-D0AB21F8EB00}"/>
  </bookViews>
  <sheets>
    <sheet name="Sheet1" sheetId="1" r:id="rId1"/>
    <sheet name="NCWC" sheetId="4" r:id="rId2"/>
    <sheet name="DCF" sheetId="5" r:id="rId3"/>
    <sheet name="Beta" sheetId="2" r:id="rId4"/>
    <sheet name="RV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5" l="1"/>
  <c r="H7" i="5"/>
  <c r="B52" i="5"/>
  <c r="B50" i="5"/>
  <c r="B49" i="5"/>
  <c r="I32" i="5"/>
  <c r="J32" i="5"/>
  <c r="K32" i="5"/>
  <c r="L32" i="5"/>
  <c r="M32" i="5"/>
  <c r="N32" i="5"/>
  <c r="O32" i="5"/>
  <c r="P32" i="5"/>
  <c r="Q32" i="5"/>
  <c r="H32" i="5"/>
  <c r="C32" i="5"/>
  <c r="D32" i="5"/>
  <c r="E32" i="5"/>
  <c r="F32" i="5"/>
  <c r="G32" i="5"/>
  <c r="B32" i="5"/>
  <c r="C37" i="5"/>
  <c r="D37" i="5"/>
  <c r="E37" i="5"/>
  <c r="F37" i="5"/>
  <c r="G37" i="5"/>
  <c r="B37" i="5"/>
  <c r="H11" i="4" l="1"/>
  <c r="G12" i="4"/>
  <c r="D34" i="5"/>
  <c r="E34" i="5"/>
  <c r="F34" i="5"/>
  <c r="G34" i="5"/>
  <c r="C34" i="5"/>
  <c r="C15" i="5"/>
  <c r="D15" i="5"/>
  <c r="E15" i="5"/>
  <c r="F15" i="5"/>
  <c r="G15" i="5"/>
  <c r="B15" i="5"/>
  <c r="C10" i="5"/>
  <c r="D10" i="5"/>
  <c r="E10" i="5"/>
  <c r="F10" i="5"/>
  <c r="G10" i="5"/>
  <c r="B10" i="5"/>
  <c r="C12" i="5"/>
  <c r="C17" i="5" s="1"/>
  <c r="C19" i="5" s="1"/>
  <c r="D12" i="5"/>
  <c r="D17" i="5" s="1"/>
  <c r="D19" i="5" s="1"/>
  <c r="D22" i="5" s="1"/>
  <c r="D29" i="5" s="1"/>
  <c r="D39" i="5" s="1"/>
  <c r="E12" i="5"/>
  <c r="E17" i="5" s="1"/>
  <c r="E19" i="5" s="1"/>
  <c r="E22" i="5" s="1"/>
  <c r="E29" i="5" s="1"/>
  <c r="E39" i="5" s="1"/>
  <c r="F12" i="5"/>
  <c r="F17" i="5" s="1"/>
  <c r="F19" i="5" s="1"/>
  <c r="F22" i="5" s="1"/>
  <c r="F29" i="5" s="1"/>
  <c r="F39" i="5" s="1"/>
  <c r="G12" i="5"/>
  <c r="G17" i="5" s="1"/>
  <c r="G19" i="5" s="1"/>
  <c r="B12" i="5"/>
  <c r="B17" i="5" s="1"/>
  <c r="Q7" i="5"/>
  <c r="P7" i="5"/>
  <c r="O7" i="5"/>
  <c r="N7" i="5"/>
  <c r="M7" i="5"/>
  <c r="L7" i="5"/>
  <c r="K7" i="5"/>
  <c r="J7" i="5"/>
  <c r="I7" i="5"/>
  <c r="H6" i="5"/>
  <c r="H36" i="5" l="1"/>
  <c r="H31" i="5"/>
  <c r="H9" i="5"/>
  <c r="H12" i="5" s="1"/>
  <c r="I6" i="5"/>
  <c r="H14" i="5"/>
  <c r="B19" i="5"/>
  <c r="B22" i="5" s="1"/>
  <c r="B29" i="5" s="1"/>
  <c r="G22" i="5"/>
  <c r="G29" i="5" s="1"/>
  <c r="G39" i="5" s="1"/>
  <c r="C22" i="5"/>
  <c r="C29" i="5" s="1"/>
  <c r="C39" i="5" s="1"/>
  <c r="I36" i="5" l="1"/>
  <c r="I31" i="5"/>
  <c r="J6" i="5"/>
  <c r="K6" i="5" s="1"/>
  <c r="H17" i="5"/>
  <c r="H19" i="5" s="1"/>
  <c r="H22" i="5" s="1"/>
  <c r="H29" i="5" s="1"/>
  <c r="I14" i="5"/>
  <c r="I9" i="5"/>
  <c r="I12" i="5" s="1"/>
  <c r="G9" i="4"/>
  <c r="I7" i="4"/>
  <c r="J7" i="4"/>
  <c r="K7" i="4"/>
  <c r="L7" i="4"/>
  <c r="M7" i="4"/>
  <c r="N7" i="4"/>
  <c r="O7" i="4"/>
  <c r="P7" i="4"/>
  <c r="Q7" i="4"/>
  <c r="H7" i="4"/>
  <c r="H6" i="4" s="1"/>
  <c r="D158" i="1"/>
  <c r="E158" i="1"/>
  <c r="F158" i="1"/>
  <c r="G158" i="1"/>
  <c r="H158" i="1"/>
  <c r="I158" i="1"/>
  <c r="J158" i="1"/>
  <c r="K158" i="1"/>
  <c r="L158" i="1"/>
  <c r="C158" i="1"/>
  <c r="D139" i="1"/>
  <c r="E139" i="1"/>
  <c r="F139" i="1" s="1"/>
  <c r="D157" i="1"/>
  <c r="C157" i="1"/>
  <c r="B157" i="1"/>
  <c r="D154" i="1"/>
  <c r="E154" i="1" s="1"/>
  <c r="F154" i="1" s="1"/>
  <c r="G154" i="1" s="1"/>
  <c r="H154" i="1" s="1"/>
  <c r="I154" i="1" s="1"/>
  <c r="J154" i="1" s="1"/>
  <c r="K154" i="1" s="1"/>
  <c r="L154" i="1" s="1"/>
  <c r="C154" i="1"/>
  <c r="D151" i="1"/>
  <c r="E151" i="1"/>
  <c r="F151" i="1" s="1"/>
  <c r="G151" i="1" s="1"/>
  <c r="H151" i="1" s="1"/>
  <c r="I151" i="1" s="1"/>
  <c r="J151" i="1" s="1"/>
  <c r="K151" i="1" s="1"/>
  <c r="L151" i="1" s="1"/>
  <c r="C151" i="1"/>
  <c r="D148" i="1"/>
  <c r="E148" i="1" s="1"/>
  <c r="F148" i="1" s="1"/>
  <c r="G148" i="1" s="1"/>
  <c r="H148" i="1" s="1"/>
  <c r="I148" i="1" s="1"/>
  <c r="J148" i="1" s="1"/>
  <c r="K148" i="1" s="1"/>
  <c r="L148" i="1" s="1"/>
  <c r="C148" i="1"/>
  <c r="D145" i="1"/>
  <c r="E145" i="1" s="1"/>
  <c r="F145" i="1" s="1"/>
  <c r="G145" i="1" s="1"/>
  <c r="H145" i="1" s="1"/>
  <c r="I145" i="1" s="1"/>
  <c r="J145" i="1" s="1"/>
  <c r="K145" i="1" s="1"/>
  <c r="L145" i="1" s="1"/>
  <c r="C145" i="1"/>
  <c r="D142" i="1"/>
  <c r="E142" i="1"/>
  <c r="F142" i="1"/>
  <c r="G142" i="1" s="1"/>
  <c r="H142" i="1" s="1"/>
  <c r="I142" i="1" s="1"/>
  <c r="J142" i="1" s="1"/>
  <c r="K142" i="1" s="1"/>
  <c r="L142" i="1" s="1"/>
  <c r="C142" i="1"/>
  <c r="E157" i="1"/>
  <c r="C139" i="1"/>
  <c r="C29" i="4"/>
  <c r="D29" i="4"/>
  <c r="E29" i="4"/>
  <c r="F29" i="4"/>
  <c r="G29" i="4"/>
  <c r="C26" i="4"/>
  <c r="D26" i="4"/>
  <c r="E26" i="4"/>
  <c r="F26" i="4"/>
  <c r="G26" i="4"/>
  <c r="C23" i="4"/>
  <c r="D23" i="4"/>
  <c r="E23" i="4"/>
  <c r="F23" i="4"/>
  <c r="G23" i="4"/>
  <c r="B29" i="4"/>
  <c r="B26" i="4"/>
  <c r="B23" i="4"/>
  <c r="B18" i="4"/>
  <c r="G18" i="4"/>
  <c r="C18" i="4"/>
  <c r="D18" i="4"/>
  <c r="E18" i="4"/>
  <c r="F18" i="4"/>
  <c r="B15" i="4"/>
  <c r="B9" i="4"/>
  <c r="C15" i="4"/>
  <c r="D15" i="4"/>
  <c r="E15" i="4"/>
  <c r="F15" i="4"/>
  <c r="G15" i="4"/>
  <c r="C12" i="4"/>
  <c r="B12" i="4"/>
  <c r="D12" i="4"/>
  <c r="E12" i="4"/>
  <c r="F12" i="4"/>
  <c r="C20" i="4"/>
  <c r="D20" i="4"/>
  <c r="E20" i="4"/>
  <c r="F20" i="4"/>
  <c r="G20" i="4"/>
  <c r="B20" i="4"/>
  <c r="B31" i="4" s="1"/>
  <c r="C9" i="4"/>
  <c r="D9" i="4"/>
  <c r="D31" i="4" s="1"/>
  <c r="E9" i="4"/>
  <c r="F9" i="4"/>
  <c r="F31" i="4" s="1"/>
  <c r="G31" i="4"/>
  <c r="D7" i="3"/>
  <c r="D6" i="3"/>
  <c r="D5" i="3"/>
  <c r="D4" i="3"/>
  <c r="G48" i="3"/>
  <c r="G46" i="3"/>
  <c r="G39" i="3"/>
  <c r="G38" i="3"/>
  <c r="G37" i="3"/>
  <c r="G32" i="3"/>
  <c r="G30" i="3"/>
  <c r="G29" i="3"/>
  <c r="G28" i="3"/>
  <c r="G27" i="3"/>
  <c r="G26" i="3"/>
  <c r="G25" i="3"/>
  <c r="H15" i="3"/>
  <c r="I15" i="3"/>
  <c r="G15" i="3"/>
  <c r="G11" i="3"/>
  <c r="H12" i="3"/>
  <c r="H13" i="3"/>
  <c r="H14" i="3"/>
  <c r="H11" i="3"/>
  <c r="G12" i="3"/>
  <c r="G13" i="3"/>
  <c r="G14" i="3"/>
  <c r="M18" i="2"/>
  <c r="M16" i="2"/>
  <c r="M13" i="2"/>
  <c r="M6" i="2"/>
  <c r="M9" i="2" s="1"/>
  <c r="M10" i="2" s="1"/>
  <c r="M4" i="2"/>
  <c r="B11" i="2"/>
  <c r="H15" i="2"/>
  <c r="H19" i="2" s="1"/>
  <c r="H9" i="2"/>
  <c r="H18" i="2"/>
  <c r="D8" i="2"/>
  <c r="E5" i="2"/>
  <c r="E6" i="2"/>
  <c r="E7" i="2"/>
  <c r="E4" i="2"/>
  <c r="D125" i="1"/>
  <c r="E125" i="1"/>
  <c r="F125" i="1"/>
  <c r="G125" i="1"/>
  <c r="C125" i="1"/>
  <c r="D122" i="1"/>
  <c r="E122" i="1"/>
  <c r="F122" i="1"/>
  <c r="G122" i="1"/>
  <c r="C122" i="1"/>
  <c r="D119" i="1"/>
  <c r="E119" i="1"/>
  <c r="F119" i="1"/>
  <c r="G119" i="1"/>
  <c r="C119" i="1"/>
  <c r="H119" i="1" s="1"/>
  <c r="D116" i="1"/>
  <c r="E116" i="1"/>
  <c r="F116" i="1"/>
  <c r="G116" i="1"/>
  <c r="C116" i="1"/>
  <c r="D113" i="1"/>
  <c r="E113" i="1"/>
  <c r="F113" i="1"/>
  <c r="G113" i="1"/>
  <c r="C113" i="1"/>
  <c r="D110" i="1"/>
  <c r="E110" i="1"/>
  <c r="F110" i="1"/>
  <c r="G110" i="1"/>
  <c r="C110" i="1"/>
  <c r="C104" i="1"/>
  <c r="D104" i="1"/>
  <c r="E104" i="1"/>
  <c r="F104" i="1"/>
  <c r="G104" i="1"/>
  <c r="B104" i="1"/>
  <c r="C103" i="1"/>
  <c r="D103" i="1"/>
  <c r="E103" i="1"/>
  <c r="F103" i="1"/>
  <c r="G103" i="1"/>
  <c r="B103" i="1"/>
  <c r="G102" i="1"/>
  <c r="C102" i="1"/>
  <c r="D102" i="1"/>
  <c r="E102" i="1"/>
  <c r="F102" i="1"/>
  <c r="B102" i="1"/>
  <c r="C100" i="1"/>
  <c r="C101" i="1"/>
  <c r="D101" i="1"/>
  <c r="E101" i="1"/>
  <c r="F101" i="1"/>
  <c r="G101" i="1"/>
  <c r="B101" i="1"/>
  <c r="D100" i="1"/>
  <c r="E100" i="1"/>
  <c r="F100" i="1"/>
  <c r="G100" i="1"/>
  <c r="B100" i="1"/>
  <c r="D53" i="1"/>
  <c r="E53" i="1"/>
  <c r="F53" i="1"/>
  <c r="G53" i="1"/>
  <c r="C53" i="1"/>
  <c r="J14" i="5" l="1"/>
  <c r="I17" i="5"/>
  <c r="I19" i="5" s="1"/>
  <c r="I22" i="5" s="1"/>
  <c r="I29" i="5" s="1"/>
  <c r="K31" i="5"/>
  <c r="K36" i="5"/>
  <c r="J36" i="5"/>
  <c r="J31" i="5"/>
  <c r="J9" i="5"/>
  <c r="J12" i="5" s="1"/>
  <c r="L6" i="5"/>
  <c r="K14" i="5"/>
  <c r="K9" i="5"/>
  <c r="K12" i="5" s="1"/>
  <c r="H22" i="4"/>
  <c r="H17" i="4"/>
  <c r="H9" i="4" s="1"/>
  <c r="H28" i="4"/>
  <c r="H14" i="4"/>
  <c r="I6" i="4"/>
  <c r="H25" i="4"/>
  <c r="C31" i="4"/>
  <c r="C32" i="4" s="1"/>
  <c r="E31" i="4"/>
  <c r="E32" i="4" s="1"/>
  <c r="F32" i="4"/>
  <c r="G139" i="1"/>
  <c r="F157" i="1"/>
  <c r="G32" i="4"/>
  <c r="G40" i="3"/>
  <c r="G42" i="3" s="1"/>
  <c r="E8" i="2"/>
  <c r="D11" i="2" s="1"/>
  <c r="I19" i="2"/>
  <c r="C11" i="2"/>
  <c r="I18" i="2"/>
  <c r="H110" i="1"/>
  <c r="H125" i="1"/>
  <c r="H116" i="1"/>
  <c r="H122" i="1"/>
  <c r="H113" i="1"/>
  <c r="H53" i="1"/>
  <c r="B18" i="1"/>
  <c r="B19" i="1"/>
  <c r="B20" i="1"/>
  <c r="B21" i="1"/>
  <c r="B17" i="1"/>
  <c r="J17" i="5" l="1"/>
  <c r="J19" i="5" s="1"/>
  <c r="J22" i="5" s="1"/>
  <c r="J29" i="5" s="1"/>
  <c r="K17" i="5"/>
  <c r="K19" i="5" s="1"/>
  <c r="K22" i="5" s="1"/>
  <c r="K29" i="5" s="1"/>
  <c r="L31" i="5"/>
  <c r="L36" i="5"/>
  <c r="M6" i="5"/>
  <c r="L14" i="5"/>
  <c r="L9" i="5"/>
  <c r="L12" i="5" s="1"/>
  <c r="L17" i="5" s="1"/>
  <c r="I17" i="4"/>
  <c r="I28" i="4"/>
  <c r="I14" i="4"/>
  <c r="I25" i="4"/>
  <c r="I22" i="4"/>
  <c r="I11" i="4"/>
  <c r="J6" i="4"/>
  <c r="D32" i="4"/>
  <c r="H20" i="4"/>
  <c r="H31" i="4" s="1"/>
  <c r="H32" i="4" s="1"/>
  <c r="H34" i="5" s="1"/>
  <c r="H39" i="5" s="1"/>
  <c r="H41" i="5" s="1"/>
  <c r="H139" i="1"/>
  <c r="G157" i="1"/>
  <c r="E11" i="2"/>
  <c r="M36" i="5" l="1"/>
  <c r="M31" i="5"/>
  <c r="I20" i="4"/>
  <c r="I9" i="4"/>
  <c r="L19" i="5"/>
  <c r="L22" i="5" s="1"/>
  <c r="L29" i="5" s="1"/>
  <c r="N6" i="5"/>
  <c r="M9" i="5"/>
  <c r="M12" i="5" s="1"/>
  <c r="M14" i="5"/>
  <c r="K6" i="4"/>
  <c r="J11" i="4"/>
  <c r="J17" i="4"/>
  <c r="J28" i="4"/>
  <c r="J14" i="4"/>
  <c r="J22" i="4"/>
  <c r="J25" i="4"/>
  <c r="H157" i="1"/>
  <c r="I139" i="1"/>
  <c r="M17" i="5" l="1"/>
  <c r="M19" i="5" s="1"/>
  <c r="M22" i="5" s="1"/>
  <c r="M29" i="5" s="1"/>
  <c r="N36" i="5"/>
  <c r="N31" i="5"/>
  <c r="I31" i="4"/>
  <c r="I32" i="4" s="1"/>
  <c r="I34" i="5" s="1"/>
  <c r="I39" i="5" s="1"/>
  <c r="I41" i="5" s="1"/>
  <c r="O6" i="5"/>
  <c r="N9" i="5"/>
  <c r="N12" i="5" s="1"/>
  <c r="N14" i="5"/>
  <c r="J20" i="4"/>
  <c r="J9" i="4"/>
  <c r="L6" i="4"/>
  <c r="K22" i="4"/>
  <c r="K17" i="4"/>
  <c r="K14" i="4"/>
  <c r="K28" i="4"/>
  <c r="K25" i="4"/>
  <c r="K11" i="4"/>
  <c r="J139" i="1"/>
  <c r="I157" i="1"/>
  <c r="N17" i="5" l="1"/>
  <c r="N19" i="5" s="1"/>
  <c r="N22" i="5" s="1"/>
  <c r="N29" i="5" s="1"/>
  <c r="O31" i="5"/>
  <c r="O36" i="5"/>
  <c r="P6" i="5"/>
  <c r="O9" i="5"/>
  <c r="O12" i="5" s="1"/>
  <c r="O14" i="5"/>
  <c r="K20" i="4"/>
  <c r="M6" i="4"/>
  <c r="L25" i="4"/>
  <c r="L22" i="4"/>
  <c r="L14" i="4"/>
  <c r="L17" i="4"/>
  <c r="L11" i="4"/>
  <c r="L28" i="4"/>
  <c r="J31" i="4"/>
  <c r="J32" i="4" s="1"/>
  <c r="J34" i="5" s="1"/>
  <c r="J39" i="5" s="1"/>
  <c r="J41" i="5" s="1"/>
  <c r="K9" i="4"/>
  <c r="K31" i="4" s="1"/>
  <c r="K32" i="4" s="1"/>
  <c r="K34" i="5" s="1"/>
  <c r="K39" i="5" s="1"/>
  <c r="K41" i="5" s="1"/>
  <c r="K139" i="1"/>
  <c r="J157" i="1"/>
  <c r="P36" i="5" l="1"/>
  <c r="P31" i="5"/>
  <c r="O17" i="5"/>
  <c r="O19" i="5" s="1"/>
  <c r="O22" i="5" s="1"/>
  <c r="O29" i="5" s="1"/>
  <c r="L9" i="4"/>
  <c r="Q6" i="5"/>
  <c r="P9" i="5"/>
  <c r="P12" i="5" s="1"/>
  <c r="P14" i="5"/>
  <c r="L20" i="4"/>
  <c r="N6" i="4"/>
  <c r="M25" i="4"/>
  <c r="M11" i="4"/>
  <c r="M28" i="4"/>
  <c r="M22" i="4"/>
  <c r="M17" i="4"/>
  <c r="M14" i="4"/>
  <c r="L139" i="1"/>
  <c r="L157" i="1" s="1"/>
  <c r="K157" i="1"/>
  <c r="Q31" i="5" l="1"/>
  <c r="Q36" i="5"/>
  <c r="P17" i="5"/>
  <c r="M20" i="4"/>
  <c r="L31" i="4"/>
  <c r="L32" i="4" s="1"/>
  <c r="L34" i="5" s="1"/>
  <c r="L39" i="5" s="1"/>
  <c r="L41" i="5" s="1"/>
  <c r="P19" i="5"/>
  <c r="P22" i="5" s="1"/>
  <c r="P29" i="5" s="1"/>
  <c r="Q9" i="5"/>
  <c r="Q12" i="5" s="1"/>
  <c r="Q14" i="5"/>
  <c r="M9" i="4"/>
  <c r="M31" i="4" s="1"/>
  <c r="O6" i="4"/>
  <c r="N25" i="4"/>
  <c r="N11" i="4"/>
  <c r="N14" i="4"/>
  <c r="N22" i="4"/>
  <c r="N17" i="4"/>
  <c r="N28" i="4"/>
  <c r="Q17" i="5" l="1"/>
  <c r="Q19" i="5" s="1"/>
  <c r="Q22" i="5" s="1"/>
  <c r="Q29" i="5" s="1"/>
  <c r="M32" i="4"/>
  <c r="M34" i="5" s="1"/>
  <c r="M39" i="5" s="1"/>
  <c r="M41" i="5" s="1"/>
  <c r="N20" i="4"/>
  <c r="N9" i="4"/>
  <c r="P6" i="4"/>
  <c r="O28" i="4"/>
  <c r="O14" i="4"/>
  <c r="O17" i="4"/>
  <c r="O25" i="4"/>
  <c r="O11" i="4"/>
  <c r="O22" i="4"/>
  <c r="O20" i="4" l="1"/>
  <c r="O9" i="4"/>
  <c r="Q6" i="4"/>
  <c r="P28" i="4"/>
  <c r="P14" i="4"/>
  <c r="P22" i="4"/>
  <c r="P17" i="4"/>
  <c r="P25" i="4"/>
  <c r="P11" i="4"/>
  <c r="N31" i="4"/>
  <c r="N32" i="4" s="1"/>
  <c r="N34" i="5" s="1"/>
  <c r="N39" i="5" s="1"/>
  <c r="N41" i="5" s="1"/>
  <c r="O31" i="4" l="1"/>
  <c r="O32" i="4" s="1"/>
  <c r="O34" i="5" s="1"/>
  <c r="O39" i="5" s="1"/>
  <c r="O41" i="5" s="1"/>
  <c r="P9" i="4"/>
  <c r="Q17" i="4"/>
  <c r="Q22" i="4"/>
  <c r="Q28" i="4"/>
  <c r="Q14" i="4"/>
  <c r="Q25" i="4"/>
  <c r="Q11" i="4"/>
  <c r="P20" i="4"/>
  <c r="Q20" i="4" l="1"/>
  <c r="P31" i="4"/>
  <c r="P32" i="4" s="1"/>
  <c r="P34" i="5" s="1"/>
  <c r="P39" i="5" s="1"/>
  <c r="P41" i="5" s="1"/>
  <c r="Q9" i="4"/>
  <c r="Q31" i="4" l="1"/>
  <c r="Q32" i="4" s="1"/>
  <c r="Q34" i="5" s="1"/>
  <c r="Q39" i="5" s="1"/>
  <c r="B46" i="5" s="1"/>
  <c r="Q41" i="5" l="1"/>
  <c r="B44" i="5" s="1"/>
  <c r="B47" i="5"/>
  <c r="B48" i="5" l="1"/>
  <c r="B51" i="5" s="1"/>
  <c r="B53" i="5" s="1"/>
  <c r="C76" i="5" s="1"/>
  <c r="C60" i="5" l="1"/>
  <c r="C68" i="5"/>
</calcChain>
</file>

<file path=xl/sharedStrings.xml><?xml version="1.0" encoding="utf-8"?>
<sst xmlns="http://schemas.openxmlformats.org/spreadsheetml/2006/main" count="305" uniqueCount="164">
  <si>
    <t>France </t>
  </si>
  <si>
    <t>Europe (excl. France) </t>
  </si>
  <si>
    <t>United States </t>
  </si>
  <si>
    <t>Japan </t>
  </si>
  <si>
    <t>Asia (excl. Japan) </t>
  </si>
  <si>
    <t>Other markets </t>
  </si>
  <si>
    <t>(EUR millions) </t>
  </si>
  <si>
    <t>Wines and Spirits </t>
  </si>
  <si>
    <t>Fashion and Leather Goods </t>
  </si>
  <si>
    <t>Perfumes and Cosmetics </t>
  </si>
  <si>
    <t>Watches and Jewelry </t>
  </si>
  <si>
    <t>Selective Retailing </t>
  </si>
  <si>
    <t>Other activities and eliminations </t>
  </si>
  <si>
    <t>Total </t>
  </si>
  <si>
    <t>YoY Change (%)</t>
  </si>
  <si>
    <t>2021E</t>
  </si>
  <si>
    <t>2022E</t>
  </si>
  <si>
    <t>2023E</t>
  </si>
  <si>
    <t>2024E</t>
  </si>
  <si>
    <t>2025E</t>
  </si>
  <si>
    <t>Revenue (Dollars in EUR millions)</t>
  </si>
  <si>
    <t>% Revenue Growth</t>
  </si>
  <si>
    <t>Average</t>
  </si>
  <si>
    <t>Other and holding companies </t>
  </si>
  <si>
    <t>Eliminations and not allocated (a) </t>
  </si>
  <si>
    <t>Year</t>
  </si>
  <si>
    <t>Product line</t>
  </si>
  <si>
    <t>5 Year Average</t>
  </si>
  <si>
    <t>Growth Projection</t>
  </si>
  <si>
    <t>Rationale</t>
  </si>
  <si>
    <t>USA</t>
  </si>
  <si>
    <t>China</t>
  </si>
  <si>
    <t>France</t>
  </si>
  <si>
    <t>GDP</t>
  </si>
  <si>
    <t>Consumer Spending</t>
  </si>
  <si>
    <t>Comparable Companies</t>
  </si>
  <si>
    <t>Debt</t>
  </si>
  <si>
    <t>Equity</t>
  </si>
  <si>
    <t>Beta</t>
  </si>
  <si>
    <t>Un-levered Beta</t>
  </si>
  <si>
    <t>Market Capitalization</t>
  </si>
  <si>
    <t xml:space="preserve"> Debt </t>
  </si>
  <si>
    <t>Richemont</t>
  </si>
  <si>
    <t>(in Millions)</t>
  </si>
  <si>
    <t>Burberry</t>
  </si>
  <si>
    <t>Prada</t>
  </si>
  <si>
    <t>Kering</t>
  </si>
  <si>
    <t>LVMH</t>
  </si>
  <si>
    <t>Tax Rate</t>
  </si>
  <si>
    <t>Debt (EUR in Millions)</t>
  </si>
  <si>
    <t>Short-term Borrowings</t>
  </si>
  <si>
    <t>Current Portion of Long Term Debt</t>
  </si>
  <si>
    <t>Current Portion of Leases</t>
  </si>
  <si>
    <t>Long Term Debt</t>
  </si>
  <si>
    <t>Long-Term Leases</t>
  </si>
  <si>
    <t>Total Debt</t>
  </si>
  <si>
    <t>Equity (EUR in Millions)</t>
  </si>
  <si>
    <t># of Shares outstanding (mm)</t>
  </si>
  <si>
    <t>Share Price (as of Dec 7,2021)</t>
  </si>
  <si>
    <t>Total Equity</t>
  </si>
  <si>
    <t>Value of Firm</t>
  </si>
  <si>
    <t>Amount (EUR)</t>
  </si>
  <si>
    <t>Weight</t>
  </si>
  <si>
    <t>Cost of Equity</t>
  </si>
  <si>
    <t>Cost of Debt</t>
  </si>
  <si>
    <t>Risk Free Rate</t>
  </si>
  <si>
    <t>Incremental Borrowing Rate</t>
  </si>
  <si>
    <t>Credit Spread</t>
  </si>
  <si>
    <t>Lease Obligation</t>
  </si>
  <si>
    <t>U.S. 10 Year Treasury Note as of Dec 8, 2021</t>
  </si>
  <si>
    <t>A1 rating in Moody</t>
  </si>
  <si>
    <t>Kd(before tax)</t>
  </si>
  <si>
    <t>Long Term Debt (EUR in Millions)</t>
  </si>
  <si>
    <t>((Rf+Credit Spread)*Long-term Debt+Incremental Borrowing Rate*Lease Obligation)/Total Debt</t>
  </si>
  <si>
    <t>Kd(after tax)</t>
  </si>
  <si>
    <t>Kd(before tax)*(1-Tax Rate)</t>
  </si>
  <si>
    <t>Risk Premium</t>
  </si>
  <si>
    <t>Ke</t>
  </si>
  <si>
    <t>Rf+Beta*Rp</t>
  </si>
  <si>
    <t>WACC</t>
  </si>
  <si>
    <t>EV/EBITA</t>
  </si>
  <si>
    <t>PE Ratio</t>
  </si>
  <si>
    <t>Metric</t>
  </si>
  <si>
    <t>Weighting in RV</t>
  </si>
  <si>
    <t>EBIT</t>
  </si>
  <si>
    <t>Net Income</t>
  </si>
  <si>
    <t>Cash</t>
  </si>
  <si>
    <t>Enterprise Value</t>
  </si>
  <si>
    <t>Revenue</t>
  </si>
  <si>
    <t>33.4x</t>
  </si>
  <si>
    <t>69.1x</t>
  </si>
  <si>
    <t>27.5x</t>
  </si>
  <si>
    <t>Comparable Ratio</t>
  </si>
  <si>
    <t>26.97x</t>
  </si>
  <si>
    <t>13.81x</t>
  </si>
  <si>
    <t>42.84x</t>
  </si>
  <si>
    <t>21.83x</t>
  </si>
  <si>
    <t>4.82x</t>
  </si>
  <si>
    <t>2.89x</t>
  </si>
  <si>
    <t>5.92x</t>
  </si>
  <si>
    <t>6.12x</t>
  </si>
  <si>
    <t>16x</t>
  </si>
  <si>
    <t>Weighting</t>
  </si>
  <si>
    <t>Comparable Weighted Ratio</t>
  </si>
  <si>
    <t>25.97x</t>
  </si>
  <si>
    <t>5.04x</t>
  </si>
  <si>
    <t>35.29x</t>
  </si>
  <si>
    <t>EV/Revenue</t>
  </si>
  <si>
    <t>EV/REV</t>
  </si>
  <si>
    <t>Enterprise Value (EV)</t>
  </si>
  <si>
    <t>Cash &amp; Short Term Investments (+)</t>
  </si>
  <si>
    <t>Funded Debt (-)</t>
  </si>
  <si>
    <t>Market Value</t>
  </si>
  <si>
    <t>Outstanding Shares (Millions)</t>
  </si>
  <si>
    <t>Estimated Share Price</t>
  </si>
  <si>
    <t>LVMH Revenue (Jun,30, 2021)</t>
  </si>
  <si>
    <t>LVMH EBITA(Jun,30, 2021)</t>
  </si>
  <si>
    <t>P/E</t>
  </si>
  <si>
    <t>LVMH Net Income(Jun,30, 2021)</t>
  </si>
  <si>
    <t>Price Per Share</t>
  </si>
  <si>
    <t>Reconciled RV Price Per Share</t>
  </si>
  <si>
    <t>Forecast Year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</si>
  <si>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</si>
  <si>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</si>
  <si>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</si>
  <si>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</si>
  <si>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</si>
  <si>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</si>
  <si>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</si>
  <si>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</si>
  <si>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</si>
  <si>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</si>
  <si>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Accounts Receivable</t>
  </si>
  <si>
    <t>Prepaid Exp.</t>
  </si>
  <si>
    <t>Inventory</t>
  </si>
  <si>
    <t>Accounts Payable</t>
  </si>
  <si>
    <t>Accrued Exp.</t>
  </si>
  <si>
    <t>Other Current Liabilities</t>
  </si>
  <si>
    <t>Non-Cash Current Assets</t>
  </si>
  <si>
    <t>Non-Cash Current Liabilities</t>
  </si>
  <si>
    <t>% of Revenue</t>
  </si>
  <si>
    <t>Non Working Capital</t>
  </si>
  <si>
    <t>Change on NWC (in millions)</t>
  </si>
  <si>
    <t>Total</t>
  </si>
  <si>
    <t>Historical</t>
  </si>
  <si>
    <t>Forecast</t>
  </si>
  <si>
    <t>Cost Of Goods Sold</t>
  </si>
  <si>
    <t>Gross Profit</t>
  </si>
  <si>
    <t>Selling General &amp; Admin Exp.</t>
  </si>
  <si>
    <t>Tax</t>
  </si>
  <si>
    <t>Tax rate %</t>
  </si>
  <si>
    <t>NOPAT</t>
  </si>
  <si>
    <t>Depreciation and amortization</t>
  </si>
  <si>
    <t>CAPEX</t>
  </si>
  <si>
    <t>FCFF</t>
  </si>
  <si>
    <t>Number of Shares Outstanding</t>
  </si>
  <si>
    <t>Equity Value</t>
  </si>
  <si>
    <t>PV of Terminal Value</t>
  </si>
  <si>
    <t>PV (2021-2030)</t>
  </si>
  <si>
    <t>PV of FCFF</t>
  </si>
  <si>
    <t>Terminal Growth Rate</t>
  </si>
  <si>
    <t>Terminal Value</t>
  </si>
  <si>
    <t>Funded Debt</t>
  </si>
  <si>
    <t>1 Year Revenue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</si>
</sst>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&quot;$&quot;* #,##0_);_(&quot;$&quot;* \(#,##0\);_(&quot;$&quot;* &quot;-&quot;??_);_(@_)"/>
    <numFmt numFmtId="167" formatCode="_([$€-2]\ * #,##0.00_);_([$€-2]\ * \(#,##0.00\);_([$€-2]\ * &quot;-&quot;??_);_(@_)"/>
    <numFmt numFmtId="168" formatCode="_([$€-2]\ * #,##0_);_([$€-2]\ * \(#,##0\);_([$€-2]\ * &quot;-&quot;??_);_(@_)"/>
    <numFmt numFmtId="169" formatCode="_-[$£-809]* #,##0.00_-;\-[$£-809]* #,##0.00_-;_-[$£-809]* &quot;-&quot;??_-;_-@_-"/>
    <numFmt numFmtId="170" formatCode="_ [$¥-804]* #,##0.00_ ;_ [$¥-804]* \-#,##0.00_ ;_ [$¥-804]* &quot;-&quot;??_ ;_ @_ 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Helvetica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Helvetica"/>
      <family val="2"/>
    </font>
    <font>
      <sz val="12"/>
      <color rgb="FFFF0000"/>
      <name val="Arial"/>
      <family val="2"/>
    </font>
    <font>
      <sz val="13.2"/>
      <color rgb="FF333333"/>
      <name val="Helvetica Neue"/>
      <family val="2"/>
    </font>
    <font>
      <b/>
      <sz val="16"/>
      <color rgb="FF444444"/>
      <name val="Arial"/>
      <family val="2"/>
    </font>
    <font>
      <sz val="12"/>
      <color rgb="FF202124"/>
      <name val="Arial"/>
      <family val="2"/>
    </font>
    <font>
      <b/>
      <sz val="16"/>
      <color rgb="FF4D5156"/>
      <name val="Arial"/>
      <family val="2"/>
    </font>
    <font>
      <b/>
      <sz val="12"/>
      <color rgb="FF4D5156"/>
      <name val="Arial"/>
      <family val="2"/>
    </font>
    <font>
      <sz val="12"/>
      <color rgb="FF0000DD"/>
      <name val="Verdana"/>
      <family val="2"/>
    </font>
    <font>
      <sz val="12"/>
      <color rgb="FF0000DD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DD"/>
      <name val="Verdana"/>
      <family val="2"/>
    </font>
    <font>
      <sz val="8"/>
      <color theme="1"/>
      <name val="Times"/>
      <family val="1"/>
    </font>
    <font>
      <b/>
      <sz val="12"/>
      <color rgb="FF0000DD"/>
      <name val="Verdana"/>
      <family val="2"/>
    </font>
    <font>
      <b/>
      <sz val="10"/>
      <color rgb="FF0000DD"/>
      <name val="Verdana"/>
      <family val="2"/>
    </font>
    <font>
      <sz val="8"/>
      <name val="Calibri"/>
      <family val="2"/>
      <scheme val="minor"/>
    </font>
    <font>
      <sz val="12"/>
      <color rgb="FF9A2820"/>
      <name val="Arial"/>
      <family val="2"/>
    </font>
    <font>
      <b/>
      <sz val="12"/>
      <color rgb="FF48535B"/>
      <name val="Arial"/>
      <family val="2"/>
    </font>
    <font>
      <sz val="9"/>
      <color theme="1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9" fontId="4" fillId="0" borderId="0" xfId="3" applyNumberFormat="1" applyFont="1"/>
    <xf numFmtId="0" fontId="5" fillId="0" borderId="0" xfId="0" applyFont="1"/>
    <xf numFmtId="3" fontId="4" fillId="0" borderId="0" xfId="0" applyNumberFormat="1" applyFont="1"/>
    <xf numFmtId="3" fontId="5" fillId="0" borderId="0" xfId="0" applyNumberFormat="1" applyFont="1"/>
    <xf numFmtId="9" fontId="0" fillId="0" borderId="0" xfId="3" applyFont="1"/>
    <xf numFmtId="0" fontId="0" fillId="0" borderId="0" xfId="0" applyAlignment="1">
      <alignment horizontal="center"/>
    </xf>
    <xf numFmtId="10" fontId="0" fillId="0" borderId="0" xfId="0" applyNumberFormat="1"/>
    <xf numFmtId="9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10" fontId="8" fillId="0" borderId="0" xfId="3" applyNumberFormat="1" applyFont="1"/>
    <xf numFmtId="0" fontId="6" fillId="0" borderId="0" xfId="0" applyFont="1" applyAlignment="1">
      <alignment horizontal="center"/>
    </xf>
    <xf numFmtId="10" fontId="6" fillId="2" borderId="0" xfId="0" applyNumberFormat="1" applyFont="1" applyFill="1"/>
    <xf numFmtId="0" fontId="6" fillId="0" borderId="0" xfId="0" applyFont="1" applyAlignment="1">
      <alignment horizontal="left"/>
    </xf>
    <xf numFmtId="0" fontId="6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  <xf numFmtId="165" fontId="6" fillId="0" borderId="0" xfId="1" applyNumberFormat="1" applyFont="1" applyAlignment="1"/>
    <xf numFmtId="10" fontId="6" fillId="0" borderId="0" xfId="3" applyNumberFormat="1" applyFont="1" applyAlignment="1">
      <alignment horizontal="center"/>
    </xf>
    <xf numFmtId="0" fontId="6" fillId="0" borderId="1" xfId="0" applyNumberFormat="1" applyFont="1" applyBorder="1" applyAlignment="1">
      <alignment horizontal="center" vertical="center" wrapText="1"/>
    </xf>
    <xf numFmtId="165" fontId="8" fillId="0" borderId="0" xfId="1" applyNumberFormat="1" applyFont="1" applyAlignment="1"/>
    <xf numFmtId="10" fontId="8" fillId="0" borderId="0" xfId="3" applyNumberFormat="1" applyFont="1" applyAlignment="1"/>
    <xf numFmtId="9" fontId="8" fillId="0" borderId="0" xfId="3" applyFont="1" applyAlignment="1"/>
    <xf numFmtId="10" fontId="6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10" fontId="6" fillId="2" borderId="0" xfId="0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10" fontId="6" fillId="0" borderId="0" xfId="0" applyNumberFormat="1" applyFont="1" applyFill="1" applyAlignment="1">
      <alignment horizontal="center" vertical="center" wrapText="1"/>
    </xf>
    <xf numFmtId="166" fontId="6" fillId="0" borderId="0" xfId="2" applyNumberFormat="1" applyFont="1" applyAlignment="1"/>
    <xf numFmtId="166" fontId="6" fillId="0" borderId="0" xfId="2" applyNumberFormat="1" applyFont="1" applyAlignment="1">
      <alignment horizontal="center"/>
    </xf>
    <xf numFmtId="166" fontId="6" fillId="0" borderId="0" xfId="2" applyNumberFormat="1" applyFont="1"/>
    <xf numFmtId="165" fontId="6" fillId="0" borderId="0" xfId="1" applyNumberFormat="1" applyFont="1" applyAlignment="1">
      <alignment horizontal="center" vertical="center" wrapText="1"/>
    </xf>
    <xf numFmtId="164" fontId="0" fillId="0" borderId="0" xfId="0" applyNumberFormat="1"/>
    <xf numFmtId="0" fontId="9" fillId="0" borderId="0" xfId="0" applyFont="1"/>
    <xf numFmtId="0" fontId="10" fillId="0" borderId="0" xfId="0" applyFont="1"/>
    <xf numFmtId="164" fontId="0" fillId="0" borderId="0" xfId="3" applyNumberFormat="1" applyFont="1"/>
    <xf numFmtId="10" fontId="0" fillId="0" borderId="0" xfId="3" applyNumberFormat="1" applyFont="1"/>
    <xf numFmtId="3" fontId="11" fillId="0" borderId="0" xfId="0" applyNumberFormat="1" applyFont="1"/>
    <xf numFmtId="3" fontId="12" fillId="0" borderId="0" xfId="0" applyNumberFormat="1" applyFont="1"/>
    <xf numFmtId="4" fontId="13" fillId="0" borderId="0" xfId="0" applyNumberFormat="1" applyFont="1"/>
    <xf numFmtId="0" fontId="9" fillId="0" borderId="0" xfId="0" applyFont="1" applyAlignment="1">
      <alignment horizontal="right"/>
    </xf>
    <xf numFmtId="167" fontId="6" fillId="0" borderId="0" xfId="2" applyNumberFormat="1" applyFont="1"/>
    <xf numFmtId="167" fontId="6" fillId="0" borderId="0" xfId="2" applyNumberFormat="1" applyFont="1" applyAlignment="1"/>
    <xf numFmtId="4" fontId="14" fillId="0" borderId="0" xfId="0" applyNumberFormat="1" applyFont="1"/>
    <xf numFmtId="167" fontId="6" fillId="0" borderId="0" xfId="0" applyNumberFormat="1" applyFont="1"/>
    <xf numFmtId="168" fontId="6" fillId="0" borderId="0" xfId="0" applyNumberFormat="1" applyFont="1"/>
    <xf numFmtId="168" fontId="6" fillId="0" borderId="0" xfId="0" applyNumberFormat="1" applyFont="1" applyAlignment="1">
      <alignment vertical="center"/>
    </xf>
    <xf numFmtId="168" fontId="6" fillId="0" borderId="0" xfId="0" applyNumberFormat="1" applyFont="1" applyAlignment="1">
      <alignment horizontal="center" vertical="center"/>
    </xf>
    <xf numFmtId="169" fontId="6" fillId="0" borderId="0" xfId="0" applyNumberFormat="1" applyFont="1"/>
    <xf numFmtId="170" fontId="6" fillId="0" borderId="0" xfId="0" applyNumberFormat="1" applyFont="1"/>
    <xf numFmtId="0" fontId="16" fillId="0" borderId="0" xfId="0" applyFont="1" applyAlignment="1">
      <alignment horizontal="center"/>
    </xf>
    <xf numFmtId="0" fontId="16" fillId="0" borderId="0" xfId="0" applyFont="1"/>
    <xf numFmtId="10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 applyAlignment="1">
      <alignment horizontal="center"/>
    </xf>
    <xf numFmtId="0" fontId="6" fillId="0" borderId="1" xfId="0" applyFont="1" applyBorder="1"/>
    <xf numFmtId="167" fontId="6" fillId="0" borderId="1" xfId="0" applyNumberFormat="1" applyFont="1" applyBorder="1"/>
    <xf numFmtId="2" fontId="6" fillId="0" borderId="1" xfId="0" applyNumberFormat="1" applyFont="1" applyBorder="1" applyAlignment="1">
      <alignment horizontal="center"/>
    </xf>
    <xf numFmtId="2" fontId="6" fillId="2" borderId="0" xfId="0" applyNumberFormat="1" applyFont="1" applyFill="1" applyAlignment="1">
      <alignment horizontal="center"/>
    </xf>
    <xf numFmtId="0" fontId="0" fillId="0" borderId="1" xfId="0" applyBorder="1"/>
    <xf numFmtId="2" fontId="6" fillId="3" borderId="0" xfId="0" applyNumberFormat="1" applyFont="1" applyFill="1" applyAlignment="1">
      <alignment horizontal="center"/>
    </xf>
    <xf numFmtId="0" fontId="17" fillId="0" borderId="0" xfId="0" applyFont="1"/>
    <xf numFmtId="0" fontId="18" fillId="0" borderId="0" xfId="0" applyFont="1"/>
    <xf numFmtId="0" fontId="17" fillId="0" borderId="9" xfId="0" applyFont="1" applyBorder="1"/>
    <xf numFmtId="0" fontId="17" fillId="0" borderId="10" xfId="0" applyFont="1" applyBorder="1"/>
    <xf numFmtId="168" fontId="17" fillId="0" borderId="6" xfId="0" applyNumberFormat="1" applyFont="1" applyBorder="1"/>
    <xf numFmtId="168" fontId="17" fillId="0" borderId="8" xfId="0" applyNumberFormat="1" applyFont="1" applyBorder="1"/>
    <xf numFmtId="0" fontId="17" fillId="0" borderId="11" xfId="0" applyFont="1" applyBorder="1"/>
    <xf numFmtId="0" fontId="18" fillId="0" borderId="10" xfId="0" applyFont="1" applyBorder="1" applyAlignment="1">
      <alignment horizontal="center"/>
    </xf>
    <xf numFmtId="167" fontId="17" fillId="0" borderId="0" xfId="0" applyNumberFormat="1" applyFont="1"/>
    <xf numFmtId="0" fontId="16" fillId="0" borderId="3" xfId="0" applyFont="1" applyBorder="1" applyAlignment="1">
      <alignment horizontal="center"/>
    </xf>
    <xf numFmtId="0" fontId="6" fillId="0" borderId="9" xfId="0" applyFont="1" applyBorder="1"/>
    <xf numFmtId="0" fontId="6" fillId="0" borderId="11" xfId="0" applyFont="1" applyBorder="1"/>
    <xf numFmtId="167" fontId="17" fillId="0" borderId="9" xfId="0" applyNumberFormat="1" applyFont="1" applyBorder="1"/>
    <xf numFmtId="168" fontId="6" fillId="0" borderId="2" xfId="0" applyNumberFormat="1" applyFont="1" applyBorder="1"/>
    <xf numFmtId="10" fontId="6" fillId="0" borderId="0" xfId="3" applyNumberFormat="1" applyFont="1"/>
    <xf numFmtId="0" fontId="16" fillId="0" borderId="0" xfId="0" applyFont="1" applyBorder="1"/>
    <xf numFmtId="168" fontId="6" fillId="0" borderId="0" xfId="0" applyNumberFormat="1" applyFont="1" applyBorder="1"/>
    <xf numFmtId="0" fontId="17" fillId="0" borderId="5" xfId="0" applyFont="1" applyBorder="1" applyAlignment="1">
      <alignment horizontal="left"/>
    </xf>
    <xf numFmtId="10" fontId="6" fillId="0" borderId="6" xfId="3" applyNumberFormat="1" applyFont="1" applyBorder="1"/>
    <xf numFmtId="0" fontId="17" fillId="0" borderId="7" xfId="0" applyFont="1" applyBorder="1" applyAlignment="1">
      <alignment horizontal="left"/>
    </xf>
    <xf numFmtId="168" fontId="6" fillId="0" borderId="1" xfId="0" applyNumberFormat="1" applyFont="1" applyBorder="1"/>
    <xf numFmtId="10" fontId="6" fillId="0" borderId="8" xfId="3" applyNumberFormat="1" applyFont="1" applyBorder="1"/>
    <xf numFmtId="0" fontId="16" fillId="0" borderId="12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4" fontId="19" fillId="0" borderId="0" xfId="0" applyNumberFormat="1" applyFont="1"/>
    <xf numFmtId="168" fontId="6" fillId="0" borderId="0" xfId="2" applyNumberFormat="1" applyFont="1"/>
    <xf numFmtId="0" fontId="11" fillId="0" borderId="0" xfId="0" applyFont="1"/>
    <xf numFmtId="0" fontId="20" fillId="0" borderId="0" xfId="0" applyFont="1"/>
    <xf numFmtId="0" fontId="0" fillId="0" borderId="0" xfId="0" applyBorder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4" fontId="21" fillId="0" borderId="0" xfId="0" applyNumberFormat="1" applyFont="1"/>
    <xf numFmtId="4" fontId="22" fillId="0" borderId="0" xfId="0" applyNumberFormat="1" applyFont="1"/>
    <xf numFmtId="0" fontId="21" fillId="0" borderId="0" xfId="0" applyFont="1"/>
    <xf numFmtId="0" fontId="6" fillId="0" borderId="0" xfId="0" applyFont="1" applyFill="1" applyBorder="1" applyAlignment="1">
      <alignment horizontal="center"/>
    </xf>
    <xf numFmtId="0" fontId="15" fillId="0" borderId="0" xfId="0" applyFont="1"/>
    <xf numFmtId="0" fontId="24" fillId="0" borderId="0" xfId="0" applyFont="1"/>
    <xf numFmtId="10" fontId="8" fillId="0" borderId="0" xfId="0" applyNumberFormat="1" applyFont="1"/>
    <xf numFmtId="0" fontId="8" fillId="0" borderId="0" xfId="3" applyNumberFormat="1" applyFont="1" applyAlignment="1"/>
    <xf numFmtId="9" fontId="8" fillId="0" borderId="0" xfId="0" applyNumberFormat="1" applyFont="1"/>
    <xf numFmtId="164" fontId="8" fillId="0" borderId="0" xfId="0" applyNumberFormat="1" applyFont="1"/>
    <xf numFmtId="168" fontId="17" fillId="0" borderId="0" xfId="0" applyNumberFormat="1" applyFont="1"/>
    <xf numFmtId="168" fontId="18" fillId="0" borderId="0" xfId="0" applyNumberFormat="1" applyFont="1"/>
    <xf numFmtId="168" fontId="16" fillId="0" borderId="0" xfId="0" applyNumberFormat="1" applyFont="1"/>
    <xf numFmtId="0" fontId="16" fillId="0" borderId="0" xfId="0" applyFont="1" applyAlignment="1"/>
    <xf numFmtId="0" fontId="25" fillId="0" borderId="0" xfId="0" applyFont="1" applyAlignment="1"/>
    <xf numFmtId="0" fontId="16" fillId="0" borderId="13" xfId="0" applyFont="1" applyBorder="1"/>
    <xf numFmtId="168" fontId="16" fillId="0" borderId="13" xfId="0" applyNumberFormat="1" applyFont="1" applyBorder="1"/>
    <xf numFmtId="0" fontId="17" fillId="0" borderId="0" xfId="0" applyFont="1" applyBorder="1"/>
    <xf numFmtId="0" fontId="17" fillId="0" borderId="0" xfId="0" applyFont="1" applyBorder="1" applyAlignment="1">
      <alignment horizontal="center"/>
    </xf>
    <xf numFmtId="168" fontId="16" fillId="0" borderId="0" xfId="0" applyNumberFormat="1" applyFont="1" applyBorder="1"/>
    <xf numFmtId="0" fontId="6" fillId="3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6" fillId="0" borderId="0" xfId="0" applyFont="1"/>
    <xf numFmtId="4" fontId="6" fillId="0" borderId="0" xfId="0" applyNumberFormat="1" applyFont="1"/>
    <xf numFmtId="168" fontId="6" fillId="0" borderId="0" xfId="0" applyNumberFormat="1" applyFont="1" applyAlignment="1"/>
    <xf numFmtId="9" fontId="6" fillId="0" borderId="0" xfId="0" applyNumberFormat="1" applyFont="1"/>
    <xf numFmtId="9" fontId="8" fillId="0" borderId="0" xfId="3" applyFont="1"/>
    <xf numFmtId="0" fontId="6" fillId="4" borderId="0" xfId="0" applyFont="1" applyFill="1"/>
    <xf numFmtId="0" fontId="6" fillId="5" borderId="0" xfId="0" applyFont="1" applyFill="1" applyAlignment="1">
      <alignment horizontal="center"/>
    </xf>
    <xf numFmtId="10" fontId="6" fillId="5" borderId="0" xfId="0" applyNumberFormat="1" applyFont="1" applyFill="1"/>
    <xf numFmtId="0" fontId="6" fillId="0" borderId="0" xfId="0" applyFont="1" applyFill="1" applyAlignment="1">
      <alignment horizontal="center"/>
    </xf>
    <xf numFmtId="10" fontId="6" fillId="0" borderId="0" xfId="0" applyNumberFormat="1" applyFont="1" applyFill="1"/>
    <xf numFmtId="8" fontId="6" fillId="0" borderId="0" xfId="0" applyNumberFormat="1" applyFont="1"/>
    <xf numFmtId="168" fontId="6" fillId="2" borderId="0" xfId="0" applyNumberFormat="1" applyFont="1" applyFill="1"/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9" fontId="6" fillId="6" borderId="0" xfId="0" applyNumberFormat="1" applyFont="1" applyFill="1"/>
    <xf numFmtId="164" fontId="6" fillId="6" borderId="0" xfId="0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21-C14A-B4CE-FDC461496A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21-C14A-B4CE-FDC461496A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21-C14A-B4CE-FDC461496A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221-C14A-B4CE-FDC461496A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221-C14A-B4CE-FDC461496A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221-C14A-B4CE-FDC461496A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Sheet1!$A$2:$A$7</c:f>
              <c:strCache>
                <c:ptCount val="6"/>
                <c:pt idx="0">
                  <c:v>France </c:v>
                </c:pt>
                <c:pt idx="1">
                  <c:v>Europe (excl. France) </c:v>
                </c:pt>
                <c:pt idx="2">
                  <c:v>United States </c:v>
                </c:pt>
                <c:pt idx="3">
                  <c:v>Japan </c:v>
                </c:pt>
                <c:pt idx="4">
                  <c:v>Asia (excl. Japan) </c:v>
                </c:pt>
                <c:pt idx="5">
                  <c:v>Other markets </c:v>
                </c:pt>
              </c:strCache>
            </c:strRef>
          </c:cat>
          <c:val>
            <c:numRef>
              <c:f>Sheet1!$B$2:$B$7</c:f>
              <c:numCache>
                <c:formatCode>0%</c:formatCode>
                <c:ptCount val="6"/>
                <c:pt idx="0">
                  <c:v>0.08</c:v>
                </c:pt>
                <c:pt idx="1">
                  <c:v>0.16</c:v>
                </c:pt>
                <c:pt idx="2">
                  <c:v>0.24</c:v>
                </c:pt>
                <c:pt idx="3">
                  <c:v>7.0000000000000007E-2</c:v>
                </c:pt>
                <c:pt idx="4">
                  <c:v>0.34</c:v>
                </c:pt>
                <c:pt idx="5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3-6846-AFC4-A8EBCD16C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A4-C240-BDB7-63185D2FA2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A4-C240-BDB7-63185D2FA2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9A4-C240-BDB7-63185D2FA2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9A4-C240-BDB7-63185D2FA2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9A4-C240-BDB7-63185D2FA2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Sheet1!$A$17:$A$21</c:f>
              <c:strCache>
                <c:ptCount val="5"/>
                <c:pt idx="0">
                  <c:v>Wines and Spirits </c:v>
                </c:pt>
                <c:pt idx="1">
                  <c:v>Fashion and Leather Goods </c:v>
                </c:pt>
                <c:pt idx="2">
                  <c:v>Perfumes and Cosmetics </c:v>
                </c:pt>
                <c:pt idx="3">
                  <c:v>Watches and Jewelry </c:v>
                </c:pt>
                <c:pt idx="4">
                  <c:v>Selective Retailing </c:v>
                </c:pt>
              </c:strCache>
            </c:strRef>
          </c:cat>
          <c:val>
            <c:numRef>
              <c:f>Sheet1!$B$17:$B$21</c:f>
              <c:numCache>
                <c:formatCode>0%</c:formatCode>
                <c:ptCount val="5"/>
                <c:pt idx="0">
                  <c:v>0.10649257575418243</c:v>
                </c:pt>
                <c:pt idx="1">
                  <c:v>0.47495016908915816</c:v>
                </c:pt>
                <c:pt idx="2">
                  <c:v>0.11753376184184004</c:v>
                </c:pt>
                <c:pt idx="3">
                  <c:v>7.5160690690018142E-2</c:v>
                </c:pt>
                <c:pt idx="4">
                  <c:v>0.22743051667375871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2-D843-A15C-E21AC7E3F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YoY Change (%)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4"/>
              <c:layout>
                <c:manualLayout>
                  <c:x val="-6.7186993712117032E-2"/>
                  <c:y val="6.0231481481481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A13-2F42-A4AA-A820916F74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Sheet1!$C$51:$G$51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Sheet1!$C$53:$G$53</c:f>
              <c:numCache>
                <c:formatCode>0.00%</c:formatCode>
                <c:ptCount val="5"/>
                <c:pt idx="0">
                  <c:v>5.4875995960049377E-2</c:v>
                </c:pt>
                <c:pt idx="1">
                  <c:v>0.13393617021276596</c:v>
                </c:pt>
                <c:pt idx="2">
                  <c:v>9.8273759264471336E-2</c:v>
                </c:pt>
                <c:pt idx="3">
                  <c:v>0.14615811728526887</c:v>
                </c:pt>
                <c:pt idx="4">
                  <c:v>-0.16804546301471959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13-2F42-A4AA-A820916F7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790400"/>
        <c:axId val="958955088"/>
      </c:lineChart>
      <c:catAx>
        <c:axId val="95879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55088"/>
        <c:crosses val="autoZero"/>
        <c:auto val="1"/>
        <c:lblAlgn val="ctr"/>
        <c:lblOffset val="100"/>
        <c:noMultiLvlLbl val="0"/>
      </c:catAx>
      <c:valAx>
        <c:axId val="958955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YoY Change (%)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9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Sheet1!$B$73</c:f>
              <c:strCache>
                <c:ptCount val="1"/>
                <c:pt idx="0">
                  <c:v>Wines and Spirits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Sheet1!$A$75:$A$79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Sheet1!$B$75:$B$79</c:f>
              <c:numCache>
                <c:formatCode>_("$"* #,##0_);_("$"* \(#,##0\);_("$"* "-"??_);_(@_)</c:formatCode>
                <c:ptCount val="5"/>
                <c:pt idx="0">
                  <c:v>4835</c:v>
                </c:pt>
                <c:pt idx="1">
                  <c:v>5084</c:v>
                </c:pt>
                <c:pt idx="2">
                  <c:v>5143</c:v>
                </c:pt>
                <c:pt idx="3">
                  <c:v>5576</c:v>
                </c:pt>
                <c:pt idx="4">
                  <c:v>4755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8B-FE44-A626-7D6DFFA76555}"/>
            </c:ext>
          </c:extLst>
        </c:ser>
        <c:ser>
          <c:idx val="1"/>
          <c:order val="1"/>
          <c:tx>
            <c:strRef>
              <c:f>Sheet1!$C$73</c:f>
              <c:strCache>
                <c:ptCount val="1"/>
                <c:pt idx="0">
                  <c:v>Fashion and Leather Goods 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Sheet1!$A$75:$A$79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Sheet1!$C$75:$C$79</c:f>
              <c:numCache>
                <c:formatCode>_("$"* #,##0_);_("$"* \(#,##0\);_("$"* "-"??_);_(@_)</c:formatCode>
                <c:ptCount val="5"/>
                <c:pt idx="0">
                  <c:v>12775</c:v>
                </c:pt>
                <c:pt idx="1">
                  <c:v>15472</c:v>
                </c:pt>
                <c:pt idx="2">
                  <c:v>18455</c:v>
                </c:pt>
                <c:pt idx="3">
                  <c:v>22237</c:v>
                </c:pt>
                <c:pt idx="4">
                  <c:v>21207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8B-FE44-A626-7D6DFFA76555}"/>
            </c:ext>
          </c:extLst>
        </c:ser>
        <c:ser>
          <c:idx val="2"/>
          <c:order val="2"/>
          <c:tx>
            <c:strRef>
              <c:f>Sheet1!$D$73</c:f>
              <c:strCache>
                <c:ptCount val="1"/>
                <c:pt idx="0">
                  <c:v>Perfumes and Cosmetics 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Sheet1!$A$75:$A$79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Sheet1!$D$75:$D$79</c:f>
              <c:numCache>
                <c:formatCode>_("$"* #,##0_);_("$"* \(#,##0\);_("$"* "-"??_);_(@_)</c:formatCode>
                <c:ptCount val="5"/>
                <c:pt idx="0">
                  <c:v>4953</c:v>
                </c:pt>
                <c:pt idx="1">
                  <c:v>5560</c:v>
                </c:pt>
                <c:pt idx="2">
                  <c:v>6092</c:v>
                </c:pt>
                <c:pt idx="3">
                  <c:v>6835</c:v>
                </c:pt>
                <c:pt idx="4">
                  <c:v>5248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8B-FE44-A626-7D6DFFA76555}"/>
            </c:ext>
          </c:extLst>
        </c:ser>
        <c:ser>
          <c:idx val="3"/>
          <c:order val="3"/>
          <c:tx>
            <c:strRef>
              <c:f>Sheet1!$E$73</c:f>
              <c:strCache>
                <c:ptCount val="1"/>
                <c:pt idx="0">
                  <c:v>Watches and Jewelry 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Sheet1!$A$75:$A$79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Sheet1!$E$75:$E$79</c:f>
              <c:numCache>
                <c:formatCode>_("$"* #,##0_);_("$"* \(#,##0\);_("$"* "-"??_);_(@_)</c:formatCode>
                <c:ptCount val="5"/>
                <c:pt idx="0">
                  <c:v>3468</c:v>
                </c:pt>
                <c:pt idx="1">
                  <c:v>3805</c:v>
                </c:pt>
                <c:pt idx="2">
                  <c:v>4123</c:v>
                </c:pt>
                <c:pt idx="3">
                  <c:v>4405</c:v>
                </c:pt>
                <c:pt idx="4">
                  <c:v>3356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8B-FE44-A626-7D6DFFA76555}"/>
            </c:ext>
          </c:extLst>
        </c:ser>
        <c:ser>
          <c:idx val="4"/>
          <c:order val="4"/>
          <c:tx>
            <c:strRef>
              <c:f>Sheet1!$F$73</c:f>
              <c:strCache>
                <c:ptCount val="1"/>
                <c:pt idx="0">
                  <c:v>Selective Retailing 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Sheet1!$A$75:$A$79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Sheet1!$F$75:$F$79</c:f>
              <c:numCache>
                <c:formatCode>_("$"* #,##0_);_("$"* \(#,##0\);_("$"* "-"??_);_(@_)</c:formatCode>
                <c:ptCount val="5"/>
                <c:pt idx="0">
                  <c:v>11973</c:v>
                </c:pt>
                <c:pt idx="1">
                  <c:v>13311</c:v>
                </c:pt>
                <c:pt idx="2">
                  <c:v>13646</c:v>
                </c:pt>
                <c:pt idx="3">
                  <c:v>14791</c:v>
                </c:pt>
                <c:pt idx="4">
                  <c:v>10155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8B-FE44-A626-7D6DFFA76555}"/>
            </c:ext>
          </c:extLst>
        </c:ser>
        <c:ser>
          <c:idx val="5"/>
          <c:order val="5"/>
          <c:tx>
            <c:strRef>
              <c:f>Sheet1!$G$73</c:f>
              <c:strCache>
                <c:ptCount val="1"/>
                <c:pt idx="0">
                  <c:v>Other and holding companies 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Sheet1!$A$75:$A$79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Sheet1!$G$75:$G$79</c:f>
              <c:numCache>
                <c:formatCode>_("$"* #,##0_);_("$"* \(#,##0\);_("$"* "-"??_);_(@_)</c:formatCode>
                <c:ptCount val="5"/>
                <c:pt idx="0">
                  <c:v>638</c:v>
                </c:pt>
                <c:pt idx="1">
                  <c:v>651</c:v>
                </c:pt>
                <c:pt idx="2">
                  <c:v>714</c:v>
                </c:pt>
                <c:pt idx="3">
                  <c:v>1214</c:v>
                </c:pt>
                <c:pt idx="4">
                  <c:v>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8B-FE44-A626-7D6DFFA76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2458000"/>
        <c:axId val="322459648"/>
      </c:barChart>
      <c:catAx>
        <c:axId val="32245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59648"/>
        <c:crosses val="autoZero"/>
        <c:auto val="1"/>
        <c:lblAlgn val="ctr"/>
        <c:lblOffset val="100"/>
        <c:noMultiLvlLbl val="0"/>
      </c:catAx>
      <c:valAx>
        <c:axId val="32245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 in millions of EUR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5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Sheet1!$A$33</c:f>
              <c:strCache>
                <c:ptCount val="1"/>
                <c:pt idx="0">
                  <c:v>USA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Sheet1!$B$32:$K$32</c:f>
              <c:strCache>
                <c:ptCount val="10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2021E</c:v>
                </c:pt>
                <c:pt idx="6">
                  <c:v>2022E</c:v>
                </c:pt>
                <c:pt idx="7">
                  <c:v>2023E</c:v>
                </c:pt>
                <c:pt idx="8">
                  <c:v>2024E</c:v>
                </c:pt>
                <c:pt idx="9">
                  <c:v>2025E</c:v>
                </c:pt>
              </c:strCache>
            </c:strRef>
          </c:cat>
          <c:val>
            <c:numRef>
              <c:f>Sheet1!$B$33:$K$33</c:f>
              <c:numCache>
                <c:formatCode>0.00%</c:formatCode>
                <c:ptCount val="10"/>
                <c:pt idx="0">
                  <c:v>1.7100000000000001E-2</c:v>
                </c:pt>
                <c:pt idx="1">
                  <c:v>2.3300000000000001E-2</c:v>
                </c:pt>
                <c:pt idx="2" formatCode="0%">
                  <c:v>0.03</c:v>
                </c:pt>
                <c:pt idx="3">
                  <c:v>2.1600000000000001E-2</c:v>
                </c:pt>
                <c:pt idx="4">
                  <c:v>-3.5099999999999999E-2</c:v>
                </c:pt>
                <c:pt idx="5">
                  <c:v>6.3899999999999998E-2</c:v>
                </c:pt>
                <c:pt idx="6">
                  <c:v>3.5200000000000002E-2</c:v>
                </c:pt>
                <c:pt idx="7">
                  <c:v>1.41E-2</c:v>
                </c:pt>
                <c:pt idx="8">
                  <c:v>1.4800000000000001E-2</c:v>
                </c:pt>
                <c:pt idx="9">
                  <c:v>1.61E-2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9-5343-B4A5-8B96C774BAAB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China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Sheet1!$B$32:$K$32</c:f>
              <c:strCache>
                <c:ptCount val="10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2021E</c:v>
                </c:pt>
                <c:pt idx="6">
                  <c:v>2022E</c:v>
                </c:pt>
                <c:pt idx="7">
                  <c:v>2023E</c:v>
                </c:pt>
                <c:pt idx="8">
                  <c:v>2024E</c:v>
                </c:pt>
                <c:pt idx="9">
                  <c:v>2025E</c:v>
                </c:pt>
              </c:strCache>
            </c:strRef>
          </c:cat>
          <c:val>
            <c:numRef>
              <c:f>Sheet1!$B$34:$K$34</c:f>
              <c:numCache>
                <c:formatCode>0.00%</c:formatCode>
                <c:ptCount val="10"/>
                <c:pt idx="0">
                  <c:v>6.8699999999999997E-2</c:v>
                </c:pt>
                <c:pt idx="1">
                  <c:v>6.9500000000000006E-2</c:v>
                </c:pt>
                <c:pt idx="2">
                  <c:v>6.7299999999999999E-2</c:v>
                </c:pt>
                <c:pt idx="3">
                  <c:v>5.8200000000000002E-2</c:v>
                </c:pt>
                <c:pt idx="4">
                  <c:v>2.2700000000000001E-2</c:v>
                </c:pt>
                <c:pt idx="5">
                  <c:v>8.4400000000000003E-2</c:v>
                </c:pt>
                <c:pt idx="6">
                  <c:v>5.57E-2</c:v>
                </c:pt>
                <c:pt idx="7">
                  <c:v>5.4399999999999997E-2</c:v>
                </c:pt>
                <c:pt idx="8">
                  <c:v>5.2699999999999997E-2</c:v>
                </c:pt>
                <c:pt idx="9">
                  <c:v>4.8599999999999997E-2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D9-5343-B4A5-8B96C774BAAB}"/>
            </c:ext>
          </c:extLst>
        </c:ser>
        <c:ser>
          <c:idx val="2"/>
          <c:order val="2"/>
          <c:tx>
            <c:strRef>
              <c:f>Sheet1!$A$35</c:f>
              <c:strCache>
                <c:ptCount val="1"/>
                <c:pt idx="0">
                  <c:v>France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Sheet1!$B$32:$K$32</c:f>
              <c:strCache>
                <c:ptCount val="10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2021E</c:v>
                </c:pt>
                <c:pt idx="6">
                  <c:v>2022E</c:v>
                </c:pt>
                <c:pt idx="7">
                  <c:v>2023E</c:v>
                </c:pt>
                <c:pt idx="8">
                  <c:v>2024E</c:v>
                </c:pt>
                <c:pt idx="9">
                  <c:v>2025E</c:v>
                </c:pt>
              </c:strCache>
            </c:strRef>
          </c:cat>
          <c:val>
            <c:numRef>
              <c:f>Sheet1!$B$35:$K$35</c:f>
              <c:numCache>
                <c:formatCode>0.00%</c:formatCode>
                <c:ptCount val="10"/>
                <c:pt idx="0">
                  <c:v>1.0999999999999999E-2</c:v>
                </c:pt>
                <c:pt idx="1">
                  <c:v>2.29E-2</c:v>
                </c:pt>
                <c:pt idx="2">
                  <c:v>1.8700000000000001E-2</c:v>
                </c:pt>
                <c:pt idx="3">
                  <c:v>1.49E-2</c:v>
                </c:pt>
                <c:pt idx="4">
                  <c:v>-8.2299999999999998E-2</c:v>
                </c:pt>
                <c:pt idx="5">
                  <c:v>5.8099999999999999E-2</c:v>
                </c:pt>
                <c:pt idx="6">
                  <c:v>4.2200000000000001E-2</c:v>
                </c:pt>
                <c:pt idx="7">
                  <c:v>1.7100000000000001E-2</c:v>
                </c:pt>
                <c:pt idx="8">
                  <c:v>1.4800000000000001E-2</c:v>
                </c:pt>
                <c:pt idx="9">
                  <c:v>1.3599999999999999E-2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D9-5343-B4A5-8B96C774B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092672"/>
        <c:axId val="926505232"/>
      </c:lineChart>
      <c:catAx>
        <c:axId val="92609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505232"/>
        <c:crosses val="autoZero"/>
        <c:auto val="1"/>
        <c:lblAlgn val="ctr"/>
        <c:lblOffset val="100"/>
        <c:noMultiLvlLbl val="0"/>
      </c:catAx>
      <c:valAx>
        <c:axId val="926505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YoY Change (%)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09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Sheet1!$M$33</c:f>
              <c:strCache>
                <c:ptCount val="1"/>
                <c:pt idx="0">
                  <c:v>USA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Sheet1!$N$32:$U$32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2021E</c:v>
                </c:pt>
                <c:pt idx="6">
                  <c:v>2022E</c:v>
                </c:pt>
                <c:pt idx="7">
                  <c:v>2023E</c:v>
                </c:pt>
              </c:strCache>
            </c:strRef>
          </c:cat>
          <c:val>
            <c:numRef>
              <c:f>Sheet1!$N$33:$U$33</c:f>
              <c:numCache>
                <c:formatCode>0.0%</c:formatCode>
                <c:ptCount val="8"/>
                <c:pt idx="0">
                  <c:v>2.4E-2</c:v>
                </c:pt>
                <c:pt idx="1">
                  <c:v>4.8000000000000001E-2</c:v>
                </c:pt>
                <c:pt idx="2">
                  <c:v>1.9E-2</c:v>
                </c:pt>
                <c:pt idx="3">
                  <c:v>0.03</c:v>
                </c:pt>
                <c:pt idx="4">
                  <c:v>-2.7E-2</c:v>
                </c:pt>
                <c:pt idx="5">
                  <c:v>3.7999999999999999E-2</c:v>
                </c:pt>
                <c:pt idx="6">
                  <c:v>2.9000000000000001E-2</c:v>
                </c:pt>
                <c:pt idx="7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A8-DC43-85B9-1B19A31363DB}"/>
            </c:ext>
          </c:extLst>
        </c:ser>
        <c:ser>
          <c:idx val="1"/>
          <c:order val="1"/>
          <c:tx>
            <c:strRef>
              <c:f>Sheet1!$M$34</c:f>
              <c:strCache>
                <c:ptCount val="1"/>
                <c:pt idx="0">
                  <c:v>China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Sheet1!$N$32:$U$32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2021E</c:v>
                </c:pt>
                <c:pt idx="6">
                  <c:v>2022E</c:v>
                </c:pt>
                <c:pt idx="7">
                  <c:v>2023E</c:v>
                </c:pt>
              </c:strCache>
            </c:strRef>
          </c:cat>
          <c:val>
            <c:numRef>
              <c:f>Sheet1!$N$34:$U$34</c:f>
              <c:numCache>
                <c:formatCode>0.0%</c:formatCode>
                <c:ptCount val="8"/>
                <c:pt idx="0">
                  <c:v>3.9800000000000002E-2</c:v>
                </c:pt>
                <c:pt idx="1">
                  <c:v>9.2100000000000001E-2</c:v>
                </c:pt>
                <c:pt idx="2">
                  <c:v>0.12809999999999999</c:v>
                </c:pt>
                <c:pt idx="3">
                  <c:v>4.7100000000000003E-2</c:v>
                </c:pt>
                <c:pt idx="4">
                  <c:v>3.0000000000000001E-3</c:v>
                </c:pt>
                <c:pt idx="5">
                  <c:v>5.6000000000000001E-2</c:v>
                </c:pt>
                <c:pt idx="6">
                  <c:v>5.8999999999999997E-2</c:v>
                </c:pt>
                <c:pt idx="7">
                  <c:v>5.3999999999999999E-2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A8-DC43-85B9-1B19A31363DB}"/>
            </c:ext>
          </c:extLst>
        </c:ser>
        <c:ser>
          <c:idx val="2"/>
          <c:order val="2"/>
          <c:tx>
            <c:strRef>
              <c:f>Sheet1!$M$35</c:f>
              <c:strCache>
                <c:ptCount val="1"/>
                <c:pt idx="0">
                  <c:v>France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Sheet1!$N$32:$U$32</c:f>
              <c:strCach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2021E</c:v>
                </c:pt>
                <c:pt idx="6">
                  <c:v>2022E</c:v>
                </c:pt>
                <c:pt idx="7">
                  <c:v>2023E</c:v>
                </c:pt>
              </c:strCache>
            </c:strRef>
          </c:cat>
          <c:val>
            <c:numRef>
              <c:f>Sheet1!$N$35:$U$35</c:f>
              <c:numCache>
                <c:formatCode>0.0%</c:formatCode>
                <c:ptCount val="8"/>
                <c:pt idx="0" formatCode="0.00%">
                  <c:v>1.78E-2</c:v>
                </c:pt>
                <c:pt idx="1">
                  <c:v>4.3999999999999997E-2</c:v>
                </c:pt>
                <c:pt idx="2">
                  <c:v>7.2300000000000003E-2</c:v>
                </c:pt>
                <c:pt idx="3">
                  <c:v>2.8899999999999999E-2</c:v>
                </c:pt>
                <c:pt idx="4">
                  <c:v>4.7600000000000003E-2</c:v>
                </c:pt>
                <c:pt idx="5">
                  <c:v>7.8E-2</c:v>
                </c:pt>
                <c:pt idx="6">
                  <c:v>-6.4000000000000003E-3</c:v>
                </c:pt>
                <c:pt idx="7">
                  <c:v>1.9E-2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A8-DC43-85B9-1B19A3136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928768"/>
        <c:axId val="340930416"/>
      </c:lineChart>
      <c:catAx>
        <c:axId val="34092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30416"/>
        <c:crosses val="autoZero"/>
        <c:auto val="1"/>
        <c:lblAlgn val="ctr"/>
        <c:lblOffset val="100"/>
        <c:noMultiLvlLbl val="0"/>
      </c:catAx>
      <c:valAx>
        <c:axId val="3409304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900" b="0" i="0" u="none" strike="noStrike" cap="all" baseline="0">
                    <a:effectLst/>
                  </a:rPr>
                  <a:t>YoY Change (%)</a:t>
                </a:r>
                <a:r>
                  <a:rPr lang="en-CA" sz="900" b="0" i="0" u="none" strike="noStrike" cap="all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2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19050</xdr:rowOff>
    </xdr:from>
    <xdr:to>
      <xdr:col>8</xdr:col>
      <xdr:colOff>615950</xdr:colOff>
      <xdr:row>13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55996F-8087-BF45-9FDB-B1FA0A5A3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177800</xdr:colOff>
      <xdr:row>17</xdr:row>
      <xdr:rowOff>6350</xdr:rowOff>
    </xdr:from>
    <xdr:to>
      <xdr:col>8</xdr:col>
      <xdr:colOff>622300</xdr:colOff>
      <xdr:row>29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99A962-2BA4-5041-8AF5-9CF30CB09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698500</xdr:colOff>
      <xdr:row>55</xdr:row>
      <xdr:rowOff>31750</xdr:rowOff>
    </xdr:from>
    <xdr:to>
      <xdr:col>7</xdr:col>
      <xdr:colOff>127000</xdr:colOff>
      <xdr:row>68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FC87315-4D5F-7F48-B8C7-5E4B5685F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425450</xdr:colOff>
      <xdr:row>80</xdr:row>
      <xdr:rowOff>120650</xdr:rowOff>
    </xdr:from>
    <xdr:to>
      <xdr:col>6</xdr:col>
      <xdr:colOff>698500</xdr:colOff>
      <xdr:row>96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50B2000-803D-EF4E-B66C-61E9DF36D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298450</xdr:colOff>
      <xdr:row>35</xdr:row>
      <xdr:rowOff>133350</xdr:rowOff>
    </xdr:from>
    <xdr:to>
      <xdr:col>8</xdr:col>
      <xdr:colOff>755650</xdr:colOff>
      <xdr:row>49</xdr:row>
      <xdr:rowOff>31750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8B060ED-2493-CE4C-869E-D5CBD14CC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311150</xdr:colOff>
      <xdr:row>35</xdr:row>
      <xdr:rowOff>82550</xdr:rowOff>
    </xdr:from>
    <xdr:to>
      <xdr:col>18</xdr:col>
      <xdr:colOff>565150</xdr:colOff>
      <xdr:row>48</xdr:row>
      <xdr:rowOff>184150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7F5A208-03FD-1F43-8143-F7CE5D957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48803E-F88D-BC4D-A72A-A489351EF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B462F8-2CF5-134C-8803-CD03DCBD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12700</xdr:colOff>
      <xdr:row>11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314C65-64F4-7E4A-AAF2-57156663E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B0B317-A727-AA41-97E6-D7AF81A8C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12700</xdr:colOff>
      <xdr:row>11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70E2D8E-3559-4C4D-8407-B904CD0DF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43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12700</xdr:colOff>
      <xdr:row>11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C09FB67-E340-8141-83D9-B1066935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95C4C34-D85B-214E-90F9-AE1209ACE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C68FDD4-05EA-B44E-9127-23EF794AF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8E75212-174C-614C-A9D2-77E7F1D6D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12700</xdr:colOff>
      <xdr:row>16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7071887-D3C8-934B-B3C3-3BD4BF5F7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12700</xdr:colOff>
      <xdr:row>16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420E672-C934-3043-BA53-BB54DF38C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59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12700</xdr:colOff>
      <xdr:row>16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F36B495-4F90-5342-BD8E-DB4D0B478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11</xdr:row>
      <xdr:rowOff>0</xdr:rowOff>
    </xdr:from>
    <xdr:ext cx="12700" cy="12700"/>
    <xdr:pic>
      <xdr:nvPicPr>
        <xdr:cNvPr id="14" name="Picture 13">
          <a:extLst>
            <a:ext uri="{FF2B5EF4-FFF2-40B4-BE49-F238E27FC236}">
              <a16:creationId xmlns:a16="http://schemas.microsoft.com/office/drawing/2014/main" id="{2DC8734C-D914-E14B-9379-6A2FDA811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12700" cy="12700"/>
    <xdr:pic>
      <xdr:nvPicPr>
        <xdr:cNvPr id="15" name="Picture 14">
          <a:extLst>
            <a:ext uri="{FF2B5EF4-FFF2-40B4-BE49-F238E27FC236}">
              <a16:creationId xmlns:a16="http://schemas.microsoft.com/office/drawing/2014/main" id="{1B9884A6-2A7E-9D45-9D52-2650CE4CC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12700" cy="12700"/>
    <xdr:pic>
      <xdr:nvPicPr>
        <xdr:cNvPr id="16" name="Picture 15">
          <a:extLst>
            <a:ext uri="{FF2B5EF4-FFF2-40B4-BE49-F238E27FC236}">
              <a16:creationId xmlns:a16="http://schemas.microsoft.com/office/drawing/2014/main" id="{93DDCA55-682D-8C4E-8167-E02C5003C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12700" cy="12700"/>
    <xdr:pic>
      <xdr:nvPicPr>
        <xdr:cNvPr id="17" name="Picture 16">
          <a:extLst>
            <a:ext uri="{FF2B5EF4-FFF2-40B4-BE49-F238E27FC236}">
              <a16:creationId xmlns:a16="http://schemas.microsoft.com/office/drawing/2014/main" id="{E78F74A0-EB73-344E-9CCE-74BA4AF0E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0</xdr:rowOff>
    </xdr:from>
    <xdr:ext cx="12700" cy="12700"/>
    <xdr:pic>
      <xdr:nvPicPr>
        <xdr:cNvPr id="18" name="Picture 17">
          <a:extLst>
            <a:ext uri="{FF2B5EF4-FFF2-40B4-BE49-F238E27FC236}">
              <a16:creationId xmlns:a16="http://schemas.microsoft.com/office/drawing/2014/main" id="{00F679DC-BBC7-174D-A255-6F6082FAB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12700" cy="12700"/>
    <xdr:pic>
      <xdr:nvPicPr>
        <xdr:cNvPr id="19" name="Picture 18">
          <a:extLst>
            <a:ext uri="{FF2B5EF4-FFF2-40B4-BE49-F238E27FC236}">
              <a16:creationId xmlns:a16="http://schemas.microsoft.com/office/drawing/2014/main" id="{A8E36434-058F-D243-BF4D-191C2E1D4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12700" cy="12700"/>
    <xdr:pic>
      <xdr:nvPicPr>
        <xdr:cNvPr id="20" name="Picture 19">
          <a:extLst>
            <a:ext uri="{FF2B5EF4-FFF2-40B4-BE49-F238E27FC236}">
              <a16:creationId xmlns:a16="http://schemas.microsoft.com/office/drawing/2014/main" id="{EB1E7E08-3FAC-044D-97B4-1C7F73243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</xdr:row>
      <xdr:rowOff>0</xdr:rowOff>
    </xdr:from>
    <xdr:ext cx="12700" cy="12700"/>
    <xdr:pic>
      <xdr:nvPicPr>
        <xdr:cNvPr id="21" name="Picture 20">
          <a:extLst>
            <a:ext uri="{FF2B5EF4-FFF2-40B4-BE49-F238E27FC236}">
              <a16:creationId xmlns:a16="http://schemas.microsoft.com/office/drawing/2014/main" id="{276C33BF-4276-D142-96D0-D5B8CA3F3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12700" cy="12700"/>
    <xdr:pic>
      <xdr:nvPicPr>
        <xdr:cNvPr id="22" name="Picture 21">
          <a:extLst>
            <a:ext uri="{FF2B5EF4-FFF2-40B4-BE49-F238E27FC236}">
              <a16:creationId xmlns:a16="http://schemas.microsoft.com/office/drawing/2014/main" id="{9C8536EA-8438-D64B-AA0C-57DC464A8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2700" cy="12700"/>
    <xdr:pic>
      <xdr:nvPicPr>
        <xdr:cNvPr id="23" name="Picture 22">
          <a:extLst>
            <a:ext uri="{FF2B5EF4-FFF2-40B4-BE49-F238E27FC236}">
              <a16:creationId xmlns:a16="http://schemas.microsoft.com/office/drawing/2014/main" id="{10B474E6-E7EE-F34E-977E-08BABFF7C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12700" cy="12700"/>
    <xdr:pic>
      <xdr:nvPicPr>
        <xdr:cNvPr id="24" name="Picture 23">
          <a:extLst>
            <a:ext uri="{FF2B5EF4-FFF2-40B4-BE49-F238E27FC236}">
              <a16:creationId xmlns:a16="http://schemas.microsoft.com/office/drawing/2014/main" id="{884CB359-BC22-2F4D-9406-37791CCA2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12700" cy="12700"/>
    <xdr:pic>
      <xdr:nvPicPr>
        <xdr:cNvPr id="25" name="Picture 24">
          <a:extLst>
            <a:ext uri="{FF2B5EF4-FFF2-40B4-BE49-F238E27FC236}">
              <a16:creationId xmlns:a16="http://schemas.microsoft.com/office/drawing/2014/main" id="{0C09037F-925B-164A-9999-437CE6252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12700" cy="12700"/>
    <xdr:pic>
      <xdr:nvPicPr>
        <xdr:cNvPr id="26" name="Picture 25">
          <a:extLst>
            <a:ext uri="{FF2B5EF4-FFF2-40B4-BE49-F238E27FC236}">
              <a16:creationId xmlns:a16="http://schemas.microsoft.com/office/drawing/2014/main" id="{D45C8BEC-AC67-A54A-AE2D-337B7C802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</xdr:row>
      <xdr:rowOff>0</xdr:rowOff>
    </xdr:from>
    <xdr:ext cx="12700" cy="12700"/>
    <xdr:pic>
      <xdr:nvPicPr>
        <xdr:cNvPr id="27" name="Picture 26">
          <a:extLst>
            <a:ext uri="{FF2B5EF4-FFF2-40B4-BE49-F238E27FC236}">
              <a16:creationId xmlns:a16="http://schemas.microsoft.com/office/drawing/2014/main" id="{FB54392E-AE67-9F4F-A94C-BA702F41E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28" name="Picture 27">
          <a:extLst>
            <a:ext uri="{FF2B5EF4-FFF2-40B4-BE49-F238E27FC236}">
              <a16:creationId xmlns:a16="http://schemas.microsoft.com/office/drawing/2014/main" id="{C31CE495-DF51-A942-AA3F-FDDB3F217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11</xdr:row>
      <xdr:rowOff>0</xdr:rowOff>
    </xdr:from>
    <xdr:ext cx="12700" cy="12700"/>
    <xdr:pic>
      <xdr:nvPicPr>
        <xdr:cNvPr id="29" name="Picture 28">
          <a:extLst>
            <a:ext uri="{FF2B5EF4-FFF2-40B4-BE49-F238E27FC236}">
              <a16:creationId xmlns:a16="http://schemas.microsoft.com/office/drawing/2014/main" id="{E0F8CC9B-6195-F945-86EA-5D0015BB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12700" cy="12700"/>
    <xdr:pic>
      <xdr:nvPicPr>
        <xdr:cNvPr id="30" name="Picture 29">
          <a:extLst>
            <a:ext uri="{FF2B5EF4-FFF2-40B4-BE49-F238E27FC236}">
              <a16:creationId xmlns:a16="http://schemas.microsoft.com/office/drawing/2014/main" id="{1512DD72-90AB-AA43-BF4D-2FC82B169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11</xdr:row>
      <xdr:rowOff>0</xdr:rowOff>
    </xdr:from>
    <xdr:ext cx="12700" cy="12700"/>
    <xdr:pic>
      <xdr:nvPicPr>
        <xdr:cNvPr id="31" name="Picture 30">
          <a:extLst>
            <a:ext uri="{FF2B5EF4-FFF2-40B4-BE49-F238E27FC236}">
              <a16:creationId xmlns:a16="http://schemas.microsoft.com/office/drawing/2014/main" id="{CA044B40-F2C6-8744-B8B0-09D67420A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12700" cy="12700"/>
    <xdr:pic>
      <xdr:nvPicPr>
        <xdr:cNvPr id="32" name="Picture 31">
          <a:extLst>
            <a:ext uri="{FF2B5EF4-FFF2-40B4-BE49-F238E27FC236}">
              <a16:creationId xmlns:a16="http://schemas.microsoft.com/office/drawing/2014/main" id="{6C2EA294-2873-A444-A9EC-58112295E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</xdr:row>
      <xdr:rowOff>0</xdr:rowOff>
    </xdr:from>
    <xdr:ext cx="12700" cy="12700"/>
    <xdr:pic>
      <xdr:nvPicPr>
        <xdr:cNvPr id="33" name="Picture 32">
          <a:extLst>
            <a:ext uri="{FF2B5EF4-FFF2-40B4-BE49-F238E27FC236}">
              <a16:creationId xmlns:a16="http://schemas.microsoft.com/office/drawing/2014/main" id="{C19547F0-C19A-614C-9ECA-DE15CAEC2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11</xdr:row>
      <xdr:rowOff>0</xdr:rowOff>
    </xdr:from>
    <xdr:ext cx="12700" cy="12700"/>
    <xdr:pic>
      <xdr:nvPicPr>
        <xdr:cNvPr id="34" name="Picture 33">
          <a:extLst>
            <a:ext uri="{FF2B5EF4-FFF2-40B4-BE49-F238E27FC236}">
              <a16:creationId xmlns:a16="http://schemas.microsoft.com/office/drawing/2014/main" id="{7A0D71E6-938A-E944-96F7-38592D01A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11</xdr:row>
      <xdr:rowOff>0</xdr:rowOff>
    </xdr:from>
    <xdr:ext cx="12700" cy="12700"/>
    <xdr:pic>
      <xdr:nvPicPr>
        <xdr:cNvPr id="35" name="Picture 34">
          <a:extLst>
            <a:ext uri="{FF2B5EF4-FFF2-40B4-BE49-F238E27FC236}">
              <a16:creationId xmlns:a16="http://schemas.microsoft.com/office/drawing/2014/main" id="{F1DF70AE-C171-684F-8DAB-D87AC4044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12700" cy="12700"/>
    <xdr:pic>
      <xdr:nvPicPr>
        <xdr:cNvPr id="36" name="Picture 35">
          <a:extLst>
            <a:ext uri="{FF2B5EF4-FFF2-40B4-BE49-F238E27FC236}">
              <a16:creationId xmlns:a16="http://schemas.microsoft.com/office/drawing/2014/main" id="{85E72320-A822-474E-BBE1-AAD1785B9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12700" cy="12700"/>
    <xdr:pic>
      <xdr:nvPicPr>
        <xdr:cNvPr id="37" name="Picture 36">
          <a:extLst>
            <a:ext uri="{FF2B5EF4-FFF2-40B4-BE49-F238E27FC236}">
              <a16:creationId xmlns:a16="http://schemas.microsoft.com/office/drawing/2014/main" id="{A483E7E2-AAC7-D74D-9ABA-BEC84C1E6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12700" cy="12700"/>
    <xdr:pic>
      <xdr:nvPicPr>
        <xdr:cNvPr id="38" name="Picture 37">
          <a:extLst>
            <a:ext uri="{FF2B5EF4-FFF2-40B4-BE49-F238E27FC236}">
              <a16:creationId xmlns:a16="http://schemas.microsoft.com/office/drawing/2014/main" id="{97607C78-43CE-BF47-BB95-D3F39D6FD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11</xdr:row>
      <xdr:rowOff>0</xdr:rowOff>
    </xdr:from>
    <xdr:ext cx="12700" cy="12700"/>
    <xdr:pic>
      <xdr:nvPicPr>
        <xdr:cNvPr id="39" name="Picture 38">
          <a:extLst>
            <a:ext uri="{FF2B5EF4-FFF2-40B4-BE49-F238E27FC236}">
              <a16:creationId xmlns:a16="http://schemas.microsoft.com/office/drawing/2014/main" id="{1BEF3D9C-C1F1-1A46-B93C-70BD9DB1C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</xdr:row>
      <xdr:rowOff>0</xdr:rowOff>
    </xdr:from>
    <xdr:ext cx="12700" cy="12700"/>
    <xdr:pic>
      <xdr:nvPicPr>
        <xdr:cNvPr id="40" name="Picture 39">
          <a:extLst>
            <a:ext uri="{FF2B5EF4-FFF2-40B4-BE49-F238E27FC236}">
              <a16:creationId xmlns:a16="http://schemas.microsoft.com/office/drawing/2014/main" id="{E3714C50-9628-594E-9477-68BE61B06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</xdr:row>
      <xdr:rowOff>0</xdr:rowOff>
    </xdr:from>
    <xdr:ext cx="12700" cy="12700"/>
    <xdr:pic>
      <xdr:nvPicPr>
        <xdr:cNvPr id="41" name="Picture 40">
          <a:extLst>
            <a:ext uri="{FF2B5EF4-FFF2-40B4-BE49-F238E27FC236}">
              <a16:creationId xmlns:a16="http://schemas.microsoft.com/office/drawing/2014/main" id="{AA152620-89F5-2D47-8EE9-2E5756CFC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11</xdr:row>
      <xdr:rowOff>0</xdr:rowOff>
    </xdr:from>
    <xdr:ext cx="12700" cy="12700"/>
    <xdr:pic>
      <xdr:nvPicPr>
        <xdr:cNvPr id="42" name="Picture 41">
          <a:extLst>
            <a:ext uri="{FF2B5EF4-FFF2-40B4-BE49-F238E27FC236}">
              <a16:creationId xmlns:a16="http://schemas.microsoft.com/office/drawing/2014/main" id="{92EB35AC-5D78-7F49-919C-843CE6896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11</xdr:row>
      <xdr:rowOff>0</xdr:rowOff>
    </xdr:from>
    <xdr:ext cx="12700" cy="12700"/>
    <xdr:pic>
      <xdr:nvPicPr>
        <xdr:cNvPr id="43" name="Picture 42">
          <a:extLst>
            <a:ext uri="{FF2B5EF4-FFF2-40B4-BE49-F238E27FC236}">
              <a16:creationId xmlns:a16="http://schemas.microsoft.com/office/drawing/2014/main" id="{BF51EE92-84F5-AD4F-BC43-612C91DF4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12700" cy="12700"/>
    <xdr:pic>
      <xdr:nvPicPr>
        <xdr:cNvPr id="44" name="Picture 43">
          <a:extLst>
            <a:ext uri="{FF2B5EF4-FFF2-40B4-BE49-F238E27FC236}">
              <a16:creationId xmlns:a16="http://schemas.microsoft.com/office/drawing/2014/main" id="{B478E5AC-447C-D84F-B16C-B66B6AA97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12700" cy="12700"/>
    <xdr:pic>
      <xdr:nvPicPr>
        <xdr:cNvPr id="45" name="Picture 44">
          <a:extLst>
            <a:ext uri="{FF2B5EF4-FFF2-40B4-BE49-F238E27FC236}">
              <a16:creationId xmlns:a16="http://schemas.microsoft.com/office/drawing/2014/main" id="{2D68342F-B8C1-ED4A-9EBE-4A7CB40ED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</xdr:row>
      <xdr:rowOff>0</xdr:rowOff>
    </xdr:from>
    <xdr:ext cx="12700" cy="12700"/>
    <xdr:pic>
      <xdr:nvPicPr>
        <xdr:cNvPr id="46" name="Picture 45">
          <a:extLst>
            <a:ext uri="{FF2B5EF4-FFF2-40B4-BE49-F238E27FC236}">
              <a16:creationId xmlns:a16="http://schemas.microsoft.com/office/drawing/2014/main" id="{6B850F41-D41A-8F45-9CBB-2C02D0A3F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</xdr:row>
      <xdr:rowOff>0</xdr:rowOff>
    </xdr:from>
    <xdr:ext cx="12700" cy="12700"/>
    <xdr:pic>
      <xdr:nvPicPr>
        <xdr:cNvPr id="47" name="Picture 46">
          <a:extLst>
            <a:ext uri="{FF2B5EF4-FFF2-40B4-BE49-F238E27FC236}">
              <a16:creationId xmlns:a16="http://schemas.microsoft.com/office/drawing/2014/main" id="{CFBFBAB5-1B43-A54F-B211-E3247AEBB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</xdr:row>
      <xdr:rowOff>0</xdr:rowOff>
    </xdr:from>
    <xdr:ext cx="12700" cy="12700"/>
    <xdr:pic>
      <xdr:nvPicPr>
        <xdr:cNvPr id="48" name="Picture 47">
          <a:extLst>
            <a:ext uri="{FF2B5EF4-FFF2-40B4-BE49-F238E27FC236}">
              <a16:creationId xmlns:a16="http://schemas.microsoft.com/office/drawing/2014/main" id="{970FC1F3-08FB-7E45-ACE0-C7A4AB340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16</xdr:row>
      <xdr:rowOff>0</xdr:rowOff>
    </xdr:from>
    <xdr:ext cx="12700" cy="12700"/>
    <xdr:pic>
      <xdr:nvPicPr>
        <xdr:cNvPr id="49" name="Picture 48">
          <a:extLst>
            <a:ext uri="{FF2B5EF4-FFF2-40B4-BE49-F238E27FC236}">
              <a16:creationId xmlns:a16="http://schemas.microsoft.com/office/drawing/2014/main" id="{2D2EBCA1-DBAC-9945-85D9-2B6E23F36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12700" cy="12700"/>
    <xdr:pic>
      <xdr:nvPicPr>
        <xdr:cNvPr id="50" name="Picture 49">
          <a:extLst>
            <a:ext uri="{FF2B5EF4-FFF2-40B4-BE49-F238E27FC236}">
              <a16:creationId xmlns:a16="http://schemas.microsoft.com/office/drawing/2014/main" id="{271F2CA8-B19D-464B-ACA6-D9A9C512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16</xdr:row>
      <xdr:rowOff>0</xdr:rowOff>
    </xdr:from>
    <xdr:ext cx="12700" cy="12700"/>
    <xdr:pic>
      <xdr:nvPicPr>
        <xdr:cNvPr id="51" name="Picture 50">
          <a:extLst>
            <a:ext uri="{FF2B5EF4-FFF2-40B4-BE49-F238E27FC236}">
              <a16:creationId xmlns:a16="http://schemas.microsoft.com/office/drawing/2014/main" id="{3BA5A038-6AD7-FC4D-96F2-6E99C14F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12700" cy="12700"/>
    <xdr:pic>
      <xdr:nvPicPr>
        <xdr:cNvPr id="52" name="Picture 51">
          <a:extLst>
            <a:ext uri="{FF2B5EF4-FFF2-40B4-BE49-F238E27FC236}">
              <a16:creationId xmlns:a16="http://schemas.microsoft.com/office/drawing/2014/main" id="{A4D784A1-C5F1-EB4C-9553-1DAF8D621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16</xdr:row>
      <xdr:rowOff>0</xdr:rowOff>
    </xdr:from>
    <xdr:ext cx="12700" cy="12700"/>
    <xdr:pic>
      <xdr:nvPicPr>
        <xdr:cNvPr id="53" name="Picture 52">
          <a:extLst>
            <a:ext uri="{FF2B5EF4-FFF2-40B4-BE49-F238E27FC236}">
              <a16:creationId xmlns:a16="http://schemas.microsoft.com/office/drawing/2014/main" id="{75DA5149-36DB-0345-99D9-79B6B57AD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16</xdr:row>
      <xdr:rowOff>0</xdr:rowOff>
    </xdr:from>
    <xdr:ext cx="12700" cy="12700"/>
    <xdr:pic>
      <xdr:nvPicPr>
        <xdr:cNvPr id="54" name="Picture 53">
          <a:extLst>
            <a:ext uri="{FF2B5EF4-FFF2-40B4-BE49-F238E27FC236}">
              <a16:creationId xmlns:a16="http://schemas.microsoft.com/office/drawing/2014/main" id="{D5ED2426-84BC-CC4E-AB1D-5A6E88BFA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16</xdr:row>
      <xdr:rowOff>0</xdr:rowOff>
    </xdr:from>
    <xdr:ext cx="12700" cy="12700"/>
    <xdr:pic>
      <xdr:nvPicPr>
        <xdr:cNvPr id="55" name="Picture 54">
          <a:extLst>
            <a:ext uri="{FF2B5EF4-FFF2-40B4-BE49-F238E27FC236}">
              <a16:creationId xmlns:a16="http://schemas.microsoft.com/office/drawing/2014/main" id="{50689C8C-63B0-B547-A77C-3881543EB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16</xdr:row>
      <xdr:rowOff>0</xdr:rowOff>
    </xdr:from>
    <xdr:ext cx="12700" cy="12700"/>
    <xdr:pic>
      <xdr:nvPicPr>
        <xdr:cNvPr id="56" name="Picture 55">
          <a:extLst>
            <a:ext uri="{FF2B5EF4-FFF2-40B4-BE49-F238E27FC236}">
              <a16:creationId xmlns:a16="http://schemas.microsoft.com/office/drawing/2014/main" id="{0E4C4D2F-DF8B-7549-8D38-82C8191CF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16</xdr:row>
      <xdr:rowOff>0</xdr:rowOff>
    </xdr:from>
    <xdr:ext cx="12700" cy="12700"/>
    <xdr:pic>
      <xdr:nvPicPr>
        <xdr:cNvPr id="57" name="Picture 56">
          <a:extLst>
            <a:ext uri="{FF2B5EF4-FFF2-40B4-BE49-F238E27FC236}">
              <a16:creationId xmlns:a16="http://schemas.microsoft.com/office/drawing/2014/main" id="{FBDE2D40-5BDD-AC41-AC75-FF59046C5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16</xdr:row>
      <xdr:rowOff>0</xdr:rowOff>
    </xdr:from>
    <xdr:ext cx="12700" cy="12700"/>
    <xdr:pic>
      <xdr:nvPicPr>
        <xdr:cNvPr id="58" name="Picture 57">
          <a:extLst>
            <a:ext uri="{FF2B5EF4-FFF2-40B4-BE49-F238E27FC236}">
              <a16:creationId xmlns:a16="http://schemas.microsoft.com/office/drawing/2014/main" id="{E5DA3DF6-6BF0-7241-8D1C-7A7BE967B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16</xdr:row>
      <xdr:rowOff>0</xdr:rowOff>
    </xdr:from>
    <xdr:ext cx="12700" cy="12700"/>
    <xdr:pic>
      <xdr:nvPicPr>
        <xdr:cNvPr id="59" name="Picture 58">
          <a:extLst>
            <a:ext uri="{FF2B5EF4-FFF2-40B4-BE49-F238E27FC236}">
              <a16:creationId xmlns:a16="http://schemas.microsoft.com/office/drawing/2014/main" id="{5BA662D0-C682-BB4B-86A7-8FA5925FF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16</xdr:row>
      <xdr:rowOff>0</xdr:rowOff>
    </xdr:from>
    <xdr:ext cx="12700" cy="12700"/>
    <xdr:pic>
      <xdr:nvPicPr>
        <xdr:cNvPr id="60" name="Picture 59">
          <a:extLst>
            <a:ext uri="{FF2B5EF4-FFF2-40B4-BE49-F238E27FC236}">
              <a16:creationId xmlns:a16="http://schemas.microsoft.com/office/drawing/2014/main" id="{334EDCD3-D9B3-B744-9652-A00A02EFB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16</xdr:row>
      <xdr:rowOff>0</xdr:rowOff>
    </xdr:from>
    <xdr:ext cx="12700" cy="12700"/>
    <xdr:pic>
      <xdr:nvPicPr>
        <xdr:cNvPr id="61" name="Picture 60">
          <a:extLst>
            <a:ext uri="{FF2B5EF4-FFF2-40B4-BE49-F238E27FC236}">
              <a16:creationId xmlns:a16="http://schemas.microsoft.com/office/drawing/2014/main" id="{A808DDBC-F3B8-1C4D-9DAC-0E676D3D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16</xdr:row>
      <xdr:rowOff>0</xdr:rowOff>
    </xdr:from>
    <xdr:ext cx="12700" cy="12700"/>
    <xdr:pic>
      <xdr:nvPicPr>
        <xdr:cNvPr id="62" name="Picture 61">
          <a:extLst>
            <a:ext uri="{FF2B5EF4-FFF2-40B4-BE49-F238E27FC236}">
              <a16:creationId xmlns:a16="http://schemas.microsoft.com/office/drawing/2014/main" id="{53C8569E-71D1-CF4B-A1C1-0F07B2E4A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16</xdr:row>
      <xdr:rowOff>0</xdr:rowOff>
    </xdr:from>
    <xdr:ext cx="12700" cy="12700"/>
    <xdr:pic>
      <xdr:nvPicPr>
        <xdr:cNvPr id="63" name="Picture 62">
          <a:extLst>
            <a:ext uri="{FF2B5EF4-FFF2-40B4-BE49-F238E27FC236}">
              <a16:creationId xmlns:a16="http://schemas.microsoft.com/office/drawing/2014/main" id="{79EB2971-0D76-7940-87D4-924B4CCE1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30</xdr:row>
      <xdr:rowOff>0</xdr:rowOff>
    </xdr:from>
    <xdr:to>
      <xdr:col>2</xdr:col>
      <xdr:colOff>12700</xdr:colOff>
      <xdr:row>30</xdr:row>
      <xdr:rowOff>12700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BC260A33-C6D5-2640-BBB5-10572A00B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0600" y="610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12700</xdr:colOff>
      <xdr:row>30</xdr:row>
      <xdr:rowOff>12700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5A39823F-B868-A64A-A9EB-21A260A45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610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12700</xdr:colOff>
      <xdr:row>30</xdr:row>
      <xdr:rowOff>12700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B4FEBA1-04EE-6243-856A-DEE7C91C9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610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12700</xdr:colOff>
      <xdr:row>30</xdr:row>
      <xdr:rowOff>12700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4E76D638-1386-0445-9593-F99E2136A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6700" y="610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12700</xdr:colOff>
      <xdr:row>30</xdr:row>
      <xdr:rowOff>12700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EDCAA71E-A533-914E-9CC3-8DAB377DB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610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0</xdr:rowOff>
    </xdr:from>
    <xdr:to>
      <xdr:col>7</xdr:col>
      <xdr:colOff>12700</xdr:colOff>
      <xdr:row>8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0FC6B3D-62A5-7A4E-812F-FFA88DDCE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841C-77E5-7B4B-9DC4-FEC887CF9516}">
  <sheetPr codeName="Sheet1"/>
  <dimension ref="A2:W165"/>
  <sheetViews>
    <sheetView topLeftCell="A129" zoomScaleNormal="100" workbookViewId="0">
      <selection activeCell="C158" sqref="C158:L158"/>
    </sheetView>
  </sheetViews>
  <sheetFormatPr baseColWidth="10" defaultRowHeight="16" x14ac:dyDescent="0.2"/>
  <cols>
    <col min="1" max="1" width="42.83203125" customWidth="1"/>
    <col min="2" max="2" width="16" customWidth="1"/>
    <col min="3" max="3" width="14.33203125" customWidth="1"/>
    <col min="4" max="4" width="13.83203125" customWidth="1"/>
    <col min="5" max="5" width="14.1640625" customWidth="1"/>
    <col min="6" max="6" width="13.6640625" customWidth="1"/>
    <col min="7" max="7" width="13.83203125" customWidth="1"/>
    <col min="8" max="8" width="15" customWidth="1"/>
    <col min="9" max="9" width="14.1640625" customWidth="1"/>
    <col min="10" max="10" width="15" customWidth="1"/>
    <col min="11" max="11" width="14.6640625" customWidth="1"/>
    <col min="12" max="12" width="14.33203125" customWidth="1"/>
    <col min="13" max="13" width="16.6640625" customWidth="1"/>
    <col min="16" max="16" width="13.33203125" customWidth="1"/>
  </cols>
  <sheetData>
    <row r="2" spans="1:4" ht="18" x14ac:dyDescent="0.2">
      <c r="A2" s="3" t="s">
        <v>0</v>
      </c>
      <c r="B2" s="4">
        <v>0.08</v>
      </c>
      <c r="C2" s="1"/>
      <c r="D2" s="1"/>
    </row>
    <row r="3" spans="1:4" ht="18" x14ac:dyDescent="0.2">
      <c r="A3" s="3" t="s">
        <v>1</v>
      </c>
      <c r="B3" s="4">
        <v>0.16</v>
      </c>
      <c r="C3" s="1"/>
      <c r="D3" s="1"/>
    </row>
    <row r="4" spans="1:4" ht="18" x14ac:dyDescent="0.2">
      <c r="A4" s="3" t="s">
        <v>2</v>
      </c>
      <c r="B4" s="4">
        <v>0.24</v>
      </c>
      <c r="C4" s="1"/>
      <c r="D4" s="1"/>
    </row>
    <row r="5" spans="1:4" ht="18" x14ac:dyDescent="0.2">
      <c r="A5" s="3" t="s">
        <v>3</v>
      </c>
      <c r="B5" s="4">
        <v>7.0000000000000007E-2</v>
      </c>
      <c r="C5" s="1"/>
      <c r="D5" s="1"/>
    </row>
    <row r="6" spans="1:4" ht="18" x14ac:dyDescent="0.2">
      <c r="A6" s="3" t="s">
        <v>4</v>
      </c>
      <c r="B6" s="4">
        <v>0.34</v>
      </c>
      <c r="C6" s="1"/>
      <c r="D6" s="1"/>
    </row>
    <row r="7" spans="1:4" ht="19" x14ac:dyDescent="0.25">
      <c r="A7" s="3" t="s">
        <v>5</v>
      </c>
      <c r="B7" s="4">
        <v>0.11</v>
      </c>
      <c r="C7" s="2"/>
      <c r="D7" s="2"/>
    </row>
    <row r="16" spans="1:4" ht="18" x14ac:dyDescent="0.2">
      <c r="A16" s="3"/>
      <c r="B16" s="5"/>
      <c r="C16" s="5"/>
      <c r="D16" s="5"/>
    </row>
    <row r="17" spans="1:23" ht="18" x14ac:dyDescent="0.2">
      <c r="A17" s="3" t="s">
        <v>7</v>
      </c>
      <c r="B17" s="8">
        <f>C17/$C$23</f>
        <v>0.10649257575418243</v>
      </c>
      <c r="C17" s="6">
        <v>4755</v>
      </c>
      <c r="D17" s="3"/>
    </row>
    <row r="18" spans="1:23" ht="18" x14ac:dyDescent="0.2">
      <c r="A18" s="3" t="s">
        <v>8</v>
      </c>
      <c r="B18" s="8">
        <f t="shared" ref="B18:B21" si="0">C18/$C$23</f>
        <v>0.47495016908915816</v>
      </c>
      <c r="C18" s="6">
        <v>21207</v>
      </c>
      <c r="D18" s="3"/>
    </row>
    <row r="19" spans="1:23" ht="18" x14ac:dyDescent="0.2">
      <c r="A19" s="3" t="s">
        <v>9</v>
      </c>
      <c r="B19" s="8">
        <f t="shared" si="0"/>
        <v>0.11753376184184004</v>
      </c>
      <c r="C19" s="6">
        <v>5248</v>
      </c>
      <c r="D19" s="3"/>
    </row>
    <row r="20" spans="1:23" ht="18" x14ac:dyDescent="0.2">
      <c r="A20" s="3" t="s">
        <v>10</v>
      </c>
      <c r="B20" s="8">
        <f t="shared" si="0"/>
        <v>7.5160690690018142E-2</v>
      </c>
      <c r="C20" s="6">
        <v>3356</v>
      </c>
      <c r="D20" s="3"/>
    </row>
    <row r="21" spans="1:23" ht="18" x14ac:dyDescent="0.2">
      <c r="A21" s="3" t="s">
        <v>11</v>
      </c>
      <c r="B21" s="8">
        <f t="shared" si="0"/>
        <v>0.22743051667375871</v>
      </c>
      <c r="C21" s="6">
        <v>10155</v>
      </c>
      <c r="D21" s="3"/>
    </row>
    <row r="22" spans="1:23" ht="18" x14ac:dyDescent="0.2">
      <c r="A22" s="3" t="s">
        <v>12</v>
      </c>
      <c r="B22" s="8"/>
      <c r="C22" s="3">
        <v>-70</v>
      </c>
      <c r="D22" s="3"/>
    </row>
    <row r="23" spans="1:23" ht="18" x14ac:dyDescent="0.2">
      <c r="A23" s="5" t="s">
        <v>13</v>
      </c>
      <c r="C23" s="7">
        <v>44651</v>
      </c>
      <c r="D23" s="5"/>
    </row>
    <row r="27" spans="1:23" ht="20" x14ac:dyDescent="0.2">
      <c r="N27" s="42"/>
      <c r="O27" s="42"/>
      <c r="P27" s="42"/>
      <c r="Q27" s="42"/>
      <c r="T27" s="43"/>
    </row>
    <row r="28" spans="1:23" ht="17" x14ac:dyDescent="0.2">
      <c r="Q28" s="41"/>
      <c r="R28" s="41"/>
      <c r="S28" s="41"/>
      <c r="T28" s="41"/>
      <c r="U28" s="41"/>
    </row>
    <row r="29" spans="1:23" ht="20" x14ac:dyDescent="0.2">
      <c r="P29" s="45"/>
      <c r="Q29" s="46"/>
      <c r="R29" s="47"/>
      <c r="S29" s="44"/>
      <c r="T29" s="44"/>
      <c r="U29" s="44"/>
    </row>
    <row r="30" spans="1:23" ht="17" x14ac:dyDescent="0.2">
      <c r="R30" s="48"/>
      <c r="S30" s="41"/>
      <c r="T30" s="41"/>
      <c r="U30" s="41"/>
    </row>
    <row r="31" spans="1:23" x14ac:dyDescent="0.2">
      <c r="A31" t="s">
        <v>33</v>
      </c>
      <c r="M31" t="s">
        <v>34</v>
      </c>
      <c r="S31" s="10"/>
      <c r="T31" s="10"/>
      <c r="U31" s="10"/>
    </row>
    <row r="32" spans="1:23" x14ac:dyDescent="0.2">
      <c r="A32" t="s">
        <v>14</v>
      </c>
      <c r="B32" s="9">
        <v>2016</v>
      </c>
      <c r="C32" s="9">
        <v>2017</v>
      </c>
      <c r="D32" s="9">
        <v>2018</v>
      </c>
      <c r="E32" s="9">
        <v>2019</v>
      </c>
      <c r="F32" s="9">
        <v>2020</v>
      </c>
      <c r="G32" s="9" t="s">
        <v>15</v>
      </c>
      <c r="H32" s="9" t="s">
        <v>16</v>
      </c>
      <c r="I32" s="9" t="s">
        <v>17</v>
      </c>
      <c r="J32" s="9" t="s">
        <v>18</v>
      </c>
      <c r="K32" s="9" t="s">
        <v>19</v>
      </c>
      <c r="L32" s="9"/>
      <c r="M32" t="s">
        <v>14</v>
      </c>
      <c r="N32" s="9">
        <v>2016</v>
      </c>
      <c r="O32" s="9">
        <v>2017</v>
      </c>
      <c r="P32" s="9">
        <v>2018</v>
      </c>
      <c r="Q32" s="9">
        <v>2019</v>
      </c>
      <c r="R32" s="9">
        <v>2020</v>
      </c>
      <c r="S32" s="9" t="s">
        <v>15</v>
      </c>
      <c r="T32" s="9" t="s">
        <v>16</v>
      </c>
      <c r="U32" s="9" t="s">
        <v>17</v>
      </c>
      <c r="V32" s="9"/>
      <c r="W32" s="9"/>
    </row>
    <row r="33" spans="1:23" x14ac:dyDescent="0.2">
      <c r="A33" t="s">
        <v>30</v>
      </c>
      <c r="B33" s="10">
        <v>1.7100000000000001E-2</v>
      </c>
      <c r="C33" s="10">
        <v>2.3300000000000001E-2</v>
      </c>
      <c r="D33" s="11">
        <v>0.03</v>
      </c>
      <c r="E33" s="10">
        <v>2.1600000000000001E-2</v>
      </c>
      <c r="F33" s="10">
        <v>-3.5099999999999999E-2</v>
      </c>
      <c r="G33" s="10">
        <v>6.3899999999999998E-2</v>
      </c>
      <c r="H33" s="10">
        <v>3.5200000000000002E-2</v>
      </c>
      <c r="I33" s="10">
        <v>1.41E-2</v>
      </c>
      <c r="J33" s="10">
        <v>1.4800000000000001E-2</v>
      </c>
      <c r="K33" s="10">
        <v>1.61E-2</v>
      </c>
      <c r="M33" t="s">
        <v>30</v>
      </c>
      <c r="N33" s="40">
        <v>2.4E-2</v>
      </c>
      <c r="O33" s="40">
        <v>4.8000000000000001E-2</v>
      </c>
      <c r="P33" s="40">
        <v>1.9E-2</v>
      </c>
      <c r="Q33" s="40">
        <v>0.03</v>
      </c>
      <c r="R33" s="40">
        <v>-2.7E-2</v>
      </c>
      <c r="S33" s="40">
        <v>3.7999999999999999E-2</v>
      </c>
      <c r="T33" s="40">
        <v>2.9000000000000001E-2</v>
      </c>
      <c r="U33" s="40">
        <v>2.1000000000000001E-2</v>
      </c>
      <c r="V33" s="40"/>
      <c r="W33" s="40"/>
    </row>
    <row r="34" spans="1:23" x14ac:dyDescent="0.2">
      <c r="A34" t="s">
        <v>31</v>
      </c>
      <c r="B34" s="10">
        <v>6.8699999999999997E-2</v>
      </c>
      <c r="C34" s="10">
        <v>6.9500000000000006E-2</v>
      </c>
      <c r="D34" s="10">
        <v>6.7299999999999999E-2</v>
      </c>
      <c r="E34" s="10">
        <v>5.8200000000000002E-2</v>
      </c>
      <c r="F34" s="10">
        <v>2.2700000000000001E-2</v>
      </c>
      <c r="G34" s="10">
        <v>8.4400000000000003E-2</v>
      </c>
      <c r="H34" s="10">
        <v>5.57E-2</v>
      </c>
      <c r="I34" s="10">
        <v>5.4399999999999997E-2</v>
      </c>
      <c r="J34" s="10">
        <v>5.2699999999999997E-2</v>
      </c>
      <c r="K34" s="10">
        <v>4.8599999999999997E-2</v>
      </c>
      <c r="M34" t="s">
        <v>31</v>
      </c>
      <c r="N34" s="40">
        <v>3.9800000000000002E-2</v>
      </c>
      <c r="O34" s="40">
        <v>9.2100000000000001E-2</v>
      </c>
      <c r="P34" s="40">
        <v>0.12809999999999999</v>
      </c>
      <c r="Q34" s="40">
        <v>4.7100000000000003E-2</v>
      </c>
      <c r="R34" s="40">
        <v>3.0000000000000001E-3</v>
      </c>
      <c r="S34" s="40">
        <v>5.6000000000000001E-2</v>
      </c>
      <c r="T34" s="40">
        <v>5.8999999999999997E-2</v>
      </c>
      <c r="U34" s="40">
        <v>5.3999999999999999E-2</v>
      </c>
      <c r="V34" s="40"/>
      <c r="W34" s="40"/>
    </row>
    <row r="35" spans="1:23" x14ac:dyDescent="0.2">
      <c r="A35" t="s">
        <v>32</v>
      </c>
      <c r="B35" s="10">
        <v>1.0999999999999999E-2</v>
      </c>
      <c r="C35" s="10">
        <v>2.29E-2</v>
      </c>
      <c r="D35" s="10">
        <v>1.8700000000000001E-2</v>
      </c>
      <c r="E35" s="10">
        <v>1.49E-2</v>
      </c>
      <c r="F35" s="10">
        <v>-8.2299999999999998E-2</v>
      </c>
      <c r="G35" s="10">
        <v>5.8099999999999999E-2</v>
      </c>
      <c r="H35" s="10">
        <v>4.2200000000000001E-2</v>
      </c>
      <c r="I35" s="10">
        <v>1.7100000000000001E-2</v>
      </c>
      <c r="J35" s="10">
        <v>1.4800000000000001E-2</v>
      </c>
      <c r="K35" s="10">
        <v>1.3599999999999999E-2</v>
      </c>
      <c r="M35" t="s">
        <v>32</v>
      </c>
      <c r="N35" s="10">
        <v>1.78E-2</v>
      </c>
      <c r="O35" s="40">
        <v>4.3999999999999997E-2</v>
      </c>
      <c r="P35" s="40">
        <v>7.2300000000000003E-2</v>
      </c>
      <c r="Q35" s="40">
        <v>2.8899999999999999E-2</v>
      </c>
      <c r="R35" s="40">
        <v>4.7600000000000003E-2</v>
      </c>
      <c r="S35" s="40">
        <v>7.8E-2</v>
      </c>
      <c r="T35" s="40">
        <v>-6.4000000000000003E-3</v>
      </c>
      <c r="U35" s="40">
        <v>1.9E-2</v>
      </c>
      <c r="V35" s="40"/>
      <c r="W35" s="40"/>
    </row>
    <row r="36" spans="1:23" x14ac:dyDescent="0.2">
      <c r="N36" s="40"/>
      <c r="O36" s="40"/>
      <c r="P36" s="40"/>
      <c r="Q36" s="40"/>
      <c r="R36" s="40"/>
      <c r="S36" s="40"/>
      <c r="T36" s="40"/>
      <c r="U36" s="40"/>
      <c r="V36" s="40"/>
      <c r="W36" s="40"/>
    </row>
    <row r="51" spans="1:8" x14ac:dyDescent="0.2">
      <c r="A51" s="12"/>
      <c r="B51" s="12">
        <v>2015</v>
      </c>
      <c r="C51" s="12">
        <v>2016</v>
      </c>
      <c r="D51" s="12">
        <v>2017</v>
      </c>
      <c r="E51" s="12">
        <v>2018</v>
      </c>
      <c r="F51" s="12">
        <v>2019</v>
      </c>
      <c r="G51" s="12">
        <v>2020</v>
      </c>
      <c r="H51" s="16" t="s">
        <v>22</v>
      </c>
    </row>
    <row r="52" spans="1:8" x14ac:dyDescent="0.2">
      <c r="A52" s="12" t="s">
        <v>20</v>
      </c>
      <c r="B52" s="38">
        <v>35644</v>
      </c>
      <c r="C52" s="38">
        <v>37600</v>
      </c>
      <c r="D52" s="38">
        <v>42636</v>
      </c>
      <c r="E52" s="38">
        <v>46826</v>
      </c>
      <c r="F52" s="38">
        <v>53670</v>
      </c>
      <c r="G52" s="49">
        <v>44651</v>
      </c>
      <c r="H52" s="12"/>
    </row>
    <row r="53" spans="1:8" x14ac:dyDescent="0.2">
      <c r="A53" s="14" t="s">
        <v>21</v>
      </c>
      <c r="B53" s="14"/>
      <c r="C53" s="15">
        <f>(C52-B52)/B52</f>
        <v>5.4875995960049377E-2</v>
      </c>
      <c r="D53" s="15">
        <f t="shared" ref="D53:G53" si="1">(D52-C52)/C52</f>
        <v>0.13393617021276596</v>
      </c>
      <c r="E53" s="15">
        <f t="shared" si="1"/>
        <v>9.8273759264471336E-2</v>
      </c>
      <c r="F53" s="15">
        <f t="shared" si="1"/>
        <v>0.14615811728526887</v>
      </c>
      <c r="G53" s="15">
        <f t="shared" si="1"/>
        <v>-0.16804546301471959</v>
      </c>
      <c r="H53" s="17">
        <f>AVERAGE(C53:G53)</f>
        <v>5.30397159415672E-2</v>
      </c>
    </row>
    <row r="71" spans="1:9" x14ac:dyDescent="0.2">
      <c r="A71" s="13"/>
    </row>
    <row r="72" spans="1:9" x14ac:dyDescent="0.2">
      <c r="A72" s="18"/>
      <c r="B72" s="18"/>
      <c r="C72" s="18"/>
      <c r="D72" s="18"/>
      <c r="E72" s="18"/>
      <c r="F72" s="18"/>
      <c r="G72" s="18"/>
      <c r="H72" s="18"/>
      <c r="I72" s="18"/>
    </row>
    <row r="73" spans="1:9" ht="51" x14ac:dyDescent="0.2">
      <c r="A73" s="20" t="s">
        <v>6</v>
      </c>
      <c r="B73" s="19" t="s">
        <v>7</v>
      </c>
      <c r="C73" s="19" t="s">
        <v>8</v>
      </c>
      <c r="D73" s="19" t="s">
        <v>9</v>
      </c>
      <c r="E73" s="19" t="s">
        <v>10</v>
      </c>
      <c r="F73" s="19" t="s">
        <v>11</v>
      </c>
      <c r="G73" s="19" t="s">
        <v>23</v>
      </c>
      <c r="H73" s="19" t="s">
        <v>24</v>
      </c>
      <c r="I73" s="19" t="s">
        <v>13</v>
      </c>
    </row>
    <row r="74" spans="1:9" x14ac:dyDescent="0.2">
      <c r="A74" s="16">
        <v>2015</v>
      </c>
      <c r="B74" s="37">
        <v>4603</v>
      </c>
      <c r="C74" s="37">
        <v>12369</v>
      </c>
      <c r="D74" s="37">
        <v>4671</v>
      </c>
      <c r="E74" s="37">
        <v>3308</v>
      </c>
      <c r="F74" s="37">
        <v>11193</v>
      </c>
      <c r="G74" s="37">
        <v>448</v>
      </c>
      <c r="H74" s="37">
        <v>-928</v>
      </c>
      <c r="I74" s="37">
        <v>35664</v>
      </c>
    </row>
    <row r="75" spans="1:9" x14ac:dyDescent="0.2">
      <c r="A75" s="16">
        <v>2016</v>
      </c>
      <c r="B75" s="37">
        <v>4835</v>
      </c>
      <c r="C75" s="37">
        <v>12775</v>
      </c>
      <c r="D75" s="37">
        <v>4953</v>
      </c>
      <c r="E75" s="37">
        <v>3468</v>
      </c>
      <c r="F75" s="37">
        <v>11973</v>
      </c>
      <c r="G75" s="37">
        <v>638</v>
      </c>
      <c r="H75" s="37">
        <v>-1042</v>
      </c>
      <c r="I75" s="37">
        <v>37600</v>
      </c>
    </row>
    <row r="76" spans="1:9" x14ac:dyDescent="0.2">
      <c r="A76" s="21">
        <v>2017</v>
      </c>
      <c r="B76" s="37">
        <v>5084</v>
      </c>
      <c r="C76" s="37">
        <v>15472</v>
      </c>
      <c r="D76" s="37">
        <v>5560</v>
      </c>
      <c r="E76" s="37">
        <v>3805</v>
      </c>
      <c r="F76" s="37">
        <v>13311</v>
      </c>
      <c r="G76" s="37">
        <v>651</v>
      </c>
      <c r="H76" s="37">
        <v>-1247</v>
      </c>
      <c r="I76" s="37">
        <v>42636</v>
      </c>
    </row>
    <row r="77" spans="1:9" x14ac:dyDescent="0.2">
      <c r="A77" s="21">
        <v>2018</v>
      </c>
      <c r="B77" s="37">
        <v>5143</v>
      </c>
      <c r="C77" s="37">
        <v>18455</v>
      </c>
      <c r="D77" s="37">
        <v>6092</v>
      </c>
      <c r="E77" s="37">
        <v>4123</v>
      </c>
      <c r="F77" s="37">
        <v>13646</v>
      </c>
      <c r="G77" s="37">
        <v>714</v>
      </c>
      <c r="H77" s="37">
        <v>-347</v>
      </c>
      <c r="I77" s="37">
        <v>46826</v>
      </c>
    </row>
    <row r="78" spans="1:9" x14ac:dyDescent="0.2">
      <c r="A78" s="21">
        <v>2019</v>
      </c>
      <c r="B78" s="37">
        <v>5576</v>
      </c>
      <c r="C78" s="37">
        <v>22237</v>
      </c>
      <c r="D78" s="37">
        <v>6835</v>
      </c>
      <c r="E78" s="37">
        <v>4405</v>
      </c>
      <c r="F78" s="37">
        <v>14791</v>
      </c>
      <c r="G78" s="37">
        <v>1214</v>
      </c>
      <c r="H78" s="37">
        <v>-1388</v>
      </c>
      <c r="I78" s="37">
        <v>53670</v>
      </c>
    </row>
    <row r="79" spans="1:9" x14ac:dyDescent="0.2">
      <c r="A79" s="21">
        <v>2020</v>
      </c>
      <c r="B79" s="37">
        <v>4755</v>
      </c>
      <c r="C79" s="37">
        <v>21207</v>
      </c>
      <c r="D79" s="37">
        <v>5248</v>
      </c>
      <c r="E79" s="37">
        <v>3356</v>
      </c>
      <c r="F79" s="37">
        <v>10155</v>
      </c>
      <c r="G79" s="37">
        <v>868</v>
      </c>
      <c r="H79" s="37">
        <v>-938</v>
      </c>
      <c r="I79" s="37">
        <v>44651</v>
      </c>
    </row>
    <row r="99" spans="1:9" ht="51" x14ac:dyDescent="0.2">
      <c r="A99" s="25" t="s">
        <v>25</v>
      </c>
      <c r="B99" s="25" t="s">
        <v>7</v>
      </c>
      <c r="C99" s="25" t="s">
        <v>8</v>
      </c>
      <c r="D99" s="25" t="s">
        <v>9</v>
      </c>
      <c r="E99" s="25" t="s">
        <v>10</v>
      </c>
      <c r="F99" s="25" t="s">
        <v>11</v>
      </c>
      <c r="G99" s="25" t="s">
        <v>23</v>
      </c>
      <c r="H99" s="19"/>
    </row>
    <row r="100" spans="1:9" x14ac:dyDescent="0.2">
      <c r="A100" s="16">
        <v>2016</v>
      </c>
      <c r="B100" s="24">
        <f t="shared" ref="B100:G100" si="2">B75/$I$75</f>
        <v>0.12859042553191488</v>
      </c>
      <c r="C100" s="24">
        <f t="shared" si="2"/>
        <v>0.33976063829787234</v>
      </c>
      <c r="D100" s="24">
        <f t="shared" si="2"/>
        <v>0.13172872340425532</v>
      </c>
      <c r="E100" s="24">
        <f t="shared" si="2"/>
        <v>9.2234042553191495E-2</v>
      </c>
      <c r="F100" s="24">
        <f t="shared" si="2"/>
        <v>0.31843085106382979</v>
      </c>
      <c r="G100" s="24">
        <f t="shared" si="2"/>
        <v>1.696808510638298E-2</v>
      </c>
      <c r="H100" s="22"/>
    </row>
    <row r="101" spans="1:9" x14ac:dyDescent="0.2">
      <c r="A101" s="21">
        <v>2017</v>
      </c>
      <c r="B101" s="24">
        <f t="shared" ref="B101:G101" si="3">B76/$I$76</f>
        <v>0.11924195515526785</v>
      </c>
      <c r="C101" s="24">
        <f t="shared" si="3"/>
        <v>0.3628858241861338</v>
      </c>
      <c r="D101" s="24">
        <f t="shared" si="3"/>
        <v>0.13040622947743691</v>
      </c>
      <c r="E101" s="24">
        <f t="shared" si="3"/>
        <v>8.9243831503893423E-2</v>
      </c>
      <c r="F101" s="24">
        <f t="shared" si="3"/>
        <v>0.31220095693779903</v>
      </c>
      <c r="G101" s="24">
        <f t="shared" si="3"/>
        <v>1.5268786940613566E-2</v>
      </c>
      <c r="H101" s="22"/>
    </row>
    <row r="102" spans="1:9" x14ac:dyDescent="0.2">
      <c r="A102" s="21">
        <v>2018</v>
      </c>
      <c r="B102" s="24">
        <f>B77/$I$77</f>
        <v>0.10983214453508734</v>
      </c>
      <c r="C102" s="24">
        <f t="shared" ref="C102:F102" si="4">C77/$I$77</f>
        <v>0.394118652030923</v>
      </c>
      <c r="D102" s="24">
        <f t="shared" si="4"/>
        <v>0.13009866313586468</v>
      </c>
      <c r="E102" s="24">
        <f t="shared" si="4"/>
        <v>8.804937427924657E-2</v>
      </c>
      <c r="F102" s="24">
        <f t="shared" si="4"/>
        <v>0.29141929697176783</v>
      </c>
      <c r="G102" s="24">
        <f>G77/$I$77</f>
        <v>1.5247939179088541E-2</v>
      </c>
      <c r="H102" s="22"/>
    </row>
    <row r="103" spans="1:9" x14ac:dyDescent="0.2">
      <c r="A103" s="21">
        <v>2019</v>
      </c>
      <c r="B103" s="24">
        <f>B78/$I$78</f>
        <v>0.1038941680640954</v>
      </c>
      <c r="C103" s="24">
        <f t="shared" ref="C103:G103" si="5">C78/$I$78</f>
        <v>0.41432830258990122</v>
      </c>
      <c r="D103" s="24">
        <f t="shared" si="5"/>
        <v>0.12735233836407678</v>
      </c>
      <c r="E103" s="24">
        <f t="shared" si="5"/>
        <v>8.2075647475312097E-2</v>
      </c>
      <c r="F103" s="24">
        <f t="shared" si="5"/>
        <v>0.27559157816284702</v>
      </c>
      <c r="G103" s="24">
        <f t="shared" si="5"/>
        <v>2.2619713061300541E-2</v>
      </c>
      <c r="H103" s="22"/>
    </row>
    <row r="104" spans="1:9" x14ac:dyDescent="0.2">
      <c r="A104" s="21">
        <v>2020</v>
      </c>
      <c r="B104" s="24">
        <f>B79/$I$79</f>
        <v>0.10649257575418243</v>
      </c>
      <c r="C104" s="24">
        <f t="shared" ref="C104:G104" si="6">C79/$I$79</f>
        <v>0.47495016908915816</v>
      </c>
      <c r="D104" s="24">
        <f t="shared" si="6"/>
        <v>0.11753376184184004</v>
      </c>
      <c r="E104" s="24">
        <f t="shared" si="6"/>
        <v>7.5160690690018142E-2</v>
      </c>
      <c r="F104" s="24">
        <f t="shared" si="6"/>
        <v>0.22743051667375871</v>
      </c>
      <c r="G104" s="24">
        <f t="shared" si="6"/>
        <v>1.9439654207072631E-2</v>
      </c>
      <c r="H104" s="22"/>
    </row>
    <row r="105" spans="1:9" x14ac:dyDescent="0.2">
      <c r="H105" s="22"/>
    </row>
    <row r="107" spans="1:9" x14ac:dyDescent="0.2">
      <c r="A107" s="20"/>
      <c r="B107" s="19"/>
      <c r="C107" s="19"/>
      <c r="D107" s="19"/>
      <c r="E107" s="19"/>
      <c r="F107" s="19"/>
      <c r="G107" s="19"/>
    </row>
    <row r="108" spans="1:9" ht="17" x14ac:dyDescent="0.2">
      <c r="A108" s="25" t="s">
        <v>6</v>
      </c>
      <c r="B108" s="33">
        <v>2015</v>
      </c>
      <c r="C108" s="33">
        <v>2016</v>
      </c>
      <c r="D108" s="34">
        <v>2017</v>
      </c>
      <c r="E108" s="34">
        <v>2018</v>
      </c>
      <c r="F108" s="34">
        <v>2019</v>
      </c>
      <c r="G108" s="34">
        <v>2020</v>
      </c>
      <c r="H108" s="33" t="s">
        <v>22</v>
      </c>
    </row>
    <row r="109" spans="1:9" ht="17" x14ac:dyDescent="0.2">
      <c r="A109" s="20" t="s">
        <v>7</v>
      </c>
      <c r="B109" s="50">
        <v>4603</v>
      </c>
      <c r="C109" s="50">
        <v>4835</v>
      </c>
      <c r="D109" s="50">
        <v>5084</v>
      </c>
      <c r="E109" s="50">
        <v>5143</v>
      </c>
      <c r="F109" s="50">
        <v>5576</v>
      </c>
      <c r="G109" s="50">
        <v>4755</v>
      </c>
      <c r="H109" s="19"/>
      <c r="I109" s="19"/>
    </row>
    <row r="110" spans="1:9" x14ac:dyDescent="0.2">
      <c r="A110" s="32" t="s">
        <v>21</v>
      </c>
      <c r="B110" s="26"/>
      <c r="C110" s="27">
        <f>(C109-B109)/B109</f>
        <v>5.0401911796654354E-2</v>
      </c>
      <c r="D110" s="27">
        <f t="shared" ref="D110:G110" si="7">(D109-C109)/C109</f>
        <v>5.1499482936918306E-2</v>
      </c>
      <c r="E110" s="27">
        <f t="shared" si="7"/>
        <v>1.1605035405192761E-2</v>
      </c>
      <c r="F110" s="27">
        <f t="shared" si="7"/>
        <v>8.4192105774839585E-2</v>
      </c>
      <c r="G110" s="27">
        <f t="shared" si="7"/>
        <v>-0.14723816355810618</v>
      </c>
      <c r="H110" s="31">
        <f>AVERAGE(C110:G110)</f>
        <v>1.0092074471099759E-2</v>
      </c>
      <c r="I110" s="19"/>
    </row>
    <row r="111" spans="1:9" x14ac:dyDescent="0.2">
      <c r="A111" s="32"/>
      <c r="B111" s="26"/>
      <c r="C111" s="27"/>
      <c r="D111" s="27"/>
      <c r="E111" s="27"/>
      <c r="F111" s="27"/>
      <c r="G111" s="27"/>
      <c r="H111" s="35"/>
      <c r="I111" s="19"/>
    </row>
    <row r="112" spans="1:9" ht="17" x14ac:dyDescent="0.2">
      <c r="A112" s="20" t="s">
        <v>8</v>
      </c>
      <c r="B112" s="50">
        <v>12369</v>
      </c>
      <c r="C112" s="50">
        <v>12775</v>
      </c>
      <c r="D112" s="50">
        <v>15472</v>
      </c>
      <c r="E112" s="50">
        <v>18455</v>
      </c>
      <c r="F112" s="50">
        <v>22237</v>
      </c>
      <c r="G112" s="50">
        <v>21207</v>
      </c>
      <c r="H112" s="30"/>
      <c r="I112" s="22"/>
    </row>
    <row r="113" spans="1:9" x14ac:dyDescent="0.2">
      <c r="A113" s="32" t="s">
        <v>21</v>
      </c>
      <c r="B113" s="23"/>
      <c r="C113" s="27">
        <f>(C112-B112)/B112</f>
        <v>3.2823995472552346E-2</v>
      </c>
      <c r="D113" s="27">
        <f t="shared" ref="D113:G113" si="8">(D112-C112)/C112</f>
        <v>0.21111545988258318</v>
      </c>
      <c r="E113" s="27">
        <f t="shared" si="8"/>
        <v>0.19279989658738367</v>
      </c>
      <c r="F113" s="27">
        <f t="shared" si="8"/>
        <v>0.20493091303169872</v>
      </c>
      <c r="G113" s="27">
        <f t="shared" si="8"/>
        <v>-4.631919773350722E-2</v>
      </c>
      <c r="H113" s="31">
        <f t="shared" ref="H113:H125" si="9">AVERAGE(C113:G113)</f>
        <v>0.11907021344814214</v>
      </c>
      <c r="I113" s="22"/>
    </row>
    <row r="114" spans="1:9" x14ac:dyDescent="0.2">
      <c r="A114" s="32"/>
      <c r="B114" s="23"/>
      <c r="C114" s="27"/>
      <c r="D114" s="27"/>
      <c r="E114" s="27"/>
      <c r="F114" s="27"/>
      <c r="G114" s="27"/>
      <c r="H114" s="35"/>
      <c r="I114" s="22"/>
    </row>
    <row r="115" spans="1:9" ht="17" x14ac:dyDescent="0.2">
      <c r="A115" s="20" t="s">
        <v>9</v>
      </c>
      <c r="B115" s="36">
        <v>4671</v>
      </c>
      <c r="C115" s="36">
        <v>4953</v>
      </c>
      <c r="D115" s="36">
        <v>5560</v>
      </c>
      <c r="E115" s="36">
        <v>6092</v>
      </c>
      <c r="F115" s="36">
        <v>6835</v>
      </c>
      <c r="G115" s="36">
        <v>5248</v>
      </c>
      <c r="H115" s="29"/>
      <c r="I115" s="22"/>
    </row>
    <row r="116" spans="1:9" x14ac:dyDescent="0.2">
      <c r="A116" s="32" t="s">
        <v>21</v>
      </c>
      <c r="B116" s="23"/>
      <c r="C116" s="27">
        <f>(C115-B115)/B115</f>
        <v>6.0372511239563262E-2</v>
      </c>
      <c r="D116" s="27">
        <f t="shared" ref="D116:G116" si="10">(D115-C115)/C115</f>
        <v>0.12255198869372098</v>
      </c>
      <c r="E116" s="27">
        <f t="shared" si="10"/>
        <v>9.5683453237410065E-2</v>
      </c>
      <c r="F116" s="27">
        <f t="shared" si="10"/>
        <v>0.12196323046618517</v>
      </c>
      <c r="G116" s="27">
        <f t="shared" si="10"/>
        <v>-0.2321872713972202</v>
      </c>
      <c r="H116" s="31">
        <f t="shared" si="9"/>
        <v>3.3676782447931861E-2</v>
      </c>
      <c r="I116" s="22"/>
    </row>
    <row r="117" spans="1:9" x14ac:dyDescent="0.2">
      <c r="A117" s="32"/>
      <c r="B117" s="23"/>
      <c r="C117" s="27"/>
      <c r="D117" s="27"/>
      <c r="E117" s="27"/>
      <c r="F117" s="27"/>
      <c r="G117" s="27"/>
      <c r="H117" s="35"/>
      <c r="I117" s="22"/>
    </row>
    <row r="118" spans="1:9" ht="17" x14ac:dyDescent="0.2">
      <c r="A118" s="20" t="s">
        <v>10</v>
      </c>
      <c r="B118" s="36">
        <v>3308</v>
      </c>
      <c r="C118" s="36">
        <v>3468</v>
      </c>
      <c r="D118" s="36">
        <v>3805</v>
      </c>
      <c r="E118" s="36">
        <v>4123</v>
      </c>
      <c r="F118" s="36">
        <v>4405</v>
      </c>
      <c r="G118" s="36">
        <v>3356</v>
      </c>
      <c r="H118" s="29"/>
      <c r="I118" s="22"/>
    </row>
    <row r="119" spans="1:9" x14ac:dyDescent="0.2">
      <c r="A119" s="32" t="s">
        <v>21</v>
      </c>
      <c r="B119" s="23"/>
      <c r="C119" s="27">
        <f>(C118-B118)/B118</f>
        <v>4.8367593712212817E-2</v>
      </c>
      <c r="D119" s="27">
        <f t="shared" ref="D119:G119" si="11">(D118-C118)/C118</f>
        <v>9.7174163783160322E-2</v>
      </c>
      <c r="E119" s="27">
        <f t="shared" si="11"/>
        <v>8.3574244415243096E-2</v>
      </c>
      <c r="F119" s="27">
        <f t="shared" si="11"/>
        <v>6.8396798447732235E-2</v>
      </c>
      <c r="G119" s="27">
        <f t="shared" si="11"/>
        <v>-0.23813847900113508</v>
      </c>
      <c r="H119" s="31">
        <f t="shared" si="9"/>
        <v>1.1874864271442669E-2</v>
      </c>
      <c r="I119" s="22"/>
    </row>
    <row r="120" spans="1:9" x14ac:dyDescent="0.2">
      <c r="A120" s="32"/>
      <c r="B120" s="23"/>
      <c r="C120" s="27"/>
      <c r="D120" s="27"/>
      <c r="E120" s="27"/>
      <c r="F120" s="27"/>
      <c r="G120" s="27"/>
      <c r="H120" s="35"/>
      <c r="I120" s="22"/>
    </row>
    <row r="121" spans="1:9" ht="17" x14ac:dyDescent="0.2">
      <c r="A121" s="20" t="s">
        <v>11</v>
      </c>
      <c r="B121" s="36">
        <v>11193</v>
      </c>
      <c r="C121" s="36">
        <v>11973</v>
      </c>
      <c r="D121" s="36">
        <v>13311</v>
      </c>
      <c r="E121" s="36">
        <v>13646</v>
      </c>
      <c r="F121" s="36">
        <v>14791</v>
      </c>
      <c r="G121" s="36">
        <v>10155</v>
      </c>
      <c r="H121" s="29"/>
      <c r="I121" s="22"/>
    </row>
    <row r="122" spans="1:9" x14ac:dyDescent="0.2">
      <c r="A122" s="32" t="s">
        <v>21</v>
      </c>
      <c r="B122" s="23"/>
      <c r="C122" s="27">
        <f>(C121-B121)/B121</f>
        <v>6.968641114982578E-2</v>
      </c>
      <c r="D122" s="27">
        <f t="shared" ref="D122:G122" si="12">(D121-C121)/C121</f>
        <v>0.11175144074166876</v>
      </c>
      <c r="E122" s="27">
        <f t="shared" si="12"/>
        <v>2.5167154984599205E-2</v>
      </c>
      <c r="F122" s="27">
        <f t="shared" si="12"/>
        <v>8.3907372123699253E-2</v>
      </c>
      <c r="G122" s="27">
        <f t="shared" si="12"/>
        <v>-0.31343384490568588</v>
      </c>
      <c r="H122" s="31">
        <f t="shared" si="9"/>
        <v>-4.5842931811785779E-3</v>
      </c>
      <c r="I122" s="22"/>
    </row>
    <row r="123" spans="1:9" x14ac:dyDescent="0.2">
      <c r="A123" s="32"/>
      <c r="B123" s="23"/>
      <c r="C123" s="27"/>
      <c r="D123" s="27"/>
      <c r="E123" s="27"/>
      <c r="F123" s="27"/>
      <c r="G123" s="27"/>
      <c r="H123" s="35"/>
      <c r="I123" s="22"/>
    </row>
    <row r="124" spans="1:9" ht="17" x14ac:dyDescent="0.2">
      <c r="A124" s="20" t="s">
        <v>23</v>
      </c>
      <c r="B124" s="36">
        <v>448</v>
      </c>
      <c r="C124" s="36">
        <v>638</v>
      </c>
      <c r="D124" s="36">
        <v>651</v>
      </c>
      <c r="E124" s="36">
        <v>714</v>
      </c>
      <c r="F124" s="36">
        <v>1214</v>
      </c>
      <c r="G124" s="36">
        <v>868</v>
      </c>
      <c r="H124" s="29"/>
      <c r="I124" s="22"/>
    </row>
    <row r="125" spans="1:9" x14ac:dyDescent="0.2">
      <c r="A125" s="32" t="s">
        <v>21</v>
      </c>
      <c r="B125" s="23"/>
      <c r="C125" s="28">
        <f>(C124-B124)/B124</f>
        <v>0.42410714285714285</v>
      </c>
      <c r="D125" s="28">
        <f t="shared" ref="D125:G125" si="13">(D124-C124)/C124</f>
        <v>2.037617554858934E-2</v>
      </c>
      <c r="E125" s="28">
        <f t="shared" si="13"/>
        <v>9.6774193548387094E-2</v>
      </c>
      <c r="F125" s="28">
        <f t="shared" si="13"/>
        <v>0.70028011204481788</v>
      </c>
      <c r="G125" s="28">
        <f t="shared" si="13"/>
        <v>-0.28500823723228996</v>
      </c>
      <c r="H125" s="31">
        <f t="shared" si="9"/>
        <v>0.19130587735332943</v>
      </c>
      <c r="I125" s="22"/>
    </row>
    <row r="126" spans="1:9" x14ac:dyDescent="0.2">
      <c r="A126" s="19"/>
      <c r="B126" s="23"/>
      <c r="C126" s="23"/>
      <c r="D126" s="23"/>
      <c r="E126" s="23"/>
      <c r="F126" s="23"/>
      <c r="G126" s="23"/>
      <c r="H126" s="22"/>
      <c r="I126" s="22"/>
    </row>
    <row r="127" spans="1:9" ht="34" x14ac:dyDescent="0.2">
      <c r="A127" s="19" t="s">
        <v>26</v>
      </c>
      <c r="B127" s="39" t="s">
        <v>27</v>
      </c>
      <c r="C127" s="39" t="s">
        <v>28</v>
      </c>
      <c r="D127" s="39" t="s">
        <v>29</v>
      </c>
      <c r="E127" s="23"/>
      <c r="F127" s="23"/>
      <c r="G127" s="23"/>
      <c r="H127" s="22"/>
      <c r="I127" s="22"/>
    </row>
    <row r="128" spans="1:9" ht="17" x14ac:dyDescent="0.2">
      <c r="A128" s="19" t="s">
        <v>7</v>
      </c>
      <c r="B128" s="23"/>
      <c r="C128" s="23"/>
      <c r="D128" s="23"/>
      <c r="E128" s="23"/>
      <c r="F128" s="23"/>
      <c r="G128" s="23"/>
    </row>
    <row r="129" spans="1:15" ht="17" x14ac:dyDescent="0.2">
      <c r="A129" s="19" t="s">
        <v>8</v>
      </c>
    </row>
    <row r="130" spans="1:15" ht="17" x14ac:dyDescent="0.2">
      <c r="A130" s="19" t="s">
        <v>9</v>
      </c>
    </row>
    <row r="131" spans="1:15" ht="17" x14ac:dyDescent="0.2">
      <c r="A131" s="19" t="s">
        <v>10</v>
      </c>
    </row>
    <row r="132" spans="1:15" ht="17" x14ac:dyDescent="0.2">
      <c r="A132" s="19" t="s">
        <v>11</v>
      </c>
    </row>
    <row r="133" spans="1:15" ht="17" x14ac:dyDescent="0.2">
      <c r="A133" s="19" t="s">
        <v>23</v>
      </c>
    </row>
    <row r="134" spans="1:15" ht="17" x14ac:dyDescent="0.2">
      <c r="A134" s="19" t="s">
        <v>24</v>
      </c>
    </row>
    <row r="135" spans="1:15" ht="17" x14ac:dyDescent="0.2">
      <c r="A135" s="19" t="s">
        <v>13</v>
      </c>
    </row>
    <row r="138" spans="1:15" ht="17" x14ac:dyDescent="0.2">
      <c r="A138" s="25" t="s">
        <v>6</v>
      </c>
      <c r="B138" s="34">
        <v>2020</v>
      </c>
      <c r="C138" s="33">
        <v>2021</v>
      </c>
      <c r="D138" s="34">
        <v>2022</v>
      </c>
      <c r="E138" s="33">
        <v>2023</v>
      </c>
      <c r="F138" s="34">
        <v>2024</v>
      </c>
      <c r="G138" s="33">
        <v>2025</v>
      </c>
      <c r="H138" s="34">
        <v>2026</v>
      </c>
      <c r="I138" s="33">
        <v>2027</v>
      </c>
      <c r="J138" s="34">
        <v>2028</v>
      </c>
      <c r="K138" s="33">
        <v>2029</v>
      </c>
      <c r="L138" s="34">
        <v>2030</v>
      </c>
      <c r="M138" s="12"/>
      <c r="N138" s="12"/>
      <c r="O138" s="12"/>
    </row>
    <row r="139" spans="1:15" ht="17" x14ac:dyDescent="0.2">
      <c r="A139" s="20" t="s">
        <v>7</v>
      </c>
      <c r="B139" s="50">
        <v>4755</v>
      </c>
      <c r="C139" s="52">
        <f>B139*(1+C140)</f>
        <v>4992.75</v>
      </c>
      <c r="D139" s="52">
        <f t="shared" ref="D139:L139" si="14">C139*(1+D140)</f>
        <v>5242.3874999999998</v>
      </c>
      <c r="E139" s="52">
        <f t="shared" si="14"/>
        <v>5399.6591250000001</v>
      </c>
      <c r="F139" s="52">
        <f t="shared" si="14"/>
        <v>5561.6488987500006</v>
      </c>
      <c r="G139" s="52">
        <f t="shared" si="14"/>
        <v>5728.4983657125003</v>
      </c>
      <c r="H139" s="52">
        <f t="shared" si="14"/>
        <v>5871.7108248553122</v>
      </c>
      <c r="I139" s="52">
        <f t="shared" si="14"/>
        <v>6018.5035954766945</v>
      </c>
      <c r="J139" s="52">
        <f t="shared" si="14"/>
        <v>6168.9661853636117</v>
      </c>
      <c r="K139" s="52">
        <f t="shared" si="14"/>
        <v>6323.1903399977018</v>
      </c>
      <c r="L139" s="52">
        <f t="shared" si="14"/>
        <v>6481.2700984976436</v>
      </c>
      <c r="M139" s="12"/>
      <c r="N139" s="12"/>
      <c r="O139" s="12"/>
    </row>
    <row r="140" spans="1:15" x14ac:dyDescent="0.2">
      <c r="A140" s="32" t="s">
        <v>21</v>
      </c>
      <c r="B140" s="107"/>
      <c r="C140" s="108">
        <v>0.05</v>
      </c>
      <c r="D140" s="108">
        <v>0.05</v>
      </c>
      <c r="E140" s="108">
        <v>0.03</v>
      </c>
      <c r="F140" s="108">
        <v>0.03</v>
      </c>
      <c r="G140" s="108">
        <v>0.03</v>
      </c>
      <c r="H140" s="109">
        <v>2.5000000000000001E-2</v>
      </c>
      <c r="I140" s="109">
        <v>2.5000000000000001E-2</v>
      </c>
      <c r="J140" s="109">
        <v>2.5000000000000001E-2</v>
      </c>
      <c r="K140" s="109">
        <v>2.5000000000000001E-2</v>
      </c>
      <c r="L140" s="109">
        <v>2.5000000000000001E-2</v>
      </c>
      <c r="M140" s="12"/>
      <c r="N140" s="12"/>
      <c r="O140" s="12"/>
    </row>
    <row r="141" spans="1:15" x14ac:dyDescent="0.2">
      <c r="A141" s="32"/>
      <c r="B141" s="27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ht="17" x14ac:dyDescent="0.2">
      <c r="A142" s="20" t="s">
        <v>8</v>
      </c>
      <c r="B142" s="50">
        <v>21207</v>
      </c>
      <c r="C142" s="52">
        <f>B142*(1+C143)</f>
        <v>25872.54</v>
      </c>
      <c r="D142" s="52">
        <f t="shared" ref="D142:L142" si="15">C142*(1+D143)</f>
        <v>31564.498800000001</v>
      </c>
      <c r="E142" s="52">
        <f t="shared" si="15"/>
        <v>36614.818608000001</v>
      </c>
      <c r="F142" s="52">
        <f t="shared" si="15"/>
        <v>42473.189585280001</v>
      </c>
      <c r="G142" s="52">
        <f t="shared" si="15"/>
        <v>49268.899918924799</v>
      </c>
      <c r="H142" s="52">
        <f t="shared" si="15"/>
        <v>55181.167909195778</v>
      </c>
      <c r="I142" s="52">
        <f t="shared" si="15"/>
        <v>61802.908058299276</v>
      </c>
      <c r="J142" s="52">
        <f t="shared" si="15"/>
        <v>69219.257025295199</v>
      </c>
      <c r="K142" s="52">
        <f t="shared" si="15"/>
        <v>77525.567868330632</v>
      </c>
      <c r="L142" s="52">
        <f t="shared" si="15"/>
        <v>86828.636012530318</v>
      </c>
      <c r="M142" s="12"/>
      <c r="N142" s="12"/>
      <c r="O142" s="12"/>
    </row>
    <row r="143" spans="1:15" x14ac:dyDescent="0.2">
      <c r="A143" s="32" t="s">
        <v>21</v>
      </c>
      <c r="B143" s="27"/>
      <c r="C143" s="108">
        <v>0.22</v>
      </c>
      <c r="D143" s="108">
        <v>0.22</v>
      </c>
      <c r="E143" s="108">
        <v>0.16</v>
      </c>
      <c r="F143" s="108">
        <v>0.16</v>
      </c>
      <c r="G143" s="108">
        <v>0.16</v>
      </c>
      <c r="H143" s="108">
        <v>0.12</v>
      </c>
      <c r="I143" s="108">
        <v>0.12</v>
      </c>
      <c r="J143" s="108">
        <v>0.12</v>
      </c>
      <c r="K143" s="108">
        <v>0.12</v>
      </c>
      <c r="L143" s="108">
        <v>0.12</v>
      </c>
      <c r="M143" s="12"/>
      <c r="N143" s="12"/>
      <c r="O143" s="12"/>
    </row>
    <row r="144" spans="1:15" x14ac:dyDescent="0.2">
      <c r="A144" s="32"/>
      <c r="B144" s="27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ht="17" x14ac:dyDescent="0.2">
      <c r="A145" s="20" t="s">
        <v>9</v>
      </c>
      <c r="B145" s="50">
        <v>5248</v>
      </c>
      <c r="C145" s="52">
        <f>B145*(1+C146)</f>
        <v>5720.3200000000006</v>
      </c>
      <c r="D145" s="52">
        <f t="shared" ref="D145:L145" si="16">C145*(1+D146)</f>
        <v>6235.1488000000008</v>
      </c>
      <c r="E145" s="52">
        <f t="shared" si="16"/>
        <v>6609.2577280000014</v>
      </c>
      <c r="F145" s="52">
        <f t="shared" si="16"/>
        <v>7005.8131916800021</v>
      </c>
      <c r="G145" s="52">
        <f t="shared" si="16"/>
        <v>7426.161983180803</v>
      </c>
      <c r="H145" s="52">
        <f t="shared" si="16"/>
        <v>7723.2084625080352</v>
      </c>
      <c r="I145" s="52">
        <f t="shared" si="16"/>
        <v>8032.136801008357</v>
      </c>
      <c r="J145" s="52">
        <f t="shared" si="16"/>
        <v>8353.4222730486908</v>
      </c>
      <c r="K145" s="52">
        <f t="shared" si="16"/>
        <v>8687.5591639706381</v>
      </c>
      <c r="L145" s="52">
        <f t="shared" si="16"/>
        <v>9035.0615305294632</v>
      </c>
      <c r="M145" s="12"/>
      <c r="N145" s="12"/>
      <c r="O145" s="12"/>
    </row>
    <row r="146" spans="1:15" x14ac:dyDescent="0.2">
      <c r="A146" s="32" t="s">
        <v>21</v>
      </c>
      <c r="B146" s="27"/>
      <c r="C146" s="108">
        <v>0.09</v>
      </c>
      <c r="D146" s="108">
        <v>0.09</v>
      </c>
      <c r="E146" s="108">
        <v>0.06</v>
      </c>
      <c r="F146" s="108">
        <v>0.06</v>
      </c>
      <c r="G146" s="108">
        <v>0.06</v>
      </c>
      <c r="H146" s="108">
        <v>0.04</v>
      </c>
      <c r="I146" s="108">
        <v>0.04</v>
      </c>
      <c r="J146" s="108">
        <v>0.04</v>
      </c>
      <c r="K146" s="108">
        <v>0.04</v>
      </c>
      <c r="L146" s="108">
        <v>0.04</v>
      </c>
      <c r="M146" s="12"/>
      <c r="N146" s="12"/>
      <c r="O146" s="12"/>
    </row>
    <row r="147" spans="1:15" x14ac:dyDescent="0.2">
      <c r="A147" s="32"/>
      <c r="B147" s="27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ht="17" x14ac:dyDescent="0.2">
      <c r="A148" s="20" t="s">
        <v>10</v>
      </c>
      <c r="B148" s="50">
        <v>3356</v>
      </c>
      <c r="C148" s="52">
        <f>B148*(1+C149)</f>
        <v>3691.6000000000004</v>
      </c>
      <c r="D148" s="52">
        <f t="shared" ref="D148:L148" si="17">C148*(1+D149)</f>
        <v>4060.7600000000007</v>
      </c>
      <c r="E148" s="52">
        <f t="shared" si="17"/>
        <v>4385.6208000000006</v>
      </c>
      <c r="F148" s="52">
        <f t="shared" si="17"/>
        <v>4736.4704640000009</v>
      </c>
      <c r="G148" s="52">
        <f t="shared" si="17"/>
        <v>5115.388101120001</v>
      </c>
      <c r="H148" s="52">
        <f t="shared" si="17"/>
        <v>5422.311387187201</v>
      </c>
      <c r="I148" s="52">
        <f t="shared" si="17"/>
        <v>5747.6500704184336</v>
      </c>
      <c r="J148" s="52">
        <f t="shared" si="17"/>
        <v>6092.5090746435399</v>
      </c>
      <c r="K148" s="52">
        <f t="shared" si="17"/>
        <v>6458.059619122153</v>
      </c>
      <c r="L148" s="52">
        <f t="shared" si="17"/>
        <v>6845.5431962694829</v>
      </c>
      <c r="M148" s="12"/>
      <c r="N148" s="12"/>
      <c r="O148" s="12"/>
    </row>
    <row r="149" spans="1:15" x14ac:dyDescent="0.2">
      <c r="A149" s="32" t="s">
        <v>21</v>
      </c>
      <c r="B149" s="27"/>
      <c r="C149" s="108">
        <v>0.1</v>
      </c>
      <c r="D149" s="108">
        <v>0.1</v>
      </c>
      <c r="E149" s="108">
        <v>0.08</v>
      </c>
      <c r="F149" s="108">
        <v>0.08</v>
      </c>
      <c r="G149" s="108">
        <v>0.08</v>
      </c>
      <c r="H149" s="108">
        <v>0.06</v>
      </c>
      <c r="I149" s="108">
        <v>0.06</v>
      </c>
      <c r="J149" s="108">
        <v>0.06</v>
      </c>
      <c r="K149" s="108">
        <v>0.06</v>
      </c>
      <c r="L149" s="108">
        <v>0.06</v>
      </c>
      <c r="M149" s="12"/>
      <c r="N149" s="12"/>
      <c r="O149" s="12"/>
    </row>
    <row r="150" spans="1:15" x14ac:dyDescent="0.2">
      <c r="A150" s="32"/>
      <c r="B150" s="27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ht="17" x14ac:dyDescent="0.2">
      <c r="A151" s="20" t="s">
        <v>11</v>
      </c>
      <c r="B151" s="50">
        <v>10155</v>
      </c>
      <c r="C151" s="52">
        <f>B151*(1+C152)</f>
        <v>10764.300000000001</v>
      </c>
      <c r="D151" s="52">
        <f t="shared" ref="D151:L151" si="18">C151*(1+D152)</f>
        <v>11410.158000000001</v>
      </c>
      <c r="E151" s="52">
        <f t="shared" si="18"/>
        <v>11980.665900000002</v>
      </c>
      <c r="F151" s="52">
        <f t="shared" si="18"/>
        <v>12579.699195000003</v>
      </c>
      <c r="G151" s="52">
        <f t="shared" si="18"/>
        <v>13208.684154750004</v>
      </c>
      <c r="H151" s="52">
        <f t="shared" si="18"/>
        <v>13604.944679392505</v>
      </c>
      <c r="I151" s="52">
        <f t="shared" si="18"/>
        <v>14013.09301977428</v>
      </c>
      <c r="J151" s="52">
        <f t="shared" si="18"/>
        <v>14433.485810367509</v>
      </c>
      <c r="K151" s="52">
        <f t="shared" si="18"/>
        <v>14866.490384678535</v>
      </c>
      <c r="L151" s="52">
        <f t="shared" si="18"/>
        <v>15312.48509621889</v>
      </c>
      <c r="M151" s="12"/>
      <c r="N151" s="12"/>
      <c r="O151" s="12"/>
    </row>
    <row r="152" spans="1:15" x14ac:dyDescent="0.2">
      <c r="A152" s="32" t="s">
        <v>21</v>
      </c>
      <c r="B152" s="27"/>
      <c r="C152" s="108">
        <v>0.06</v>
      </c>
      <c r="D152" s="108">
        <v>0.06</v>
      </c>
      <c r="E152" s="108">
        <v>0.05</v>
      </c>
      <c r="F152" s="108">
        <v>0.05</v>
      </c>
      <c r="G152" s="108">
        <v>0.05</v>
      </c>
      <c r="H152" s="108">
        <v>0.03</v>
      </c>
      <c r="I152" s="108">
        <v>0.03</v>
      </c>
      <c r="J152" s="108">
        <v>0.03</v>
      </c>
      <c r="K152" s="108">
        <v>0.03</v>
      </c>
      <c r="L152" s="108">
        <v>0.03</v>
      </c>
      <c r="M152" s="12"/>
      <c r="N152" s="12"/>
      <c r="O152" s="12"/>
    </row>
    <row r="153" spans="1:15" x14ac:dyDescent="0.2">
      <c r="A153" s="32"/>
      <c r="B153" s="27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ht="17" x14ac:dyDescent="0.2">
      <c r="A154" s="20" t="s">
        <v>23</v>
      </c>
      <c r="B154" s="50">
        <v>868</v>
      </c>
      <c r="C154" s="52">
        <f>B154*(1+C155)</f>
        <v>1041.5999999999999</v>
      </c>
      <c r="D154" s="52">
        <f t="shared" ref="D154:L154" si="19">C154*(1+D155)</f>
        <v>1249.9199999999998</v>
      </c>
      <c r="E154" s="52">
        <f t="shared" si="19"/>
        <v>1437.4079999999997</v>
      </c>
      <c r="F154" s="52">
        <f t="shared" si="19"/>
        <v>1653.0191999999995</v>
      </c>
      <c r="G154" s="52">
        <f t="shared" si="19"/>
        <v>1900.9720799999993</v>
      </c>
      <c r="H154" s="52">
        <f t="shared" si="19"/>
        <v>2091.0692879999992</v>
      </c>
      <c r="I154" s="52">
        <f t="shared" si="19"/>
        <v>2300.1762167999996</v>
      </c>
      <c r="J154" s="52">
        <f t="shared" si="19"/>
        <v>2530.1938384799996</v>
      </c>
      <c r="K154" s="52">
        <f t="shared" si="19"/>
        <v>2783.2132223279996</v>
      </c>
      <c r="L154" s="52">
        <f t="shared" si="19"/>
        <v>3061.5345445608</v>
      </c>
      <c r="M154" s="12"/>
      <c r="N154" s="12"/>
      <c r="O154" s="12"/>
    </row>
    <row r="155" spans="1:15" x14ac:dyDescent="0.2">
      <c r="A155" s="32" t="s">
        <v>21</v>
      </c>
      <c r="B155" s="28"/>
      <c r="C155" s="108">
        <v>0.2</v>
      </c>
      <c r="D155" s="108">
        <v>0.2</v>
      </c>
      <c r="E155" s="108">
        <v>0.15</v>
      </c>
      <c r="F155" s="108">
        <v>0.15</v>
      </c>
      <c r="G155" s="108">
        <v>0.15</v>
      </c>
      <c r="H155" s="108">
        <v>0.1</v>
      </c>
      <c r="I155" s="108">
        <v>0.1</v>
      </c>
      <c r="J155" s="108">
        <v>0.1</v>
      </c>
      <c r="K155" s="108">
        <v>0.1</v>
      </c>
      <c r="L155" s="108">
        <v>0.1</v>
      </c>
      <c r="M155" s="12"/>
      <c r="N155" s="12"/>
      <c r="O155" s="12"/>
    </row>
    <row r="156" spans="1:1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">
      <c r="A157" s="16" t="s">
        <v>143</v>
      </c>
      <c r="B157" s="53">
        <f>G52</f>
        <v>44651</v>
      </c>
      <c r="C157" s="53">
        <f>C139+C142+C145+C148+C151+C154</f>
        <v>52083.11</v>
      </c>
      <c r="D157" s="53">
        <f t="shared" ref="D157:L157" si="20">D139+D142+D145+D148+D151+D154</f>
        <v>59762.873100000004</v>
      </c>
      <c r="E157" s="53">
        <f t="shared" si="20"/>
        <v>66427.430161000011</v>
      </c>
      <c r="F157" s="53">
        <f t="shared" si="20"/>
        <v>74009.840534710005</v>
      </c>
      <c r="G157" s="53">
        <f t="shared" si="20"/>
        <v>82648.604603688102</v>
      </c>
      <c r="H157" s="53">
        <f>H139+H142+H145+H148+H151+H154</f>
        <v>89894.412551138827</v>
      </c>
      <c r="I157" s="53">
        <f t="shared" si="20"/>
        <v>97914.467761777036</v>
      </c>
      <c r="J157" s="53">
        <f t="shared" si="20"/>
        <v>106797.83420719855</v>
      </c>
      <c r="K157" s="53">
        <f t="shared" si="20"/>
        <v>116644.08059842767</v>
      </c>
      <c r="L157" s="53">
        <f t="shared" si="20"/>
        <v>127564.5304786066</v>
      </c>
      <c r="M157" s="12"/>
      <c r="N157" s="12"/>
      <c r="O157" s="12"/>
    </row>
    <row r="158" spans="1:15" x14ac:dyDescent="0.2">
      <c r="A158" s="12"/>
      <c r="B158" s="12"/>
      <c r="C158" s="15">
        <f>(C157-B157)/B157</f>
        <v>0.16644890371996149</v>
      </c>
      <c r="D158" s="15">
        <f t="shared" ref="D158:L158" si="21">(D157-C157)/C157</f>
        <v>0.14745208379453539</v>
      </c>
      <c r="E158" s="15">
        <f t="shared" si="21"/>
        <v>0.11151667775155888</v>
      </c>
      <c r="F158" s="15">
        <f t="shared" si="21"/>
        <v>0.11414577314420449</v>
      </c>
      <c r="G158" s="15">
        <f t="shared" si="21"/>
        <v>0.11672453293459789</v>
      </c>
      <c r="H158" s="15">
        <f t="shared" si="21"/>
        <v>8.767005785754535E-2</v>
      </c>
      <c r="I158" s="15">
        <f t="shared" si="21"/>
        <v>8.9216392688208371E-2</v>
      </c>
      <c r="J158" s="15">
        <f t="shared" si="21"/>
        <v>9.0725779841182227E-2</v>
      </c>
      <c r="K158" s="15">
        <f t="shared" si="21"/>
        <v>9.219518789235373E-2</v>
      </c>
      <c r="L158" s="15">
        <f t="shared" si="21"/>
        <v>9.3621980851089456E-2</v>
      </c>
    </row>
    <row r="159" spans="1:1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</sheetData>
  <sortState xmlns:xlrd2="http://schemas.microsoft.com/office/spreadsheetml/2017/richdata2" ref="A74:I79">
    <sortCondition ref="A74:A79"/>
  </sortState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0B53-B9AB-A349-AB08-7989D3C5B20B}">
  <dimension ref="A2:R37"/>
  <sheetViews>
    <sheetView workbookViewId="0">
      <selection activeCell="J33" sqref="J33"/>
    </sheetView>
  </sheetViews>
  <sheetFormatPr baseColWidth="10" defaultRowHeight="16" x14ac:dyDescent="0.2"/>
  <cols>
    <col min="1" max="1" width="33.1640625" customWidth="1"/>
    <col min="2" max="7" width="15.33203125" bestFit="1" customWidth="1"/>
    <col min="8" max="8" width="13" bestFit="1" customWidth="1"/>
    <col min="9" max="9" width="13" customWidth="1"/>
    <col min="10" max="10" width="15" customWidth="1"/>
    <col min="11" max="11" width="15.33203125" customWidth="1"/>
    <col min="12" max="12" width="13.33203125" customWidth="1"/>
    <col min="13" max="13" width="14.5" customWidth="1"/>
    <col min="14" max="14" width="13.5" customWidth="1"/>
    <col min="15" max="15" width="15" customWidth="1"/>
    <col min="16" max="16" width="14.6640625" customWidth="1"/>
    <col min="17" max="17" width="15.33203125" customWidth="1"/>
  </cols>
  <sheetData>
    <row r="2" spans="1:18" x14ac:dyDescent="0.2">
      <c r="A2" s="97"/>
      <c r="B2" s="120" t="s">
        <v>144</v>
      </c>
      <c r="C2" s="120"/>
      <c r="D2" s="120"/>
      <c r="E2" s="120"/>
      <c r="F2" s="120"/>
      <c r="G2" s="120"/>
      <c r="H2" s="121" t="s">
        <v>145</v>
      </c>
      <c r="I2" s="121"/>
      <c r="J2" s="121"/>
      <c r="K2" s="121"/>
      <c r="L2" s="121"/>
      <c r="M2" s="121"/>
      <c r="N2" s="121"/>
      <c r="O2" s="121"/>
      <c r="P2" s="121"/>
      <c r="Q2" s="121"/>
    </row>
    <row r="3" spans="1:18" x14ac:dyDescent="0.2">
      <c r="A3" s="117"/>
      <c r="B3" s="118">
        <v>2015</v>
      </c>
      <c r="C3" s="118">
        <v>2016</v>
      </c>
      <c r="D3" s="118">
        <v>2017</v>
      </c>
      <c r="E3" s="118">
        <v>2018</v>
      </c>
      <c r="F3" s="118">
        <v>2019</v>
      </c>
      <c r="G3" s="118">
        <v>2020</v>
      </c>
      <c r="H3" s="118">
        <v>2021</v>
      </c>
      <c r="I3" s="118">
        <v>2022</v>
      </c>
      <c r="J3" s="118">
        <v>2023</v>
      </c>
      <c r="K3" s="118">
        <v>2024</v>
      </c>
      <c r="L3" s="118">
        <v>2025</v>
      </c>
      <c r="M3" s="118">
        <v>2026</v>
      </c>
      <c r="N3" s="118">
        <v>2027</v>
      </c>
      <c r="O3" s="118">
        <v>2028</v>
      </c>
      <c r="P3" s="118">
        <v>2029</v>
      </c>
      <c r="Q3" s="118">
        <v>2030</v>
      </c>
    </row>
    <row r="4" spans="1:18" x14ac:dyDescent="0.2">
      <c r="A4" s="63" t="s">
        <v>121</v>
      </c>
      <c r="B4" s="33"/>
      <c r="C4" s="33"/>
      <c r="D4" s="33"/>
      <c r="E4" s="33"/>
      <c r="F4" s="33"/>
      <c r="G4" s="33"/>
      <c r="H4" s="33" t="s">
        <v>122</v>
      </c>
      <c r="I4" s="33" t="s">
        <v>123</v>
      </c>
      <c r="J4" s="33" t="s">
        <v>124</v>
      </c>
      <c r="K4" s="33" t="s">
        <v>125</v>
      </c>
      <c r="L4" s="33" t="s">
        <v>126</v>
      </c>
      <c r="M4" s="33" t="s">
        <v>127</v>
      </c>
      <c r="N4" s="33" t="s">
        <v>128</v>
      </c>
      <c r="O4" s="33" t="s">
        <v>129</v>
      </c>
      <c r="P4" s="33" t="s">
        <v>130</v>
      </c>
      <c r="Q4" s="33" t="s">
        <v>131</v>
      </c>
    </row>
    <row r="5" spans="1:18" x14ac:dyDescent="0.2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8" x14ac:dyDescent="0.2">
      <c r="A6" s="69" t="s">
        <v>20</v>
      </c>
      <c r="B6" s="110">
        <v>35644</v>
      </c>
      <c r="C6" s="110">
        <v>37600</v>
      </c>
      <c r="D6" s="110">
        <v>42636</v>
      </c>
      <c r="E6" s="110">
        <v>46826</v>
      </c>
      <c r="F6" s="110">
        <v>53670</v>
      </c>
      <c r="G6" s="110">
        <v>44651</v>
      </c>
      <c r="H6" s="53">
        <f>G6*(1+H7)</f>
        <v>52083.11</v>
      </c>
      <c r="I6" s="53">
        <f t="shared" ref="I6:Q6" si="0">H6*(1+I7)</f>
        <v>59762.873100000004</v>
      </c>
      <c r="J6" s="53">
        <f t="shared" si="0"/>
        <v>66427.430161000011</v>
      </c>
      <c r="K6" s="53">
        <f t="shared" si="0"/>
        <v>74009.840534710005</v>
      </c>
      <c r="L6" s="53">
        <f t="shared" si="0"/>
        <v>82648.604603688102</v>
      </c>
      <c r="M6" s="53">
        <f t="shared" si="0"/>
        <v>89894.412551138827</v>
      </c>
      <c r="N6" s="53">
        <f t="shared" si="0"/>
        <v>97914.467761777036</v>
      </c>
      <c r="O6" s="53">
        <f t="shared" si="0"/>
        <v>106797.83420719855</v>
      </c>
      <c r="P6" s="53">
        <f t="shared" si="0"/>
        <v>116644.08059842767</v>
      </c>
      <c r="Q6" s="53">
        <f t="shared" si="0"/>
        <v>127564.5304786066</v>
      </c>
    </row>
    <row r="7" spans="1:18" x14ac:dyDescent="0.2">
      <c r="A7" s="69"/>
      <c r="B7" s="77"/>
      <c r="C7" s="77"/>
      <c r="D7" s="77"/>
      <c r="E7" s="77"/>
      <c r="F7" s="77"/>
      <c r="G7" s="77"/>
      <c r="H7" s="106">
        <f>Sheet1!C158</f>
        <v>0.16644890371996149</v>
      </c>
      <c r="I7" s="106">
        <f>Sheet1!D158</f>
        <v>0.14745208379453539</v>
      </c>
      <c r="J7" s="106">
        <f>Sheet1!E158</f>
        <v>0.11151667775155888</v>
      </c>
      <c r="K7" s="106">
        <f>Sheet1!F158</f>
        <v>0.11414577314420449</v>
      </c>
      <c r="L7" s="106">
        <f>Sheet1!G158</f>
        <v>0.11672453293459789</v>
      </c>
      <c r="M7" s="106">
        <f>Sheet1!H158</f>
        <v>8.767005785754535E-2</v>
      </c>
      <c r="N7" s="106">
        <f>Sheet1!I158</f>
        <v>8.9216392688208371E-2</v>
      </c>
      <c r="O7" s="106">
        <f>Sheet1!J158</f>
        <v>9.0725779841182227E-2</v>
      </c>
      <c r="P7" s="106">
        <f>Sheet1!K158</f>
        <v>9.219518789235373E-2</v>
      </c>
      <c r="Q7" s="106">
        <f>Sheet1!L158</f>
        <v>9.3621980851089456E-2</v>
      </c>
    </row>
    <row r="8" spans="1:18" x14ac:dyDescent="0.2">
      <c r="A8" s="69"/>
      <c r="B8" s="77"/>
      <c r="C8" s="77"/>
      <c r="D8" s="77"/>
      <c r="E8" s="77"/>
      <c r="F8" s="77"/>
      <c r="G8" s="77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8" x14ac:dyDescent="0.2">
      <c r="A9" s="70" t="s">
        <v>138</v>
      </c>
      <c r="B9" s="111">
        <f>B11+B14+B17</f>
        <v>12974</v>
      </c>
      <c r="C9" s="111">
        <f t="shared" ref="C9:F9" si="1">C11+C14+C17</f>
        <v>13610</v>
      </c>
      <c r="D9" s="111">
        <f t="shared" si="1"/>
        <v>14020</v>
      </c>
      <c r="E9" s="111">
        <f t="shared" si="1"/>
        <v>16137</v>
      </c>
      <c r="F9" s="111">
        <f t="shared" si="1"/>
        <v>17621</v>
      </c>
      <c r="G9" s="111">
        <f>G11+G14+G17</f>
        <v>16159</v>
      </c>
      <c r="H9" s="111">
        <f t="shared" ref="H9:Q9" si="2">H11+H14+H17</f>
        <v>16874.927640000002</v>
      </c>
      <c r="I9" s="111">
        <f t="shared" si="2"/>
        <v>19363.170884400002</v>
      </c>
      <c r="J9" s="111">
        <f t="shared" si="2"/>
        <v>21522.487372164003</v>
      </c>
      <c r="K9" s="111">
        <f t="shared" si="2"/>
        <v>23979.188333246042</v>
      </c>
      <c r="L9" s="111">
        <f t="shared" si="2"/>
        <v>26778.147891594945</v>
      </c>
      <c r="M9" s="111">
        <f t="shared" si="2"/>
        <v>29125.78966656898</v>
      </c>
      <c r="N9" s="111">
        <f t="shared" si="2"/>
        <v>31724.287554815761</v>
      </c>
      <c r="O9" s="111">
        <f t="shared" si="2"/>
        <v>34602.498283132329</v>
      </c>
      <c r="P9" s="111">
        <f t="shared" si="2"/>
        <v>37792.682113890565</v>
      </c>
      <c r="Q9" s="111">
        <f t="shared" si="2"/>
        <v>41330.907875068537</v>
      </c>
    </row>
    <row r="10" spans="1:18" x14ac:dyDescent="0.2">
      <c r="A10" s="12"/>
      <c r="B10" s="53"/>
      <c r="C10" s="53"/>
      <c r="D10" s="53"/>
      <c r="E10" s="53"/>
      <c r="F10" s="53"/>
      <c r="G10" s="53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8" x14ac:dyDescent="0.2">
      <c r="A11" s="12" t="s">
        <v>132</v>
      </c>
      <c r="B11" s="53">
        <v>2521</v>
      </c>
      <c r="C11" s="53">
        <v>2685</v>
      </c>
      <c r="D11" s="53">
        <v>2736</v>
      </c>
      <c r="E11" s="53">
        <v>3222</v>
      </c>
      <c r="F11" s="53">
        <v>3450</v>
      </c>
      <c r="G11" s="53">
        <v>2756</v>
      </c>
      <c r="H11" s="53">
        <f>H6*H12</f>
        <v>3385.4021500000003</v>
      </c>
      <c r="I11" s="53">
        <f t="shared" ref="I11:Q11" si="3">I6*I12</f>
        <v>3884.5867515000004</v>
      </c>
      <c r="J11" s="53">
        <f t="shared" si="3"/>
        <v>4317.7829604650005</v>
      </c>
      <c r="K11" s="53">
        <f t="shared" si="3"/>
        <v>4810.6396347561504</v>
      </c>
      <c r="L11" s="53">
        <f t="shared" si="3"/>
        <v>5372.1592992397264</v>
      </c>
      <c r="M11" s="53">
        <f t="shared" si="3"/>
        <v>5843.1368158240239</v>
      </c>
      <c r="N11" s="53">
        <f t="shared" si="3"/>
        <v>6364.4404045155079</v>
      </c>
      <c r="O11" s="53">
        <f t="shared" si="3"/>
        <v>6941.8592234679063</v>
      </c>
      <c r="P11" s="53">
        <f t="shared" si="3"/>
        <v>7581.8652388977989</v>
      </c>
      <c r="Q11" s="53">
        <f t="shared" si="3"/>
        <v>8291.694481109429</v>
      </c>
      <c r="R11" s="53"/>
    </row>
    <row r="12" spans="1:18" x14ac:dyDescent="0.2">
      <c r="A12" s="14" t="s">
        <v>140</v>
      </c>
      <c r="B12" s="15">
        <f t="shared" ref="B12:G12" si="4">B11/B6</f>
        <v>7.0727191112108637E-2</v>
      </c>
      <c r="C12" s="15">
        <f t="shared" si="4"/>
        <v>7.1409574468085102E-2</v>
      </c>
      <c r="D12" s="15">
        <f t="shared" si="4"/>
        <v>6.4171122994652413E-2</v>
      </c>
      <c r="E12" s="15">
        <f t="shared" si="4"/>
        <v>6.8807927219920559E-2</v>
      </c>
      <c r="F12" s="15">
        <f t="shared" si="4"/>
        <v>6.4281721632196753E-2</v>
      </c>
      <c r="G12" s="15">
        <f>G11/G6</f>
        <v>6.1723141698954112E-2</v>
      </c>
      <c r="H12" s="106">
        <v>6.5000000000000002E-2</v>
      </c>
      <c r="I12" s="106">
        <v>6.5000000000000002E-2</v>
      </c>
      <c r="J12" s="106">
        <v>6.5000000000000002E-2</v>
      </c>
      <c r="K12" s="106">
        <v>6.5000000000000002E-2</v>
      </c>
      <c r="L12" s="106">
        <v>6.5000000000000002E-2</v>
      </c>
      <c r="M12" s="106">
        <v>6.5000000000000002E-2</v>
      </c>
      <c r="N12" s="106">
        <v>6.5000000000000002E-2</v>
      </c>
      <c r="O12" s="106">
        <v>6.5000000000000002E-2</v>
      </c>
      <c r="P12" s="106">
        <v>6.5000000000000002E-2</v>
      </c>
      <c r="Q12" s="106">
        <v>6.5000000000000002E-2</v>
      </c>
    </row>
    <row r="13" spans="1:18" x14ac:dyDescent="0.2">
      <c r="A13" s="12"/>
      <c r="B13" s="52"/>
      <c r="C13" s="52"/>
      <c r="D13" s="52"/>
      <c r="E13" s="52"/>
      <c r="F13" s="52"/>
      <c r="G13" s="52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8" x14ac:dyDescent="0.2">
      <c r="A14" s="12" t="s">
        <v>133</v>
      </c>
      <c r="B14" s="53">
        <v>357</v>
      </c>
      <c r="C14" s="53">
        <v>379</v>
      </c>
      <c r="D14" s="53">
        <v>396</v>
      </c>
      <c r="E14" s="53">
        <v>430</v>
      </c>
      <c r="F14" s="53">
        <v>454</v>
      </c>
      <c r="G14" s="53">
        <v>387</v>
      </c>
      <c r="H14" s="53">
        <f>H6*H15</f>
        <v>468.74798999999996</v>
      </c>
      <c r="I14" s="53">
        <f t="shared" ref="I14:Q14" si="5">I6*I15</f>
        <v>537.86585790000004</v>
      </c>
      <c r="J14" s="53">
        <f t="shared" si="5"/>
        <v>597.8468714490001</v>
      </c>
      <c r="K14" s="53">
        <f t="shared" si="5"/>
        <v>666.08856481239002</v>
      </c>
      <c r="L14" s="53">
        <f t="shared" si="5"/>
        <v>743.83744143319291</v>
      </c>
      <c r="M14" s="53">
        <f t="shared" si="5"/>
        <v>809.04971296024939</v>
      </c>
      <c r="N14" s="53">
        <f t="shared" si="5"/>
        <v>881.23020985599328</v>
      </c>
      <c r="O14" s="53">
        <f t="shared" si="5"/>
        <v>961.18050786478693</v>
      </c>
      <c r="P14" s="53">
        <f t="shared" si="5"/>
        <v>1049.796725385849</v>
      </c>
      <c r="Q14" s="53">
        <f t="shared" si="5"/>
        <v>1148.0807743074593</v>
      </c>
    </row>
    <row r="15" spans="1:18" x14ac:dyDescent="0.2">
      <c r="A15" s="14" t="s">
        <v>140</v>
      </c>
      <c r="B15" s="15">
        <f>B14/B6</f>
        <v>1.0015710919088767E-2</v>
      </c>
      <c r="C15" s="15">
        <f t="shared" ref="C15:G15" si="6">C14/C6</f>
        <v>1.0079787234042552E-2</v>
      </c>
      <c r="D15" s="15">
        <f t="shared" si="6"/>
        <v>9.2879256965944269E-3</v>
      </c>
      <c r="E15" s="15">
        <f t="shared" si="6"/>
        <v>9.1829325588348356E-3</v>
      </c>
      <c r="F15" s="15">
        <f t="shared" si="6"/>
        <v>8.4591019191354571E-3</v>
      </c>
      <c r="G15" s="15">
        <f t="shared" si="6"/>
        <v>8.6672190992363E-3</v>
      </c>
      <c r="H15" s="109">
        <v>8.9999999999999993E-3</v>
      </c>
      <c r="I15" s="109">
        <v>8.9999999999999993E-3</v>
      </c>
      <c r="J15" s="109">
        <v>8.9999999999999993E-3</v>
      </c>
      <c r="K15" s="109">
        <v>8.9999999999999993E-3</v>
      </c>
      <c r="L15" s="109">
        <v>8.9999999999999993E-3</v>
      </c>
      <c r="M15" s="109">
        <v>8.9999999999999993E-3</v>
      </c>
      <c r="N15" s="109">
        <v>8.9999999999999993E-3</v>
      </c>
      <c r="O15" s="109">
        <v>8.9999999999999993E-3</v>
      </c>
      <c r="P15" s="109">
        <v>8.9999999999999993E-3</v>
      </c>
      <c r="Q15" s="109">
        <v>8.9999999999999993E-3</v>
      </c>
    </row>
    <row r="16" spans="1:18" x14ac:dyDescent="0.2">
      <c r="A16" s="12"/>
      <c r="B16" s="52"/>
      <c r="C16" s="52"/>
      <c r="D16" s="52"/>
      <c r="E16" s="52"/>
      <c r="F16" s="52"/>
      <c r="G16" s="52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x14ac:dyDescent="0.2">
      <c r="A17" s="12" t="s">
        <v>134</v>
      </c>
      <c r="B17" s="53">
        <v>10096</v>
      </c>
      <c r="C17" s="53">
        <v>10546</v>
      </c>
      <c r="D17" s="53">
        <v>10888</v>
      </c>
      <c r="E17" s="53">
        <v>12485</v>
      </c>
      <c r="F17" s="53">
        <v>13717</v>
      </c>
      <c r="G17" s="53">
        <v>13016</v>
      </c>
      <c r="H17" s="53">
        <f>H6*H18</f>
        <v>13020.7775</v>
      </c>
      <c r="I17" s="53">
        <f t="shared" ref="I17:Q17" si="7">I6*I18</f>
        <v>14940.718275000001</v>
      </c>
      <c r="J17" s="53">
        <f t="shared" si="7"/>
        <v>16606.857540250003</v>
      </c>
      <c r="K17" s="53">
        <f t="shared" si="7"/>
        <v>18502.460133677501</v>
      </c>
      <c r="L17" s="53">
        <f t="shared" si="7"/>
        <v>20662.151150922025</v>
      </c>
      <c r="M17" s="53">
        <f t="shared" si="7"/>
        <v>22473.603137784707</v>
      </c>
      <c r="N17" s="53">
        <f t="shared" si="7"/>
        <v>24478.616940444259</v>
      </c>
      <c r="O17" s="53">
        <f t="shared" si="7"/>
        <v>26699.458551799638</v>
      </c>
      <c r="P17" s="53">
        <f t="shared" si="7"/>
        <v>29161.020149606917</v>
      </c>
      <c r="Q17" s="53">
        <f t="shared" si="7"/>
        <v>31891.132619651649</v>
      </c>
    </row>
    <row r="18" spans="1:17" x14ac:dyDescent="0.2">
      <c r="A18" s="14" t="s">
        <v>140</v>
      </c>
      <c r="B18" s="15">
        <f t="shared" ref="B18:G18" si="8">B17/B6</f>
        <v>0.28324542700033667</v>
      </c>
      <c r="C18" s="15">
        <f t="shared" si="8"/>
        <v>0.28047872340425534</v>
      </c>
      <c r="D18" s="15">
        <f t="shared" si="8"/>
        <v>0.25537104794070736</v>
      </c>
      <c r="E18" s="15">
        <f t="shared" si="8"/>
        <v>0.26662537906291378</v>
      </c>
      <c r="F18" s="15">
        <f t="shared" si="8"/>
        <v>0.25558039873299793</v>
      </c>
      <c r="G18" s="15">
        <f t="shared" si="8"/>
        <v>0.29150522944614904</v>
      </c>
      <c r="H18" s="108">
        <v>0.25</v>
      </c>
      <c r="I18" s="108">
        <v>0.25</v>
      </c>
      <c r="J18" s="108">
        <v>0.25</v>
      </c>
      <c r="K18" s="108">
        <v>0.25</v>
      </c>
      <c r="L18" s="108">
        <v>0.25</v>
      </c>
      <c r="M18" s="108">
        <v>0.25</v>
      </c>
      <c r="N18" s="108">
        <v>0.25</v>
      </c>
      <c r="O18" s="108">
        <v>0.25</v>
      </c>
      <c r="P18" s="108">
        <v>0.25</v>
      </c>
      <c r="Q18" s="108">
        <v>0.25</v>
      </c>
    </row>
    <row r="19" spans="1:17" x14ac:dyDescent="0.2">
      <c r="A19" s="12"/>
      <c r="B19" s="12"/>
      <c r="C19" s="12"/>
      <c r="D19" s="12"/>
      <c r="E19" s="12"/>
      <c r="F19" s="12"/>
      <c r="G19" s="12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x14ac:dyDescent="0.2">
      <c r="A20" s="59" t="s">
        <v>139</v>
      </c>
      <c r="B20" s="112">
        <f>B22+B25+B28</f>
        <v>7872</v>
      </c>
      <c r="C20" s="112">
        <f t="shared" ref="C20:Q20" si="9">C22+C25+C28</f>
        <v>8442</v>
      </c>
      <c r="D20" s="112">
        <f t="shared" si="9"/>
        <v>9081</v>
      </c>
      <c r="E20" s="112">
        <f t="shared" si="9"/>
        <v>10585</v>
      </c>
      <c r="F20" s="112">
        <f t="shared" si="9"/>
        <v>11273</v>
      </c>
      <c r="G20" s="112">
        <f t="shared" si="9"/>
        <v>10708</v>
      </c>
      <c r="H20" s="112">
        <f t="shared" si="9"/>
        <v>11614.533530000001</v>
      </c>
      <c r="I20" s="112">
        <f t="shared" si="9"/>
        <v>13327.120701300002</v>
      </c>
      <c r="J20" s="112">
        <f t="shared" si="9"/>
        <v>14813.316925903002</v>
      </c>
      <c r="K20" s="112">
        <f t="shared" si="9"/>
        <v>16504.194439240331</v>
      </c>
      <c r="L20" s="112">
        <f t="shared" si="9"/>
        <v>18430.638826622446</v>
      </c>
      <c r="M20" s="112">
        <f t="shared" si="9"/>
        <v>20046.453998903959</v>
      </c>
      <c r="N20" s="112">
        <f t="shared" si="9"/>
        <v>21834.926310876279</v>
      </c>
      <c r="O20" s="112">
        <f t="shared" si="9"/>
        <v>23815.917028205276</v>
      </c>
      <c r="P20" s="112">
        <f t="shared" si="9"/>
        <v>26011.62997344937</v>
      </c>
      <c r="Q20" s="112">
        <f t="shared" si="9"/>
        <v>28446.890296729274</v>
      </c>
    </row>
    <row r="21" spans="1:17" x14ac:dyDescent="0.2">
      <c r="A21" s="12"/>
      <c r="B21" s="104"/>
      <c r="C21" s="104"/>
      <c r="D21" s="104"/>
      <c r="E21" s="104"/>
      <c r="F21" s="104"/>
      <c r="G21" s="105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x14ac:dyDescent="0.2">
      <c r="A22" s="12" t="s">
        <v>135</v>
      </c>
      <c r="B22" s="53">
        <v>3960</v>
      </c>
      <c r="C22" s="53">
        <v>4184</v>
      </c>
      <c r="D22" s="53">
        <v>4539</v>
      </c>
      <c r="E22" s="53">
        <v>5314</v>
      </c>
      <c r="F22" s="53">
        <v>5814</v>
      </c>
      <c r="G22" s="53">
        <v>5098</v>
      </c>
      <c r="H22" s="53">
        <f>H6*H23</f>
        <v>5729.1421</v>
      </c>
      <c r="I22" s="53">
        <f t="shared" ref="I22:Q22" si="10">I6*I23</f>
        <v>6573.9160410000004</v>
      </c>
      <c r="J22" s="53">
        <f t="shared" si="10"/>
        <v>7307.0173177100014</v>
      </c>
      <c r="K22" s="53">
        <f t="shared" si="10"/>
        <v>8141.0824588181003</v>
      </c>
      <c r="L22" s="53">
        <f t="shared" si="10"/>
        <v>9091.3465064056909</v>
      </c>
      <c r="M22" s="53">
        <f t="shared" si="10"/>
        <v>9888.3853806252719</v>
      </c>
      <c r="N22" s="53">
        <f t="shared" si="10"/>
        <v>10770.591453795474</v>
      </c>
      <c r="O22" s="53">
        <f t="shared" si="10"/>
        <v>11747.761762791841</v>
      </c>
      <c r="P22" s="53">
        <f t="shared" si="10"/>
        <v>12830.848865827043</v>
      </c>
      <c r="Q22" s="53">
        <f t="shared" si="10"/>
        <v>14032.098352646726</v>
      </c>
    </row>
    <row r="23" spans="1:17" x14ac:dyDescent="0.2">
      <c r="A23" s="14" t="s">
        <v>140</v>
      </c>
      <c r="B23" s="15">
        <f>B22/B6</f>
        <v>0.11109864212770733</v>
      </c>
      <c r="C23" s="15">
        <f t="shared" ref="C23:G23" si="11">C22/C6</f>
        <v>0.11127659574468085</v>
      </c>
      <c r="D23" s="15">
        <f t="shared" si="11"/>
        <v>0.10645933014354067</v>
      </c>
      <c r="E23" s="15">
        <f t="shared" si="11"/>
        <v>0.11348396190150771</v>
      </c>
      <c r="F23" s="15">
        <f t="shared" si="11"/>
        <v>0.10832867523756289</v>
      </c>
      <c r="G23" s="15">
        <f t="shared" si="11"/>
        <v>0.11417437459407404</v>
      </c>
      <c r="H23" s="108">
        <v>0.11</v>
      </c>
      <c r="I23" s="108">
        <v>0.11</v>
      </c>
      <c r="J23" s="108">
        <v>0.11</v>
      </c>
      <c r="K23" s="108">
        <v>0.11</v>
      </c>
      <c r="L23" s="108">
        <v>0.11</v>
      </c>
      <c r="M23" s="108">
        <v>0.11</v>
      </c>
      <c r="N23" s="108">
        <v>0.11</v>
      </c>
      <c r="O23" s="108">
        <v>0.11</v>
      </c>
      <c r="P23" s="108">
        <v>0.11</v>
      </c>
      <c r="Q23" s="108">
        <v>0.11</v>
      </c>
    </row>
    <row r="24" spans="1:17" x14ac:dyDescent="0.2">
      <c r="A24" s="12"/>
      <c r="B24" s="52"/>
      <c r="C24" s="52"/>
      <c r="D24" s="52"/>
      <c r="E24" s="52"/>
      <c r="F24" s="52"/>
      <c r="G24" s="52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x14ac:dyDescent="0.2">
      <c r="A25" s="12" t="s">
        <v>136</v>
      </c>
      <c r="B25" s="53">
        <v>1915</v>
      </c>
      <c r="C25" s="53">
        <v>2010</v>
      </c>
      <c r="D25" s="53">
        <v>2269</v>
      </c>
      <c r="E25" s="53">
        <v>2465</v>
      </c>
      <c r="F25" s="53">
        <v>2669</v>
      </c>
      <c r="G25" s="53">
        <v>2478</v>
      </c>
      <c r="H25" s="53">
        <f>H6*H26</f>
        <v>2760.4048299999999</v>
      </c>
      <c r="I25" s="53">
        <f t="shared" ref="I25:Q25" si="12">I6*I26</f>
        <v>3167.4322743000002</v>
      </c>
      <c r="J25" s="53">
        <f t="shared" si="12"/>
        <v>3520.6537985330006</v>
      </c>
      <c r="K25" s="53">
        <f t="shared" si="12"/>
        <v>3922.52154833963</v>
      </c>
      <c r="L25" s="53">
        <f t="shared" si="12"/>
        <v>4380.3760439954694</v>
      </c>
      <c r="M25" s="53">
        <f t="shared" si="12"/>
        <v>4764.4038652103573</v>
      </c>
      <c r="N25" s="53">
        <f t="shared" si="12"/>
        <v>5189.4667913741823</v>
      </c>
      <c r="O25" s="53">
        <f t="shared" si="12"/>
        <v>5660.2852129815228</v>
      </c>
      <c r="P25" s="53">
        <f t="shared" si="12"/>
        <v>6182.1362717166658</v>
      </c>
      <c r="Q25" s="53">
        <f t="shared" si="12"/>
        <v>6760.9201153661497</v>
      </c>
    </row>
    <row r="26" spans="1:17" x14ac:dyDescent="0.2">
      <c r="A26" s="14" t="s">
        <v>140</v>
      </c>
      <c r="B26" s="15">
        <f>B25/B6</f>
        <v>5.3725732241050386E-2</v>
      </c>
      <c r="C26" s="15">
        <f t="shared" ref="C26:G26" si="13">C25/C6</f>
        <v>5.3457446808510639E-2</v>
      </c>
      <c r="D26" s="15">
        <f t="shared" si="13"/>
        <v>5.3217937892860494E-2</v>
      </c>
      <c r="E26" s="15">
        <f t="shared" si="13"/>
        <v>5.2641694784948533E-2</v>
      </c>
      <c r="F26" s="15">
        <f t="shared" si="13"/>
        <v>4.9729830445313955E-2</v>
      </c>
      <c r="G26" s="15">
        <f t="shared" si="13"/>
        <v>5.5497077333094447E-2</v>
      </c>
      <c r="H26" s="109">
        <v>5.2999999999999999E-2</v>
      </c>
      <c r="I26" s="109">
        <v>5.2999999999999999E-2</v>
      </c>
      <c r="J26" s="109">
        <v>5.2999999999999999E-2</v>
      </c>
      <c r="K26" s="109">
        <v>5.2999999999999999E-2</v>
      </c>
      <c r="L26" s="109">
        <v>5.2999999999999999E-2</v>
      </c>
      <c r="M26" s="109">
        <v>5.2999999999999999E-2</v>
      </c>
      <c r="N26" s="109">
        <v>5.2999999999999999E-2</v>
      </c>
      <c r="O26" s="109">
        <v>5.2999999999999999E-2</v>
      </c>
      <c r="P26" s="109">
        <v>5.2999999999999999E-2</v>
      </c>
      <c r="Q26" s="109">
        <v>5.2999999999999999E-2</v>
      </c>
    </row>
    <row r="27" spans="1:17" x14ac:dyDescent="0.2">
      <c r="A27" s="12"/>
      <c r="B27" s="52"/>
      <c r="C27" s="52"/>
      <c r="D27" s="52"/>
      <c r="E27" s="52"/>
      <c r="F27" s="52"/>
      <c r="G27" s="52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x14ac:dyDescent="0.2">
      <c r="A28" s="12" t="s">
        <v>137</v>
      </c>
      <c r="B28" s="53">
        <v>1997</v>
      </c>
      <c r="C28" s="53">
        <v>2248</v>
      </c>
      <c r="D28" s="53">
        <v>2273</v>
      </c>
      <c r="E28" s="53">
        <v>2806</v>
      </c>
      <c r="F28" s="53">
        <v>2790</v>
      </c>
      <c r="G28" s="53">
        <v>3132</v>
      </c>
      <c r="H28" s="53">
        <f>H6*H29</f>
        <v>3124.9865999999997</v>
      </c>
      <c r="I28" s="53">
        <f t="shared" ref="I28:Q28" si="14">I6*I29</f>
        <v>3585.7723860000001</v>
      </c>
      <c r="J28" s="53">
        <f t="shared" si="14"/>
        <v>3985.6458096600004</v>
      </c>
      <c r="K28" s="53">
        <f t="shared" si="14"/>
        <v>4440.5904320826003</v>
      </c>
      <c r="L28" s="53">
        <f t="shared" si="14"/>
        <v>4958.9162762212864</v>
      </c>
      <c r="M28" s="53">
        <f t="shared" si="14"/>
        <v>5393.6647530683294</v>
      </c>
      <c r="N28" s="53">
        <f t="shared" si="14"/>
        <v>5874.8680657066216</v>
      </c>
      <c r="O28" s="53">
        <f t="shared" si="14"/>
        <v>6407.8700524319129</v>
      </c>
      <c r="P28" s="53">
        <f t="shared" si="14"/>
        <v>6998.6448359056594</v>
      </c>
      <c r="Q28" s="53">
        <f t="shared" si="14"/>
        <v>7653.8718287163956</v>
      </c>
    </row>
    <row r="29" spans="1:17" x14ac:dyDescent="0.2">
      <c r="A29" s="14" t="s">
        <v>140</v>
      </c>
      <c r="B29" s="15">
        <f>B28/B6</f>
        <v>5.6026259679048368E-2</v>
      </c>
      <c r="C29" s="15">
        <f t="shared" ref="C29:G29" si="15">C28/C6</f>
        <v>5.9787234042553192E-2</v>
      </c>
      <c r="D29" s="15">
        <f t="shared" si="15"/>
        <v>5.3311755324139225E-2</v>
      </c>
      <c r="E29" s="15">
        <f t="shared" si="15"/>
        <v>5.9923973860675696E-2</v>
      </c>
      <c r="F29" s="15">
        <f t="shared" si="15"/>
        <v>5.1984348798211288E-2</v>
      </c>
      <c r="G29" s="15">
        <f t="shared" si="15"/>
        <v>7.0144005733354234E-2</v>
      </c>
      <c r="H29" s="106">
        <v>0.06</v>
      </c>
      <c r="I29" s="106">
        <v>0.06</v>
      </c>
      <c r="J29" s="106">
        <v>0.06</v>
      </c>
      <c r="K29" s="106">
        <v>0.06</v>
      </c>
      <c r="L29" s="106">
        <v>0.06</v>
      </c>
      <c r="M29" s="106">
        <v>0.06</v>
      </c>
      <c r="N29" s="106">
        <v>0.06</v>
      </c>
      <c r="O29" s="106">
        <v>0.06</v>
      </c>
      <c r="P29" s="106">
        <v>0.06</v>
      </c>
      <c r="Q29" s="106">
        <v>0.06</v>
      </c>
    </row>
    <row r="30" spans="1:17" x14ac:dyDescent="0.2">
      <c r="B30" s="12"/>
      <c r="C30" s="12"/>
      <c r="D30" s="12"/>
      <c r="E30" s="12"/>
      <c r="F30" s="12"/>
      <c r="G30" s="12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ht="17" thickBot="1" x14ac:dyDescent="0.25">
      <c r="A31" s="115" t="s">
        <v>141</v>
      </c>
      <c r="B31" s="116">
        <f>B9-B20</f>
        <v>5102</v>
      </c>
      <c r="C31" s="116">
        <f t="shared" ref="C31:G31" si="16">C9-C20</f>
        <v>5168</v>
      </c>
      <c r="D31" s="116">
        <f t="shared" si="16"/>
        <v>4939</v>
      </c>
      <c r="E31" s="116">
        <f t="shared" si="16"/>
        <v>5552</v>
      </c>
      <c r="F31" s="116">
        <f t="shared" si="16"/>
        <v>6348</v>
      </c>
      <c r="G31" s="116">
        <f t="shared" si="16"/>
        <v>5451</v>
      </c>
      <c r="H31" s="116">
        <f>H9-H20</f>
        <v>5260.3941100000011</v>
      </c>
      <c r="I31" s="116">
        <f t="shared" ref="H31:Q31" si="17">I9-I20</f>
        <v>6036.0501831000001</v>
      </c>
      <c r="J31" s="116">
        <f t="shared" si="17"/>
        <v>6709.1704462610014</v>
      </c>
      <c r="K31" s="116">
        <f t="shared" si="17"/>
        <v>7474.9938940057109</v>
      </c>
      <c r="L31" s="116">
        <f t="shared" si="17"/>
        <v>8347.5090649724989</v>
      </c>
      <c r="M31" s="116">
        <f t="shared" si="17"/>
        <v>9079.3356676650219</v>
      </c>
      <c r="N31" s="116">
        <f t="shared" si="17"/>
        <v>9889.3612439394819</v>
      </c>
      <c r="O31" s="116">
        <f t="shared" si="17"/>
        <v>10786.581254927052</v>
      </c>
      <c r="P31" s="116">
        <f t="shared" si="17"/>
        <v>11781.052140441196</v>
      </c>
      <c r="Q31" s="116">
        <f t="shared" si="17"/>
        <v>12884.017578339262</v>
      </c>
    </row>
    <row r="32" spans="1:17" x14ac:dyDescent="0.2">
      <c r="A32" t="s">
        <v>142</v>
      </c>
      <c r="B32" s="53"/>
      <c r="C32" s="53">
        <f>C31-B31</f>
        <v>66</v>
      </c>
      <c r="D32" s="53">
        <f t="shared" ref="D32:G32" si="18">D31-C31</f>
        <v>-229</v>
      </c>
      <c r="E32" s="53">
        <f t="shared" si="18"/>
        <v>613</v>
      </c>
      <c r="F32" s="53">
        <f t="shared" si="18"/>
        <v>796</v>
      </c>
      <c r="G32" s="53">
        <f t="shared" si="18"/>
        <v>-897</v>
      </c>
      <c r="H32" s="53">
        <f t="shared" ref="H32" si="19">H31-G31</f>
        <v>-190.60588999999891</v>
      </c>
      <c r="I32" s="53">
        <f t="shared" ref="I32" si="20">I31-H31</f>
        <v>775.65607309999905</v>
      </c>
      <c r="J32" s="53">
        <f t="shared" ref="J32" si="21">J31-I31</f>
        <v>673.12026316100128</v>
      </c>
      <c r="K32" s="53">
        <f t="shared" ref="K32" si="22">K31-J31</f>
        <v>765.82344774470948</v>
      </c>
      <c r="L32" s="53">
        <f t="shared" ref="L32" si="23">L31-K31</f>
        <v>872.51517096678799</v>
      </c>
      <c r="M32" s="53">
        <f t="shared" ref="M32" si="24">M31-L31</f>
        <v>731.82660269252301</v>
      </c>
      <c r="N32" s="53">
        <f t="shared" ref="N32" si="25">N31-M31</f>
        <v>810.02557627446004</v>
      </c>
      <c r="O32" s="53">
        <f t="shared" ref="O32" si="26">O31-N31</f>
        <v>897.22001098757028</v>
      </c>
      <c r="P32" s="53">
        <f t="shared" ref="P32" si="27">P31-O31</f>
        <v>994.47088551414345</v>
      </c>
      <c r="Q32" s="53">
        <f t="shared" ref="Q32" si="28">Q31-P31</f>
        <v>1102.9654378980667</v>
      </c>
    </row>
    <row r="33" spans="2:17" x14ac:dyDescent="0.2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2:17" x14ac:dyDescent="0.2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2:17" x14ac:dyDescent="0.2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2:17" x14ac:dyDescent="0.2">
      <c r="B36" s="12"/>
      <c r="C36" s="12"/>
      <c r="D36" s="12"/>
      <c r="E36" s="12"/>
      <c r="F36" s="12"/>
      <c r="G36" s="12"/>
      <c r="H36" s="12"/>
      <c r="I36" s="12"/>
    </row>
    <row r="37" spans="2:17" x14ac:dyDescent="0.2">
      <c r="B37" s="12"/>
      <c r="C37" s="12"/>
      <c r="D37" s="12"/>
      <c r="E37" s="12"/>
      <c r="F37" s="12"/>
      <c r="G37" s="12"/>
      <c r="H37" s="12"/>
      <c r="I37" s="12"/>
    </row>
  </sheetData>
  <mergeCells count="2">
    <mergeCell ref="B2:G2"/>
    <mergeCell ref="H2:Q2"/>
  </mergeCells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2244-92F6-FA48-A4BF-E0B224CFF494}">
  <dimension ref="A2:Z138"/>
  <sheetViews>
    <sheetView tabSelected="1" topLeftCell="A48" workbookViewId="0">
      <selection activeCell="I64" sqref="I64"/>
    </sheetView>
  </sheetViews>
  <sheetFormatPr baseColWidth="10" defaultRowHeight="16" x14ac:dyDescent="0.2"/>
  <cols>
    <col min="1" max="1" width="32.83203125" customWidth="1"/>
    <col min="2" max="2" width="14.33203125" bestFit="1" customWidth="1"/>
    <col min="3" max="6" width="14.1640625" bestFit="1" customWidth="1"/>
    <col min="7" max="7" width="15.83203125" bestFit="1" customWidth="1"/>
    <col min="8" max="8" width="13.6640625" customWidth="1"/>
    <col min="9" max="17" width="13" bestFit="1" customWidth="1"/>
  </cols>
  <sheetData>
    <row r="2" spans="1:26" x14ac:dyDescent="0.2">
      <c r="A2" s="99"/>
      <c r="B2" s="120" t="s">
        <v>144</v>
      </c>
      <c r="C2" s="120"/>
      <c r="D2" s="120"/>
      <c r="E2" s="120"/>
      <c r="F2" s="120"/>
      <c r="G2" s="120"/>
      <c r="H2" s="121" t="s">
        <v>145</v>
      </c>
      <c r="I2" s="121"/>
      <c r="J2" s="121"/>
      <c r="K2" s="121"/>
      <c r="L2" s="121"/>
      <c r="M2" s="121"/>
      <c r="N2" s="121"/>
      <c r="O2" s="121"/>
      <c r="P2" s="121"/>
      <c r="Q2" s="121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">
      <c r="A3" s="117"/>
      <c r="B3" s="118">
        <v>2015</v>
      </c>
      <c r="C3" s="118">
        <v>2016</v>
      </c>
      <c r="D3" s="118">
        <v>2017</v>
      </c>
      <c r="E3" s="118">
        <v>2018</v>
      </c>
      <c r="F3" s="118">
        <v>2019</v>
      </c>
      <c r="G3" s="118">
        <v>2020</v>
      </c>
      <c r="H3" s="118">
        <v>2021</v>
      </c>
      <c r="I3" s="118">
        <v>2022</v>
      </c>
      <c r="J3" s="118">
        <v>2023</v>
      </c>
      <c r="K3" s="118">
        <v>2024</v>
      </c>
      <c r="L3" s="118">
        <v>2025</v>
      </c>
      <c r="M3" s="118">
        <v>2026</v>
      </c>
      <c r="N3" s="118">
        <v>2027</v>
      </c>
      <c r="O3" s="118">
        <v>2028</v>
      </c>
      <c r="P3" s="118">
        <v>2029</v>
      </c>
      <c r="Q3" s="118">
        <v>2030</v>
      </c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">
      <c r="A4" s="63" t="s">
        <v>121</v>
      </c>
      <c r="B4" s="33"/>
      <c r="C4" s="33"/>
      <c r="D4" s="33"/>
      <c r="E4" s="33"/>
      <c r="F4" s="33"/>
      <c r="G4" s="33"/>
      <c r="H4" s="33" t="s">
        <v>122</v>
      </c>
      <c r="I4" s="33" t="s">
        <v>123</v>
      </c>
      <c r="J4" s="33" t="s">
        <v>124</v>
      </c>
      <c r="K4" s="33" t="s">
        <v>125</v>
      </c>
      <c r="L4" s="33" t="s">
        <v>126</v>
      </c>
      <c r="M4" s="33" t="s">
        <v>127</v>
      </c>
      <c r="N4" s="33" t="s">
        <v>128</v>
      </c>
      <c r="O4" s="33" t="s">
        <v>129</v>
      </c>
      <c r="P4" s="33" t="s">
        <v>130</v>
      </c>
      <c r="Q4" s="33" t="s">
        <v>131</v>
      </c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">
      <c r="A6" s="69" t="s">
        <v>20</v>
      </c>
      <c r="B6" s="110">
        <v>35644</v>
      </c>
      <c r="C6" s="110">
        <v>37600</v>
      </c>
      <c r="D6" s="110">
        <v>42636</v>
      </c>
      <c r="E6" s="110">
        <v>46826</v>
      </c>
      <c r="F6" s="110">
        <v>53670</v>
      </c>
      <c r="G6" s="110">
        <v>44651</v>
      </c>
      <c r="H6" s="53">
        <f>G6*(1+H7)</f>
        <v>52083.11</v>
      </c>
      <c r="I6" s="53">
        <f t="shared" ref="I6:Q6" si="0">H6*(1+I7)</f>
        <v>59762.873100000004</v>
      </c>
      <c r="J6" s="53">
        <f t="shared" si="0"/>
        <v>66427.430161000011</v>
      </c>
      <c r="K6" s="53">
        <f t="shared" si="0"/>
        <v>74009.840534710005</v>
      </c>
      <c r="L6" s="53">
        <f t="shared" si="0"/>
        <v>82648.604603688102</v>
      </c>
      <c r="M6" s="53">
        <f t="shared" si="0"/>
        <v>89894.412551138827</v>
      </c>
      <c r="N6" s="53">
        <f t="shared" si="0"/>
        <v>97914.467761777036</v>
      </c>
      <c r="O6" s="53">
        <f t="shared" si="0"/>
        <v>106797.83420719855</v>
      </c>
      <c r="P6" s="53">
        <f t="shared" si="0"/>
        <v>116644.08059842767</v>
      </c>
      <c r="Q6" s="53">
        <f t="shared" si="0"/>
        <v>127564.5304786066</v>
      </c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">
      <c r="A7" s="69"/>
      <c r="B7" s="77"/>
      <c r="C7" s="77"/>
      <c r="D7" s="77"/>
      <c r="E7" s="77"/>
      <c r="F7" s="77"/>
      <c r="G7" s="77"/>
      <c r="H7" s="106">
        <f>Sheet1!C158</f>
        <v>0.16644890371996149</v>
      </c>
      <c r="I7" s="106">
        <f>Sheet1!D158</f>
        <v>0.14745208379453539</v>
      </c>
      <c r="J7" s="106">
        <f>Sheet1!E158</f>
        <v>0.11151667775155888</v>
      </c>
      <c r="K7" s="106">
        <f>Sheet1!F158</f>
        <v>0.11414577314420449</v>
      </c>
      <c r="L7" s="106">
        <f>Sheet1!G158</f>
        <v>0.11672453293459789</v>
      </c>
      <c r="M7" s="106">
        <f>Sheet1!H158</f>
        <v>8.767005785754535E-2</v>
      </c>
      <c r="N7" s="106">
        <f>Sheet1!I158</f>
        <v>8.9216392688208371E-2</v>
      </c>
      <c r="O7" s="106">
        <f>Sheet1!J158</f>
        <v>9.0725779841182227E-2</v>
      </c>
      <c r="P7" s="106">
        <f>Sheet1!K158</f>
        <v>9.219518789235373E-2</v>
      </c>
      <c r="Q7" s="106">
        <f>Sheet1!L158</f>
        <v>9.3621980851089456E-2</v>
      </c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">
      <c r="A8" s="69"/>
      <c r="B8" s="77"/>
      <c r="C8" s="77"/>
      <c r="D8" s="77"/>
      <c r="E8" s="77"/>
      <c r="F8" s="77"/>
      <c r="G8" s="77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">
      <c r="A9" s="12" t="s">
        <v>146</v>
      </c>
      <c r="B9" s="53">
        <v>12553</v>
      </c>
      <c r="C9" s="53">
        <v>13039</v>
      </c>
      <c r="D9" s="53">
        <v>14783</v>
      </c>
      <c r="E9" s="53">
        <v>15625</v>
      </c>
      <c r="F9" s="53">
        <v>18123</v>
      </c>
      <c r="G9" s="53">
        <v>15871</v>
      </c>
      <c r="H9" s="53">
        <f>H6*H10</f>
        <v>17708.257400000002</v>
      </c>
      <c r="I9" s="53">
        <f t="shared" ref="I9:Q9" si="1">I6*I10</f>
        <v>20319.376854000002</v>
      </c>
      <c r="J9" s="53">
        <f t="shared" si="1"/>
        <v>22585.326254740005</v>
      </c>
      <c r="K9" s="53">
        <f t="shared" si="1"/>
        <v>25163.345781801403</v>
      </c>
      <c r="L9" s="53">
        <f t="shared" si="1"/>
        <v>28100.525565253956</v>
      </c>
      <c r="M9" s="53">
        <f t="shared" si="1"/>
        <v>30564.100267387203</v>
      </c>
      <c r="N9" s="53">
        <f t="shared" si="1"/>
        <v>33290.919039004191</v>
      </c>
      <c r="O9" s="53">
        <f t="shared" si="1"/>
        <v>36311.263630447509</v>
      </c>
      <c r="P9" s="53">
        <f t="shared" si="1"/>
        <v>39658.987403465413</v>
      </c>
      <c r="Q9" s="53">
        <f t="shared" si="1"/>
        <v>43371.940362726244</v>
      </c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">
      <c r="A10" s="14" t="s">
        <v>140</v>
      </c>
      <c r="B10" s="15">
        <f>B9/B6</f>
        <v>0.35217708450230051</v>
      </c>
      <c r="C10" s="15">
        <f t="shared" ref="C10:G10" si="2">C9/C6</f>
        <v>0.34678191489361704</v>
      </c>
      <c r="D10" s="15">
        <f t="shared" si="2"/>
        <v>0.34672577164837226</v>
      </c>
      <c r="E10" s="15">
        <f t="shared" si="2"/>
        <v>0.33368214239952165</v>
      </c>
      <c r="F10" s="15">
        <f t="shared" si="2"/>
        <v>0.33767467859139183</v>
      </c>
      <c r="G10" s="15">
        <f t="shared" si="2"/>
        <v>0.3554455667286287</v>
      </c>
      <c r="H10" s="108">
        <v>0.34</v>
      </c>
      <c r="I10" s="108">
        <v>0.34</v>
      </c>
      <c r="J10" s="108">
        <v>0.34</v>
      </c>
      <c r="K10" s="108">
        <v>0.34</v>
      </c>
      <c r="L10" s="108">
        <v>0.34</v>
      </c>
      <c r="M10" s="108">
        <v>0.34</v>
      </c>
      <c r="N10" s="108">
        <v>0.34</v>
      </c>
      <c r="O10" s="108">
        <v>0.34</v>
      </c>
      <c r="P10" s="108">
        <v>0.34</v>
      </c>
      <c r="Q10" s="108">
        <v>0.34</v>
      </c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">
      <c r="A12" s="113" t="s">
        <v>147</v>
      </c>
      <c r="B12" s="112">
        <f t="shared" ref="B12:G12" si="3">B6-B9</f>
        <v>23091</v>
      </c>
      <c r="C12" s="112">
        <f t="shared" si="3"/>
        <v>24561</v>
      </c>
      <c r="D12" s="112">
        <f t="shared" si="3"/>
        <v>27853</v>
      </c>
      <c r="E12" s="112">
        <f t="shared" si="3"/>
        <v>31201</v>
      </c>
      <c r="F12" s="112">
        <f t="shared" si="3"/>
        <v>35547</v>
      </c>
      <c r="G12" s="112">
        <f t="shared" si="3"/>
        <v>28780</v>
      </c>
      <c r="H12" s="112">
        <f t="shared" ref="H12:Q12" si="4">H6-H9</f>
        <v>34374.852599999998</v>
      </c>
      <c r="I12" s="112">
        <f t="shared" si="4"/>
        <v>39443.496246000002</v>
      </c>
      <c r="J12" s="112">
        <f t="shared" si="4"/>
        <v>43842.103906260003</v>
      </c>
      <c r="K12" s="112">
        <f t="shared" si="4"/>
        <v>48846.494752908606</v>
      </c>
      <c r="L12" s="112">
        <f t="shared" si="4"/>
        <v>54548.079038434145</v>
      </c>
      <c r="M12" s="112">
        <f t="shared" si="4"/>
        <v>59330.312283751628</v>
      </c>
      <c r="N12" s="112">
        <f t="shared" si="4"/>
        <v>64623.548722772844</v>
      </c>
      <c r="O12" s="112">
        <f t="shared" si="4"/>
        <v>70486.570576751052</v>
      </c>
      <c r="P12" s="112">
        <f t="shared" si="4"/>
        <v>76985.093194962246</v>
      </c>
      <c r="Q12" s="112">
        <f t="shared" si="4"/>
        <v>84192.590115880361</v>
      </c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">
      <c r="A13" s="114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">
      <c r="A14" s="12" t="s">
        <v>148</v>
      </c>
      <c r="B14" s="53">
        <v>16493</v>
      </c>
      <c r="C14" s="53">
        <v>17538</v>
      </c>
      <c r="D14" s="53">
        <v>19557</v>
      </c>
      <c r="E14" s="53">
        <v>21221</v>
      </c>
      <c r="F14" s="53">
        <v>24071</v>
      </c>
      <c r="G14" s="53">
        <v>20433</v>
      </c>
      <c r="H14" s="53">
        <f>H6*H15</f>
        <v>23437.3995</v>
      </c>
      <c r="I14" s="53">
        <f t="shared" ref="I14:P14" si="5">I6*I15</f>
        <v>26893.292895000002</v>
      </c>
      <c r="J14" s="53">
        <f t="shared" si="5"/>
        <v>29892.343572450005</v>
      </c>
      <c r="K14" s="53">
        <f t="shared" si="5"/>
        <v>33304.428240619505</v>
      </c>
      <c r="L14" s="53">
        <f t="shared" si="5"/>
        <v>37191.872071659644</v>
      </c>
      <c r="M14" s="53">
        <f t="shared" si="5"/>
        <v>40452.485648012473</v>
      </c>
      <c r="N14" s="53">
        <f t="shared" si="5"/>
        <v>44061.510492799665</v>
      </c>
      <c r="O14" s="53">
        <f t="shared" si="5"/>
        <v>48059.025393239353</v>
      </c>
      <c r="P14" s="53">
        <f t="shared" si="5"/>
        <v>52489.836269292449</v>
      </c>
      <c r="Q14" s="53">
        <f>Q6*Q15</f>
        <v>57404.038715372968</v>
      </c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">
      <c r="A15" s="14" t="s">
        <v>140</v>
      </c>
      <c r="B15" s="15">
        <f>B14/B6</f>
        <v>0.46271462237683764</v>
      </c>
      <c r="C15" s="15">
        <f t="shared" ref="C15:G15" si="6">C14/C6</f>
        <v>0.46643617021276595</v>
      </c>
      <c r="D15" s="15">
        <f t="shared" si="6"/>
        <v>0.45869687587953845</v>
      </c>
      <c r="E15" s="15">
        <f t="shared" si="6"/>
        <v>0.45318839960705593</v>
      </c>
      <c r="F15" s="15">
        <f t="shared" si="6"/>
        <v>0.44850009316191541</v>
      </c>
      <c r="G15" s="15">
        <f t="shared" si="6"/>
        <v>0.45761573089068552</v>
      </c>
      <c r="H15" s="108">
        <v>0.45</v>
      </c>
      <c r="I15" s="108">
        <v>0.45</v>
      </c>
      <c r="J15" s="108">
        <v>0.45</v>
      </c>
      <c r="K15" s="108">
        <v>0.45</v>
      </c>
      <c r="L15" s="108">
        <v>0.45</v>
      </c>
      <c r="M15" s="108">
        <v>0.45</v>
      </c>
      <c r="N15" s="108">
        <v>0.45</v>
      </c>
      <c r="O15" s="108">
        <v>0.45</v>
      </c>
      <c r="P15" s="108">
        <v>0.45</v>
      </c>
      <c r="Q15" s="108">
        <v>0.45</v>
      </c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">
      <c r="A17" s="113" t="s">
        <v>84</v>
      </c>
      <c r="B17" s="112">
        <f>B12-B14</f>
        <v>6598</v>
      </c>
      <c r="C17" s="112">
        <f t="shared" ref="C17:F17" si="7">C12-C14</f>
        <v>7023</v>
      </c>
      <c r="D17" s="112">
        <f t="shared" si="7"/>
        <v>8296</v>
      </c>
      <c r="E17" s="112">
        <f t="shared" si="7"/>
        <v>9980</v>
      </c>
      <c r="F17" s="112">
        <f t="shared" si="7"/>
        <v>11476</v>
      </c>
      <c r="G17" s="112">
        <f>G12-G14</f>
        <v>8347</v>
      </c>
      <c r="H17" s="112">
        <f t="shared" ref="H17:Q17" si="8">H12-H14</f>
        <v>10937.453099999999</v>
      </c>
      <c r="I17" s="112">
        <f t="shared" si="8"/>
        <v>12550.203351</v>
      </c>
      <c r="J17" s="112">
        <f t="shared" si="8"/>
        <v>13949.760333809998</v>
      </c>
      <c r="K17" s="112">
        <f t="shared" si="8"/>
        <v>15542.066512289101</v>
      </c>
      <c r="L17" s="112">
        <f t="shared" si="8"/>
        <v>17356.206966774502</v>
      </c>
      <c r="M17" s="112">
        <f t="shared" si="8"/>
        <v>18877.826635739155</v>
      </c>
      <c r="N17" s="112">
        <f t="shared" si="8"/>
        <v>20562.038229973179</v>
      </c>
      <c r="O17" s="112">
        <f t="shared" si="8"/>
        <v>22427.545183511698</v>
      </c>
      <c r="P17" s="112">
        <f t="shared" si="8"/>
        <v>24495.256925669797</v>
      </c>
      <c r="Q17" s="112">
        <f t="shared" si="8"/>
        <v>26788.551400507393</v>
      </c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">
      <c r="A18" s="1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">
      <c r="A19" s="12" t="s">
        <v>149</v>
      </c>
      <c r="B19" s="53">
        <f>B17*B20</f>
        <v>2177.34</v>
      </c>
      <c r="C19" s="53">
        <f t="shared" ref="C19:F19" si="9">C17*C20</f>
        <v>2275.4520000000002</v>
      </c>
      <c r="D19" s="53">
        <f t="shared" si="9"/>
        <v>2281.4</v>
      </c>
      <c r="E19" s="53">
        <f t="shared" si="9"/>
        <v>2624.7400000000002</v>
      </c>
      <c r="F19" s="53">
        <f t="shared" si="9"/>
        <v>3144.4240000000004</v>
      </c>
      <c r="G19" s="53">
        <f>G17*G20</f>
        <v>2729.4690000000001</v>
      </c>
      <c r="H19" s="53">
        <f t="shared" ref="H19:Q19" si="10">H17*H20</f>
        <v>2953.112337</v>
      </c>
      <c r="I19" s="53">
        <f t="shared" si="10"/>
        <v>3388.5549047700001</v>
      </c>
      <c r="J19" s="53">
        <f t="shared" si="10"/>
        <v>3766.4352901286998</v>
      </c>
      <c r="K19" s="53">
        <f t="shared" si="10"/>
        <v>4196.3579583180572</v>
      </c>
      <c r="L19" s="53">
        <f t="shared" si="10"/>
        <v>4686.1758810291158</v>
      </c>
      <c r="M19" s="53">
        <f t="shared" si="10"/>
        <v>5097.013191649572</v>
      </c>
      <c r="N19" s="53">
        <f t="shared" si="10"/>
        <v>5551.7503220927583</v>
      </c>
      <c r="O19" s="53">
        <f t="shared" si="10"/>
        <v>6055.4371995481588</v>
      </c>
      <c r="P19" s="53">
        <f t="shared" si="10"/>
        <v>6613.7193699308455</v>
      </c>
      <c r="Q19" s="53">
        <f t="shared" si="10"/>
        <v>7232.9088781369965</v>
      </c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">
      <c r="A20" s="14" t="s">
        <v>150</v>
      </c>
      <c r="B20" s="106">
        <v>0.33</v>
      </c>
      <c r="C20" s="106">
        <v>0.32400000000000001</v>
      </c>
      <c r="D20" s="106">
        <v>0.27500000000000002</v>
      </c>
      <c r="E20" s="106">
        <v>0.26300000000000001</v>
      </c>
      <c r="F20" s="106">
        <v>0.27400000000000002</v>
      </c>
      <c r="G20" s="106">
        <v>0.32700000000000001</v>
      </c>
      <c r="H20" s="108">
        <v>0.27</v>
      </c>
      <c r="I20" s="108">
        <v>0.27</v>
      </c>
      <c r="J20" s="108">
        <v>0.27</v>
      </c>
      <c r="K20" s="108">
        <v>0.27</v>
      </c>
      <c r="L20" s="108">
        <v>0.27</v>
      </c>
      <c r="M20" s="108">
        <v>0.27</v>
      </c>
      <c r="N20" s="108">
        <v>0.27</v>
      </c>
      <c r="O20" s="108">
        <v>0.27</v>
      </c>
      <c r="P20" s="108">
        <v>0.27</v>
      </c>
      <c r="Q20" s="108">
        <v>0.27</v>
      </c>
      <c r="R20" s="12"/>
      <c r="S20" s="12"/>
      <c r="T20" s="12"/>
      <c r="U20" s="12"/>
      <c r="V20" s="12"/>
      <c r="W20" s="12"/>
      <c r="X20" s="12"/>
      <c r="Y20" s="12"/>
      <c r="Z20" s="12"/>
    </row>
    <row r="21" spans="1:26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" thickBot="1" x14ac:dyDescent="0.25">
      <c r="A22" s="115" t="s">
        <v>151</v>
      </c>
      <c r="B22" s="116">
        <f>B17-B19</f>
        <v>4420.66</v>
      </c>
      <c r="C22" s="116">
        <f t="shared" ref="C22:Q22" si="11">C17-C19</f>
        <v>4747.5479999999998</v>
      </c>
      <c r="D22" s="116">
        <f t="shared" si="11"/>
        <v>6014.6</v>
      </c>
      <c r="E22" s="116">
        <f t="shared" si="11"/>
        <v>7355.26</v>
      </c>
      <c r="F22" s="116">
        <f t="shared" si="11"/>
        <v>8331.5759999999991</v>
      </c>
      <c r="G22" s="116">
        <f t="shared" si="11"/>
        <v>5617.5309999999999</v>
      </c>
      <c r="H22" s="116">
        <f t="shared" si="11"/>
        <v>7984.3407629999983</v>
      </c>
      <c r="I22" s="116">
        <f t="shared" si="11"/>
        <v>9161.6484462299995</v>
      </c>
      <c r="J22" s="116">
        <f t="shared" si="11"/>
        <v>10183.325043681298</v>
      </c>
      <c r="K22" s="116">
        <f t="shared" si="11"/>
        <v>11345.708553971042</v>
      </c>
      <c r="L22" s="116">
        <f t="shared" si="11"/>
        <v>12670.031085745386</v>
      </c>
      <c r="M22" s="116">
        <f t="shared" si="11"/>
        <v>13780.813444089583</v>
      </c>
      <c r="N22" s="116">
        <f t="shared" si="11"/>
        <v>15010.287907880422</v>
      </c>
      <c r="O22" s="116">
        <f t="shared" si="11"/>
        <v>16372.107983963539</v>
      </c>
      <c r="P22" s="116">
        <f t="shared" si="11"/>
        <v>17881.537555738953</v>
      </c>
      <c r="Q22" s="116">
        <f t="shared" si="11"/>
        <v>19555.642522370395</v>
      </c>
      <c r="R22" s="12"/>
      <c r="S22" s="12"/>
      <c r="T22" s="12"/>
      <c r="U22" s="12"/>
      <c r="V22" s="12"/>
      <c r="W22" s="12"/>
      <c r="X22" s="12"/>
      <c r="Y22" s="12"/>
      <c r="Z22" s="12"/>
    </row>
    <row r="23" spans="1:26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x14ac:dyDescent="0.2">
      <c r="A25" s="99"/>
      <c r="B25" s="120" t="s">
        <v>144</v>
      </c>
      <c r="C25" s="120"/>
      <c r="D25" s="120"/>
      <c r="E25" s="120"/>
      <c r="F25" s="120"/>
      <c r="G25" s="120"/>
      <c r="H25" s="121" t="s">
        <v>145</v>
      </c>
      <c r="I25" s="121"/>
      <c r="J25" s="121"/>
      <c r="K25" s="121"/>
      <c r="L25" s="121"/>
      <c r="M25" s="121"/>
      <c r="N25" s="121"/>
      <c r="O25" s="121"/>
      <c r="P25" s="121"/>
      <c r="Q25" s="121"/>
      <c r="R25" s="12"/>
      <c r="S25" s="12"/>
      <c r="T25" s="12"/>
      <c r="U25" s="12"/>
      <c r="V25" s="12"/>
      <c r="W25" s="12"/>
      <c r="X25" s="12"/>
      <c r="Y25" s="12"/>
      <c r="Z25" s="12"/>
    </row>
    <row r="26" spans="1:26" x14ac:dyDescent="0.2">
      <c r="A26" s="117"/>
      <c r="B26" s="118">
        <v>2015</v>
      </c>
      <c r="C26" s="118">
        <v>2016</v>
      </c>
      <c r="D26" s="118">
        <v>2017</v>
      </c>
      <c r="E26" s="118">
        <v>2018</v>
      </c>
      <c r="F26" s="118">
        <v>2019</v>
      </c>
      <c r="G26" s="118">
        <v>2020</v>
      </c>
      <c r="H26" s="118">
        <v>2021</v>
      </c>
      <c r="I26" s="118">
        <v>2022</v>
      </c>
      <c r="J26" s="118">
        <v>2023</v>
      </c>
      <c r="K26" s="118">
        <v>2024</v>
      </c>
      <c r="L26" s="118">
        <v>2025</v>
      </c>
      <c r="M26" s="118">
        <v>2026</v>
      </c>
      <c r="N26" s="118">
        <v>2027</v>
      </c>
      <c r="O26" s="118">
        <v>2028</v>
      </c>
      <c r="P26" s="118">
        <v>2029</v>
      </c>
      <c r="Q26" s="118">
        <v>2030</v>
      </c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">
      <c r="A27" s="63" t="s">
        <v>121</v>
      </c>
      <c r="B27" s="33"/>
      <c r="C27" s="33"/>
      <c r="D27" s="33"/>
      <c r="E27" s="33"/>
      <c r="F27" s="33"/>
      <c r="G27" s="33"/>
      <c r="H27" s="33">
        <v>1</v>
      </c>
      <c r="I27" s="33">
        <v>2</v>
      </c>
      <c r="J27" s="33">
        <v>3</v>
      </c>
      <c r="K27" s="33">
        <v>4</v>
      </c>
      <c r="L27" s="33">
        <v>5</v>
      </c>
      <c r="M27" s="33">
        <v>6</v>
      </c>
      <c r="N27" s="33">
        <v>7</v>
      </c>
      <c r="O27" s="33">
        <v>8</v>
      </c>
      <c r="P27" s="33">
        <v>9</v>
      </c>
      <c r="Q27" s="33">
        <v>10</v>
      </c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x14ac:dyDescent="0.2">
      <c r="A29" s="84" t="s">
        <v>151</v>
      </c>
      <c r="B29" s="119">
        <f>B22</f>
        <v>4420.66</v>
      </c>
      <c r="C29" s="119">
        <f t="shared" ref="C29:Q29" si="12">C22</f>
        <v>4747.5479999999998</v>
      </c>
      <c r="D29" s="119">
        <f t="shared" si="12"/>
        <v>6014.6</v>
      </c>
      <c r="E29" s="119">
        <f t="shared" si="12"/>
        <v>7355.26</v>
      </c>
      <c r="F29" s="119">
        <f t="shared" si="12"/>
        <v>8331.5759999999991</v>
      </c>
      <c r="G29" s="119">
        <f t="shared" si="12"/>
        <v>5617.5309999999999</v>
      </c>
      <c r="H29" s="119">
        <f t="shared" si="12"/>
        <v>7984.3407629999983</v>
      </c>
      <c r="I29" s="119">
        <f t="shared" si="12"/>
        <v>9161.6484462299995</v>
      </c>
      <c r="J29" s="119">
        <f t="shared" si="12"/>
        <v>10183.325043681298</v>
      </c>
      <c r="K29" s="119">
        <f t="shared" si="12"/>
        <v>11345.708553971042</v>
      </c>
      <c r="L29" s="119">
        <f t="shared" si="12"/>
        <v>12670.031085745386</v>
      </c>
      <c r="M29" s="119">
        <f t="shared" si="12"/>
        <v>13780.813444089583</v>
      </c>
      <c r="N29" s="119">
        <f t="shared" si="12"/>
        <v>15010.287907880422</v>
      </c>
      <c r="O29" s="119">
        <f t="shared" si="12"/>
        <v>16372.107983963539</v>
      </c>
      <c r="P29" s="119">
        <f t="shared" si="12"/>
        <v>17881.537555738953</v>
      </c>
      <c r="Q29" s="119">
        <f t="shared" si="12"/>
        <v>19555.642522370395</v>
      </c>
      <c r="R29" s="12"/>
      <c r="S29" s="12"/>
      <c r="T29" s="12"/>
      <c r="U29" s="12"/>
      <c r="V29" s="12"/>
      <c r="W29" s="12"/>
      <c r="X29" s="12"/>
      <c r="Y29" s="12"/>
      <c r="Z29" s="12"/>
    </row>
    <row r="30" spans="1:26" x14ac:dyDescent="0.2">
      <c r="A30" s="12"/>
      <c r="B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x14ac:dyDescent="0.2">
      <c r="A31" s="12" t="s">
        <v>152</v>
      </c>
      <c r="B31" s="128">
        <v>1430</v>
      </c>
      <c r="C31" s="53">
        <v>1467</v>
      </c>
      <c r="D31" s="53">
        <v>1645</v>
      </c>
      <c r="E31" s="53">
        <v>1739</v>
      </c>
      <c r="F31" s="53">
        <v>4219</v>
      </c>
      <c r="G31" s="53">
        <v>4434</v>
      </c>
      <c r="H31" s="53">
        <f>H6*H32</f>
        <v>3645.8177000000005</v>
      </c>
      <c r="I31" s="53">
        <f t="shared" ref="I31:Q31" si="13">I6*I32</f>
        <v>4183.4011170000003</v>
      </c>
      <c r="J31" s="53">
        <f t="shared" si="13"/>
        <v>4649.9201112700011</v>
      </c>
      <c r="K31" s="53">
        <f t="shared" si="13"/>
        <v>5180.6888374297005</v>
      </c>
      <c r="L31" s="53">
        <f t="shared" si="13"/>
        <v>5785.4023222581673</v>
      </c>
      <c r="M31" s="53">
        <f t="shared" si="13"/>
        <v>6292.6088785797183</v>
      </c>
      <c r="N31" s="53">
        <f t="shared" si="13"/>
        <v>6854.0127433243933</v>
      </c>
      <c r="O31" s="53">
        <f t="shared" si="13"/>
        <v>7475.8483945038997</v>
      </c>
      <c r="P31" s="53">
        <f t="shared" si="13"/>
        <v>8165.0856418899375</v>
      </c>
      <c r="Q31" s="53">
        <f t="shared" si="13"/>
        <v>8929.5171335024625</v>
      </c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2">
      <c r="A32" s="14" t="s">
        <v>140</v>
      </c>
      <c r="B32" s="27">
        <f>B31/B6</f>
        <v>4.0118954101672093E-2</v>
      </c>
      <c r="C32" s="27">
        <f t="shared" ref="C32:G32" si="14">C31/C6</f>
        <v>3.9015957446808511E-2</v>
      </c>
      <c r="D32" s="27">
        <f t="shared" si="14"/>
        <v>3.8582418613378362E-2</v>
      </c>
      <c r="E32" s="27">
        <f t="shared" si="14"/>
        <v>3.7137487720497159E-2</v>
      </c>
      <c r="F32" s="27">
        <f t="shared" si="14"/>
        <v>7.8610024222098007E-2</v>
      </c>
      <c r="G32" s="27">
        <f t="shared" si="14"/>
        <v>9.9303487043963176E-2</v>
      </c>
      <c r="H32" s="130">
        <f>7%</f>
        <v>7.0000000000000007E-2</v>
      </c>
      <c r="I32" s="130">
        <f>7%</f>
        <v>7.0000000000000007E-2</v>
      </c>
      <c r="J32" s="130">
        <f>7%</f>
        <v>7.0000000000000007E-2</v>
      </c>
      <c r="K32" s="130">
        <f>7%</f>
        <v>7.0000000000000007E-2</v>
      </c>
      <c r="L32" s="130">
        <f>7%</f>
        <v>7.0000000000000007E-2</v>
      </c>
      <c r="M32" s="130">
        <f>7%</f>
        <v>7.0000000000000007E-2</v>
      </c>
      <c r="N32" s="130">
        <f>7%</f>
        <v>7.0000000000000007E-2</v>
      </c>
      <c r="O32" s="130">
        <f>7%</f>
        <v>7.0000000000000007E-2</v>
      </c>
      <c r="P32" s="130">
        <f>7%</f>
        <v>7.0000000000000007E-2</v>
      </c>
      <c r="Q32" s="130">
        <f>7%</f>
        <v>7.0000000000000007E-2</v>
      </c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">
      <c r="A33" s="126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">
      <c r="A34" s="99" t="s">
        <v>142</v>
      </c>
      <c r="B34" s="85"/>
      <c r="C34" s="85">
        <f>NCWC!C32</f>
        <v>66</v>
      </c>
      <c r="D34" s="85">
        <f>NCWC!D32</f>
        <v>-229</v>
      </c>
      <c r="E34" s="85">
        <f>NCWC!E32</f>
        <v>613</v>
      </c>
      <c r="F34" s="85">
        <f>NCWC!F32</f>
        <v>796</v>
      </c>
      <c r="G34" s="85">
        <f>NCWC!G32</f>
        <v>-897</v>
      </c>
      <c r="H34" s="85">
        <f>NCWC!H32</f>
        <v>-190.60588999999891</v>
      </c>
      <c r="I34" s="85">
        <f>NCWC!I32</f>
        <v>775.65607309999905</v>
      </c>
      <c r="J34" s="85">
        <f>NCWC!J32</f>
        <v>673.12026316100128</v>
      </c>
      <c r="K34" s="85">
        <f>NCWC!K32</f>
        <v>765.82344774470948</v>
      </c>
      <c r="L34" s="85">
        <f>NCWC!L32</f>
        <v>872.51517096678799</v>
      </c>
      <c r="M34" s="85">
        <f>NCWC!M32</f>
        <v>731.82660269252301</v>
      </c>
      <c r="N34" s="85">
        <f>NCWC!N32</f>
        <v>810.02557627446004</v>
      </c>
      <c r="O34" s="85">
        <f>NCWC!O32</f>
        <v>897.22001098757028</v>
      </c>
      <c r="P34" s="85">
        <f>NCWC!P32</f>
        <v>994.47088551414345</v>
      </c>
      <c r="Q34" s="85">
        <f>NCWC!Q32</f>
        <v>1102.9654378980667</v>
      </c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">
      <c r="A36" s="12" t="s">
        <v>153</v>
      </c>
      <c r="B36" s="127">
        <v>-1974</v>
      </c>
      <c r="C36" s="127">
        <v>-2261</v>
      </c>
      <c r="D36" s="127">
        <v>-2299</v>
      </c>
      <c r="E36" s="127">
        <v>-2590</v>
      </c>
      <c r="F36" s="127">
        <v>-2860</v>
      </c>
      <c r="G36" s="127">
        <v>-1983</v>
      </c>
      <c r="H36" s="53">
        <f>H6*H37</f>
        <v>-2604.1555000000003</v>
      </c>
      <c r="I36" s="53">
        <f t="shared" ref="I36:Q36" si="15">I6*I37</f>
        <v>-2988.1436550000003</v>
      </c>
      <c r="J36" s="53">
        <f t="shared" si="15"/>
        <v>-3321.3715080500006</v>
      </c>
      <c r="K36" s="53">
        <f t="shared" si="15"/>
        <v>-3700.4920267355005</v>
      </c>
      <c r="L36" s="53">
        <f t="shared" si="15"/>
        <v>-4132.4302301844054</v>
      </c>
      <c r="M36" s="53">
        <f t="shared" si="15"/>
        <v>-4494.7206275569415</v>
      </c>
      <c r="N36" s="53">
        <f t="shared" si="15"/>
        <v>-4895.7233880888516</v>
      </c>
      <c r="O36" s="53">
        <f t="shared" si="15"/>
        <v>-5339.8917103599279</v>
      </c>
      <c r="P36" s="53">
        <f t="shared" si="15"/>
        <v>-5832.2040299213841</v>
      </c>
      <c r="Q36" s="53">
        <f t="shared" si="15"/>
        <v>-6378.2265239303306</v>
      </c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">
      <c r="A37" s="14" t="s">
        <v>140</v>
      </c>
      <c r="B37" s="15">
        <f>B36/B6</f>
        <v>-5.5380989787902589E-2</v>
      </c>
      <c r="C37" s="15">
        <f t="shared" ref="C37:G37" si="16">C36/C6</f>
        <v>-6.0132978723404257E-2</v>
      </c>
      <c r="D37" s="15">
        <f t="shared" si="16"/>
        <v>-5.3921568627450983E-2</v>
      </c>
      <c r="E37" s="15">
        <f t="shared" si="16"/>
        <v>-5.5311151924144708E-2</v>
      </c>
      <c r="F37" s="15">
        <f t="shared" si="16"/>
        <v>-5.3288615613937024E-2</v>
      </c>
      <c r="G37" s="15">
        <f t="shared" si="16"/>
        <v>-4.4411099415466622E-2</v>
      </c>
      <c r="H37" s="108">
        <v>-0.05</v>
      </c>
      <c r="I37" s="108">
        <v>-0.05</v>
      </c>
      <c r="J37" s="108">
        <v>-0.05</v>
      </c>
      <c r="K37" s="108">
        <v>-0.05</v>
      </c>
      <c r="L37" s="108">
        <v>-0.05</v>
      </c>
      <c r="M37" s="108">
        <v>-0.05</v>
      </c>
      <c r="N37" s="108">
        <v>-0.05</v>
      </c>
      <c r="O37" s="108">
        <v>-0.05</v>
      </c>
      <c r="P37" s="108">
        <v>-0.05</v>
      </c>
      <c r="Q37" s="108">
        <v>-0.05</v>
      </c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">
      <c r="A39" s="12" t="s">
        <v>154</v>
      </c>
      <c r="B39" s="52"/>
      <c r="C39" s="53">
        <f>C29+C31-C34-C36</f>
        <v>8409.5479999999989</v>
      </c>
      <c r="D39" s="53">
        <f t="shared" ref="D39:Q39" si="17">D29+D31-D34-D36</f>
        <v>10187.6</v>
      </c>
      <c r="E39" s="53">
        <f t="shared" si="17"/>
        <v>11071.26</v>
      </c>
      <c r="F39" s="53">
        <f t="shared" si="17"/>
        <v>14614.575999999999</v>
      </c>
      <c r="G39" s="53">
        <f t="shared" si="17"/>
        <v>12931.530999999999</v>
      </c>
      <c r="H39" s="53">
        <f t="shared" si="17"/>
        <v>14424.919852999999</v>
      </c>
      <c r="I39" s="53">
        <f t="shared" si="17"/>
        <v>15557.537145130002</v>
      </c>
      <c r="J39" s="53">
        <f t="shared" si="17"/>
        <v>17481.496399840296</v>
      </c>
      <c r="K39" s="53">
        <f t="shared" si="17"/>
        <v>19461.065970391533</v>
      </c>
      <c r="L39" s="53">
        <f t="shared" si="17"/>
        <v>21715.348467221171</v>
      </c>
      <c r="M39" s="53">
        <f t="shared" si="17"/>
        <v>23836.316347533717</v>
      </c>
      <c r="N39" s="53">
        <f t="shared" si="17"/>
        <v>25949.998463019208</v>
      </c>
      <c r="O39" s="53">
        <f t="shared" si="17"/>
        <v>28290.628077839796</v>
      </c>
      <c r="P39" s="53">
        <f t="shared" si="17"/>
        <v>30884.356342036132</v>
      </c>
      <c r="Q39" s="53">
        <f t="shared" si="17"/>
        <v>33760.420741905124</v>
      </c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">
      <c r="A40" s="12"/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">
      <c r="A41" s="59" t="s">
        <v>159</v>
      </c>
      <c r="B41" s="132" t="s">
        <v>79</v>
      </c>
      <c r="C41" s="133">
        <f>Beta!M18</f>
        <v>7.0637263742562073E-2</v>
      </c>
      <c r="D41" s="12"/>
      <c r="E41" s="12"/>
      <c r="H41" s="112">
        <f>PV($C$41,H27,,-H39)</f>
        <v>13473.209219876841</v>
      </c>
      <c r="I41" s="112">
        <f>PV($C$41,I27,,-I39)</f>
        <v>13572.383937988132</v>
      </c>
      <c r="J41" s="112">
        <f>PV($C$41,J27,,-J39)</f>
        <v>14244.642037154757</v>
      </c>
      <c r="K41" s="112">
        <f>PV($C$41,K27,,-K39)</f>
        <v>14811.437311590975</v>
      </c>
      <c r="L41" s="112">
        <f>PV($C$41,L27,,-L39)</f>
        <v>15436.720037968966</v>
      </c>
      <c r="M41" s="112">
        <f>PV($C$41,M27,,-M39)</f>
        <v>15826.504679550078</v>
      </c>
      <c r="N41" s="112">
        <f>PV($C$41,N27,,-N39)</f>
        <v>16093.142296173975</v>
      </c>
      <c r="O41" s="112">
        <f>PV($C$41,O27,,-O39)</f>
        <v>16387.162079043133</v>
      </c>
      <c r="P41" s="112">
        <f>PV($C$41,P27,,-P39)</f>
        <v>16709.265491648643</v>
      </c>
      <c r="Q41" s="112">
        <f>PV($C$41,Q27,,-Q39)</f>
        <v>17060.207152417239</v>
      </c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">
      <c r="A42" s="59"/>
      <c r="B42" s="134"/>
      <c r="C42" s="135"/>
      <c r="D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">
      <c r="B43" s="12"/>
      <c r="C43" s="12"/>
      <c r="D43" s="12"/>
      <c r="E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">
      <c r="A44" s="12" t="s">
        <v>158</v>
      </c>
      <c r="B44" s="53">
        <f>SUM(H41:Q41)</f>
        <v>153614.67424341277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">
      <c r="A45" s="12" t="s">
        <v>160</v>
      </c>
      <c r="B45" s="129">
        <v>0.02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">
      <c r="A46" s="12" t="s">
        <v>161</v>
      </c>
      <c r="B46" s="52">
        <f>(Q39*(1+B45))/(C41-B45)</f>
        <v>680045.21989601688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">
      <c r="A47" s="12" t="s">
        <v>157</v>
      </c>
      <c r="B47" s="136">
        <f>PV(C41,10,,-B46)</f>
        <v>343648.33344735409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">
      <c r="A48" s="131" t="s">
        <v>87</v>
      </c>
      <c r="B48" s="52">
        <f>B44+B47</f>
        <v>497263.00769076683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">
      <c r="A49" s="12" t="s">
        <v>162</v>
      </c>
      <c r="B49" s="127">
        <f>RV!J8</f>
        <v>38548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">
      <c r="A50" s="12" t="s">
        <v>86</v>
      </c>
      <c r="B50" s="127">
        <f>RV!L8</f>
        <v>8723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">
      <c r="A51" s="131" t="s">
        <v>156</v>
      </c>
      <c r="B51" s="52">
        <f>B48-B49+B50</f>
        <v>467438.00769076683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">
      <c r="A52" s="61" t="s">
        <v>155</v>
      </c>
      <c r="B52" s="12">
        <f>Beta!H14</f>
        <v>503.79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">
      <c r="A53" s="131" t="s">
        <v>119</v>
      </c>
      <c r="B53" s="52">
        <f>B51/B52</f>
        <v>927.84296570151616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">
      <c r="A59" s="12"/>
      <c r="B59" s="12"/>
      <c r="C59" s="12"/>
      <c r="D59" s="141" t="s">
        <v>160</v>
      </c>
      <c r="E59" s="141"/>
      <c r="F59" s="141"/>
      <c r="G59" s="141"/>
      <c r="H59" s="14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">
      <c r="A60" s="12"/>
      <c r="B60" s="12"/>
      <c r="C60" s="52">
        <f>B53</f>
        <v>927.84296570151616</v>
      </c>
      <c r="D60" s="143">
        <v>5.0000000000000001E-3</v>
      </c>
      <c r="E60" s="143">
        <v>0.01</v>
      </c>
      <c r="F60" s="143">
        <v>1.4999999999999999E-2</v>
      </c>
      <c r="G60" s="143">
        <v>0.02</v>
      </c>
      <c r="H60" s="143">
        <v>2.5000000000000001E-2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">
      <c r="A61" s="12"/>
      <c r="B61" s="139" t="s">
        <v>79</v>
      </c>
      <c r="C61" s="142">
        <v>0.05</v>
      </c>
      <c r="D61" s="53">
        <f t="dataTable" ref="D61:H65" dt2D="1" dtr="1" r1="B45" r2="C41" ca="1"/>
        <v>1200.9810770982338</v>
      </c>
      <c r="E61" s="53">
        <v>1320.9730282501484</v>
      </c>
      <c r="F61" s="53">
        <v>1475.2483940168954</v>
      </c>
      <c r="G61" s="53">
        <v>1680.9488817058923</v>
      </c>
      <c r="H61" s="53">
        <v>1968.9295644704875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">
      <c r="A62" s="12"/>
      <c r="B62" s="139"/>
      <c r="C62" s="142">
        <v>0.06</v>
      </c>
      <c r="D62" s="53">
        <v>947.54576518878264</v>
      </c>
      <c r="E62" s="53">
        <v>1019.6636251385841</v>
      </c>
      <c r="F62" s="53">
        <v>1107.8076761883417</v>
      </c>
      <c r="G62" s="53">
        <v>1217.9877400005391</v>
      </c>
      <c r="H62" s="53">
        <v>1359.6478220447923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">
      <c r="A63" s="12"/>
      <c r="B63" s="139"/>
      <c r="C63" s="142">
        <v>7.0000000000000007E-2</v>
      </c>
      <c r="D63" s="53">
        <v>773.47045163967516</v>
      </c>
      <c r="E63" s="53">
        <v>820.2019499729754</v>
      </c>
      <c r="F63" s="53">
        <v>875.43008436687546</v>
      </c>
      <c r="G63" s="137">
        <v>941.70384563955565</v>
      </c>
      <c r="H63" s="53">
        <v>1022.7051094172758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">
      <c r="A64" s="12"/>
      <c r="B64" s="139"/>
      <c r="C64" s="142">
        <v>0.08</v>
      </c>
      <c r="D64" s="53">
        <v>646.91415332789552</v>
      </c>
      <c r="E64" s="53">
        <v>678.84093991614986</v>
      </c>
      <c r="F64" s="53">
        <v>715.67953982567428</v>
      </c>
      <c r="G64" s="53">
        <v>758.65790638678607</v>
      </c>
      <c r="H64" s="53">
        <v>809.4505214135545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">
      <c r="A65" s="12"/>
      <c r="B65" s="139"/>
      <c r="C65" s="142">
        <v>0.09</v>
      </c>
      <c r="D65" s="53">
        <v>551.02780927393349</v>
      </c>
      <c r="E65" s="53">
        <v>573.71501022853806</v>
      </c>
      <c r="F65" s="53">
        <v>599.42717131042309</v>
      </c>
      <c r="G65" s="53">
        <v>628.8124982611489</v>
      </c>
      <c r="H65" s="53">
        <v>662.7186447427556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">
      <c r="A66" s="12"/>
      <c r="B66" s="12"/>
      <c r="C66" s="129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">
      <c r="A67" s="12"/>
      <c r="B67" s="12"/>
      <c r="C67" s="129"/>
      <c r="D67" s="141" t="s">
        <v>79</v>
      </c>
      <c r="E67" s="141"/>
      <c r="F67" s="141"/>
      <c r="G67" s="141"/>
      <c r="H67" s="141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6" customHeight="1" x14ac:dyDescent="0.2">
      <c r="A68" s="12"/>
      <c r="B68" s="140" t="s">
        <v>163</v>
      </c>
      <c r="C68" s="52">
        <f>B53</f>
        <v>927.84296570151616</v>
      </c>
      <c r="D68" s="142">
        <v>0.05</v>
      </c>
      <c r="E68" s="142">
        <v>0.06</v>
      </c>
      <c r="F68" s="142">
        <v>7.0000000000000007E-2</v>
      </c>
      <c r="G68" s="142">
        <v>0.08</v>
      </c>
      <c r="H68" s="142">
        <v>0.09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">
      <c r="A69" s="12"/>
      <c r="B69" s="140"/>
      <c r="C69" s="142">
        <v>0.14000000000000001</v>
      </c>
      <c r="D69" s="53">
        <f t="dataTable" ref="D69:H73" dt2D="1" dtr="1" r1="C41" r2="H7"/>
        <v>1640.2093282203878</v>
      </c>
      <c r="E69" s="53">
        <v>1188.0888935398448</v>
      </c>
      <c r="F69" s="53">
        <v>918.27455420614501</v>
      </c>
      <c r="G69" s="53">
        <v>739.51494696431348</v>
      </c>
      <c r="H69" s="53">
        <v>612.71014472471234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">
      <c r="A70" s="12"/>
      <c r="B70" s="140"/>
      <c r="C70" s="142">
        <v>0.15</v>
      </c>
      <c r="D70" s="53">
        <v>1655.6124443256329</v>
      </c>
      <c r="E70" s="53">
        <v>1199.3932737808025</v>
      </c>
      <c r="F70" s="137">
        <v>927.13287653264899</v>
      </c>
      <c r="G70" s="53">
        <v>746.75266071803094</v>
      </c>
      <c r="H70" s="53">
        <v>618.79824338729804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">
      <c r="A71" s="12"/>
      <c r="B71" s="140"/>
      <c r="C71" s="142">
        <v>0.16</v>
      </c>
      <c r="D71" s="53">
        <v>1671.0155604308793</v>
      </c>
      <c r="E71" s="53">
        <v>1210.6976540217609</v>
      </c>
      <c r="F71" s="53">
        <v>935.99119885915377</v>
      </c>
      <c r="G71" s="53">
        <v>753.99037447174896</v>
      </c>
      <c r="H71" s="53">
        <v>624.88634204988421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">
      <c r="A72" s="12"/>
      <c r="B72" s="140"/>
      <c r="C72" s="142">
        <v>0.17</v>
      </c>
      <c r="D72" s="53">
        <v>1686.4186765361255</v>
      </c>
      <c r="E72" s="53">
        <v>1222.0020342627195</v>
      </c>
      <c r="F72" s="53">
        <v>944.84952118565855</v>
      </c>
      <c r="G72" s="53">
        <v>761.22808822546676</v>
      </c>
      <c r="H72" s="53">
        <v>630.97444071247037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">
      <c r="A73" s="12"/>
      <c r="B73" s="140"/>
      <c r="C73" s="142">
        <v>0.18</v>
      </c>
      <c r="D73" s="53">
        <v>1701.8217926413713</v>
      </c>
      <c r="E73" s="53">
        <v>1233.3064145036774</v>
      </c>
      <c r="F73" s="53">
        <v>953.70784351216298</v>
      </c>
      <c r="G73" s="53">
        <v>768.46580197918456</v>
      </c>
      <c r="H73" s="53">
        <v>637.06253937505619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">
      <c r="A74" s="12"/>
      <c r="B74" s="138"/>
      <c r="C74" s="12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">
      <c r="A75" s="12"/>
      <c r="B75" s="138"/>
      <c r="C75" s="129"/>
      <c r="D75" s="141" t="s">
        <v>160</v>
      </c>
      <c r="E75" s="141"/>
      <c r="F75" s="141"/>
      <c r="G75" s="141"/>
      <c r="H75" s="141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">
      <c r="A76" s="12"/>
      <c r="B76" s="140" t="s">
        <v>163</v>
      </c>
      <c r="C76" s="52">
        <f>B53</f>
        <v>927.84296570151616</v>
      </c>
      <c r="D76" s="143">
        <v>5.0000000000000001E-3</v>
      </c>
      <c r="E76" s="143">
        <v>0.01</v>
      </c>
      <c r="F76" s="143">
        <v>1.4999999999999999E-2</v>
      </c>
      <c r="G76" s="143">
        <v>0.02</v>
      </c>
      <c r="H76" s="143">
        <v>2.5000000000000001E-2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">
      <c r="A77" s="12"/>
      <c r="B77" s="140"/>
      <c r="C77" s="142">
        <v>0.14000000000000001</v>
      </c>
      <c r="D77" s="53">
        <f t="dataTable" ref="D77:H81" dt2D="1" dtr="1" r1="B45" r2="H7" ca="1"/>
        <v>744.94534196534914</v>
      </c>
      <c r="E77" s="53">
        <v>789.42555664531255</v>
      </c>
      <c r="F77" s="53">
        <v>841.90045181239975</v>
      </c>
      <c r="G77" s="53">
        <v>904.73824799125339</v>
      </c>
      <c r="H77" s="53">
        <v>981.34501080520556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">
      <c r="A78" s="12"/>
      <c r="B78" s="140"/>
      <c r="C78" s="142">
        <v>0.15</v>
      </c>
      <c r="D78" s="53">
        <v>752.23236306783292</v>
      </c>
      <c r="E78" s="53">
        <v>797.11580794684289</v>
      </c>
      <c r="F78" s="53">
        <v>850.06640815661979</v>
      </c>
      <c r="G78" s="53">
        <v>913.47385304879822</v>
      </c>
      <c r="H78" s="53">
        <v>990.7750855374145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">
      <c r="A79" s="12"/>
      <c r="B79" s="140"/>
      <c r="C79" s="142">
        <v>0.16</v>
      </c>
      <c r="D79" s="53">
        <v>759.51938417031727</v>
      </c>
      <c r="E79" s="53">
        <v>804.80605924837391</v>
      </c>
      <c r="F79" s="53">
        <v>858.23236450084039</v>
      </c>
      <c r="G79" s="137">
        <v>922.20945810634385</v>
      </c>
      <c r="H79" s="53">
        <v>1000.2051602696242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">
      <c r="A80" s="12"/>
      <c r="B80" s="140"/>
      <c r="C80" s="142">
        <v>0.17</v>
      </c>
      <c r="D80" s="53">
        <v>766.80640527280161</v>
      </c>
      <c r="E80" s="53">
        <v>812.49631054990493</v>
      </c>
      <c r="F80" s="53">
        <v>866.39832084506111</v>
      </c>
      <c r="G80" s="53">
        <v>930.94506316388924</v>
      </c>
      <c r="H80" s="53">
        <v>1009.6352350018341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">
      <c r="A81" s="12"/>
      <c r="B81" s="140"/>
      <c r="C81" s="142">
        <v>0.18</v>
      </c>
      <c r="D81" s="53">
        <v>774.09342637528596</v>
      </c>
      <c r="E81" s="53">
        <v>820.18656185143584</v>
      </c>
      <c r="F81" s="53">
        <v>874.5642771892816</v>
      </c>
      <c r="G81" s="53">
        <v>939.68066822143453</v>
      </c>
      <c r="H81" s="53">
        <v>1019.0653097340436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</sheetData>
  <mergeCells count="10">
    <mergeCell ref="B61:B65"/>
    <mergeCell ref="D59:H59"/>
    <mergeCell ref="D67:H67"/>
    <mergeCell ref="B68:B73"/>
    <mergeCell ref="B76:B81"/>
    <mergeCell ref="D75:H75"/>
    <mergeCell ref="B2:G2"/>
    <mergeCell ref="H2:Q2"/>
    <mergeCell ref="B25:G25"/>
    <mergeCell ref="H25:Q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5FFA-43C1-4048-AD8E-025FEE699C25}">
  <dimension ref="A1:BC367"/>
  <sheetViews>
    <sheetView topLeftCell="D1" zoomScale="88" workbookViewId="0">
      <selection activeCell="A3" sqref="A3:A8"/>
    </sheetView>
  </sheetViews>
  <sheetFormatPr baseColWidth="10" defaultRowHeight="16" x14ac:dyDescent="0.2"/>
  <cols>
    <col min="1" max="1" width="25.6640625" customWidth="1"/>
    <col min="2" max="2" width="16" customWidth="1"/>
    <col min="3" max="3" width="20.5" customWidth="1"/>
    <col min="5" max="5" width="18.33203125" customWidth="1"/>
    <col min="7" max="7" width="33.33203125" customWidth="1"/>
    <col min="8" max="8" width="19" customWidth="1"/>
    <col min="11" max="11" width="32" customWidth="1"/>
    <col min="12" max="12" width="90" customWidth="1"/>
    <col min="13" max="13" width="13.1640625" customWidth="1"/>
  </cols>
  <sheetData>
    <row r="1" spans="1:55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</row>
    <row r="2" spans="1:55" x14ac:dyDescent="0.2">
      <c r="A2" s="16" t="s">
        <v>43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</row>
    <row r="3" spans="1:55" x14ac:dyDescent="0.2">
      <c r="A3" s="33" t="s">
        <v>35</v>
      </c>
      <c r="B3" s="33" t="s">
        <v>55</v>
      </c>
      <c r="C3" s="33" t="s">
        <v>40</v>
      </c>
      <c r="D3" s="33" t="s">
        <v>38</v>
      </c>
      <c r="E3" s="33" t="s">
        <v>39</v>
      </c>
      <c r="F3" s="12"/>
      <c r="G3" s="122" t="s">
        <v>49</v>
      </c>
      <c r="H3" s="123"/>
      <c r="I3" s="12"/>
      <c r="J3" s="12"/>
      <c r="K3" s="124" t="s">
        <v>64</v>
      </c>
      <c r="L3" s="124"/>
      <c r="M3" s="124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</row>
    <row r="4" spans="1:55" x14ac:dyDescent="0.2">
      <c r="A4" s="12" t="s">
        <v>42</v>
      </c>
      <c r="B4" s="52">
        <v>14431</v>
      </c>
      <c r="C4" s="52">
        <v>82692.800000000003</v>
      </c>
      <c r="D4" s="16">
        <v>1.22</v>
      </c>
      <c r="E4" s="62">
        <f>D4/(1+(1-$B$14)*(B4/C4))</f>
        <v>1.0813040165184014</v>
      </c>
      <c r="F4" s="12"/>
      <c r="G4" s="71" t="s">
        <v>50</v>
      </c>
      <c r="H4" s="73">
        <v>8765</v>
      </c>
      <c r="J4" s="12"/>
      <c r="K4" s="12" t="s">
        <v>72</v>
      </c>
      <c r="L4" s="12"/>
      <c r="M4" s="53">
        <f>H7</f>
        <v>11944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</row>
    <row r="5" spans="1:55" x14ac:dyDescent="0.2">
      <c r="A5" s="12" t="s">
        <v>44</v>
      </c>
      <c r="B5" s="56">
        <v>1421.9</v>
      </c>
      <c r="C5" s="56">
        <v>7501.2</v>
      </c>
      <c r="D5" s="16">
        <v>1.23</v>
      </c>
      <c r="E5" s="62">
        <f>D5/(1+(1-$B$14)*(B5/C5))</f>
        <v>1.0795876319058204</v>
      </c>
      <c r="F5" s="12"/>
      <c r="G5" s="75" t="s">
        <v>51</v>
      </c>
      <c r="H5" s="73">
        <v>3354</v>
      </c>
      <c r="J5" s="12"/>
      <c r="K5" s="12" t="s">
        <v>65</v>
      </c>
      <c r="L5" s="95" t="s">
        <v>69</v>
      </c>
      <c r="M5" s="60">
        <v>1.5140000000000001E-2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</row>
    <row r="6" spans="1:55" x14ac:dyDescent="0.2">
      <c r="A6" s="12" t="s">
        <v>45</v>
      </c>
      <c r="B6" s="57">
        <v>2825.1</v>
      </c>
      <c r="C6" s="57">
        <v>135361.79999999999</v>
      </c>
      <c r="D6" s="16">
        <v>1.41</v>
      </c>
      <c r="E6" s="62">
        <f>D6/(1+(1-$B$14)*(B6/C6))</f>
        <v>1.3886973974351835</v>
      </c>
      <c r="F6" s="12"/>
      <c r="G6" s="75" t="s">
        <v>52</v>
      </c>
      <c r="H6" s="73">
        <v>2440</v>
      </c>
      <c r="J6" s="12"/>
      <c r="K6" s="12" t="s">
        <v>66</v>
      </c>
      <c r="L6" s="96"/>
      <c r="M6" s="60">
        <f>M5</f>
        <v>1.5140000000000001E-2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</row>
    <row r="7" spans="1:55" x14ac:dyDescent="0.2">
      <c r="A7" s="63" t="s">
        <v>46</v>
      </c>
      <c r="B7" s="64">
        <v>9816.7000000000007</v>
      </c>
      <c r="C7" s="64">
        <v>91215.3</v>
      </c>
      <c r="D7" s="33">
        <v>0.97</v>
      </c>
      <c r="E7" s="65">
        <f>D7/(1+(1-$B$14)*(B7/C7))</f>
        <v>0.89889591165598659</v>
      </c>
      <c r="F7" s="12"/>
      <c r="G7" s="75" t="s">
        <v>53</v>
      </c>
      <c r="H7" s="73">
        <v>11944</v>
      </c>
      <c r="J7" s="12"/>
      <c r="K7" s="12" t="s">
        <v>67</v>
      </c>
      <c r="L7" s="95" t="s">
        <v>70</v>
      </c>
      <c r="M7" s="60">
        <v>2.5000000000000001E-3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</row>
    <row r="8" spans="1:55" x14ac:dyDescent="0.2">
      <c r="A8" s="12" t="s">
        <v>22</v>
      </c>
      <c r="B8" s="12"/>
      <c r="C8" s="12"/>
      <c r="D8" s="62">
        <f>AVERAGE(D4:D7)</f>
        <v>1.2075</v>
      </c>
      <c r="E8" s="68">
        <f>AVERAGE(E4:E7)</f>
        <v>1.112121239378848</v>
      </c>
      <c r="F8" s="12"/>
      <c r="G8" s="72" t="s">
        <v>54</v>
      </c>
      <c r="H8" s="74">
        <v>12045</v>
      </c>
      <c r="J8" s="12"/>
      <c r="K8" s="12" t="s">
        <v>68</v>
      </c>
      <c r="M8" s="94">
        <v>14485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</row>
    <row r="9" spans="1:55" x14ac:dyDescent="0.2">
      <c r="A9" s="12"/>
      <c r="B9" s="12"/>
      <c r="C9" s="12"/>
      <c r="D9" s="12"/>
      <c r="E9" s="12"/>
      <c r="F9" s="12"/>
      <c r="G9" s="76" t="s">
        <v>55</v>
      </c>
      <c r="H9" s="74">
        <f>SUM(H4:H8)</f>
        <v>38548</v>
      </c>
      <c r="J9" s="12"/>
      <c r="K9" s="12" t="s">
        <v>71</v>
      </c>
      <c r="L9" s="12" t="s">
        <v>73</v>
      </c>
      <c r="M9" s="83">
        <f>((M5+M7)*M4+M6*M8)/H9</f>
        <v>1.1154795579537202E-2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</row>
    <row r="10" spans="1:55" x14ac:dyDescent="0.2">
      <c r="A10" s="33"/>
      <c r="B10" s="33" t="s">
        <v>41</v>
      </c>
      <c r="C10" s="33" t="s">
        <v>37</v>
      </c>
      <c r="D10" s="33" t="s">
        <v>38</v>
      </c>
      <c r="E10" s="33" t="s">
        <v>39</v>
      </c>
      <c r="F10" s="12"/>
      <c r="G10" s="12"/>
      <c r="H10" s="12"/>
      <c r="I10" s="12"/>
      <c r="J10" s="12"/>
      <c r="K10" s="12" t="s">
        <v>74</v>
      </c>
      <c r="L10" s="12" t="s">
        <v>75</v>
      </c>
      <c r="M10" s="83">
        <f>M9*(1-B14)</f>
        <v>8.1987747509598436E-3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</row>
    <row r="11" spans="1:55" x14ac:dyDescent="0.2">
      <c r="A11" s="12" t="s">
        <v>47</v>
      </c>
      <c r="B11" s="55">
        <f>H9</f>
        <v>38548</v>
      </c>
      <c r="C11" s="54">
        <f>H15</f>
        <v>365247.75</v>
      </c>
      <c r="D11" s="68">
        <f>E8</f>
        <v>1.112121239378848</v>
      </c>
      <c r="E11" s="66">
        <f>D11*(1+(1-B14)*(B11/C11))</f>
        <v>1.1983900429748953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</row>
    <row r="12" spans="1:55" x14ac:dyDescent="0.2">
      <c r="A12" s="12"/>
      <c r="B12" s="12"/>
      <c r="C12" s="12"/>
      <c r="D12" s="12"/>
      <c r="E12" s="12"/>
      <c r="F12" s="12"/>
      <c r="G12" s="122" t="s">
        <v>56</v>
      </c>
      <c r="H12" s="123"/>
      <c r="I12" s="12"/>
      <c r="J12" s="12"/>
      <c r="K12" s="124" t="s">
        <v>63</v>
      </c>
      <c r="L12" s="124"/>
      <c r="M12" s="124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</row>
    <row r="13" spans="1:55" x14ac:dyDescent="0.2">
      <c r="A13" s="67"/>
      <c r="B13" s="33" t="s">
        <v>48</v>
      </c>
      <c r="C13" s="12"/>
      <c r="D13" s="12"/>
      <c r="E13" s="12"/>
      <c r="F13" s="12"/>
      <c r="G13" s="79" t="s">
        <v>58</v>
      </c>
      <c r="H13" s="81">
        <v>725</v>
      </c>
      <c r="I13" s="12"/>
      <c r="J13" s="12"/>
      <c r="K13" s="12" t="s">
        <v>38</v>
      </c>
      <c r="L13" s="12"/>
      <c r="M13" s="61">
        <f>E11</f>
        <v>1.1983900429748953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</row>
    <row r="14" spans="1:55" x14ac:dyDescent="0.2">
      <c r="A14" s="12" t="s">
        <v>47</v>
      </c>
      <c r="B14" s="60">
        <v>0.26500000000000001</v>
      </c>
      <c r="C14" s="12"/>
      <c r="D14" s="12"/>
      <c r="E14" s="12"/>
      <c r="F14" s="12"/>
      <c r="G14" s="80" t="s">
        <v>57</v>
      </c>
      <c r="H14" s="75">
        <v>503.79</v>
      </c>
      <c r="I14" s="12"/>
      <c r="J14" s="12"/>
      <c r="K14" s="12" t="s">
        <v>65</v>
      </c>
      <c r="L14" s="95" t="s">
        <v>69</v>
      </c>
      <c r="M14" s="60">
        <v>1.5140000000000001E-2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</row>
    <row r="15" spans="1:55" x14ac:dyDescent="0.2">
      <c r="F15" s="12"/>
      <c r="G15" s="76" t="s">
        <v>59</v>
      </c>
      <c r="H15" s="82">
        <f>H13*H14</f>
        <v>365247.75</v>
      </c>
      <c r="I15" s="12"/>
      <c r="J15" s="12"/>
      <c r="K15" s="12" t="s">
        <v>76</v>
      </c>
      <c r="L15" s="96"/>
      <c r="M15" s="60">
        <v>5.1999999999999998E-2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</row>
    <row r="16" spans="1:55" x14ac:dyDescent="0.2">
      <c r="F16" s="12"/>
      <c r="G16" s="12"/>
      <c r="H16" s="12"/>
      <c r="I16" s="12"/>
      <c r="J16" s="12"/>
      <c r="K16" s="12" t="s">
        <v>77</v>
      </c>
      <c r="L16" s="95" t="s">
        <v>78</v>
      </c>
      <c r="M16" s="60">
        <f>M14+M13*M15</f>
        <v>7.7456282234694557E-2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</row>
    <row r="17" spans="1:55" x14ac:dyDescent="0.2">
      <c r="F17" s="12"/>
      <c r="G17" s="78" t="s">
        <v>60</v>
      </c>
      <c r="H17" s="91" t="s">
        <v>61</v>
      </c>
      <c r="I17" s="92" t="s">
        <v>62</v>
      </c>
      <c r="J17" s="12"/>
      <c r="K17" s="12"/>
      <c r="M17" s="94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</row>
    <row r="18" spans="1:55" x14ac:dyDescent="0.2">
      <c r="A18" s="12"/>
      <c r="B18" s="12"/>
      <c r="C18" s="12"/>
      <c r="D18" s="12"/>
      <c r="E18" s="12"/>
      <c r="F18" s="12"/>
      <c r="G18" s="86" t="s">
        <v>55</v>
      </c>
      <c r="H18" s="85">
        <f>H9</f>
        <v>38548</v>
      </c>
      <c r="I18" s="87">
        <f>H18/(H18+H19)</f>
        <v>9.5464105305714586E-2</v>
      </c>
      <c r="J18" s="12"/>
      <c r="K18" s="12" t="s">
        <v>79</v>
      </c>
      <c r="L18" s="12"/>
      <c r="M18" s="83">
        <f>I18*M10*(1-B14)+I19*M16</f>
        <v>7.0637263742562073E-2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</row>
    <row r="19" spans="1:55" x14ac:dyDescent="0.2">
      <c r="A19" s="12"/>
      <c r="B19" s="12"/>
      <c r="C19" s="12"/>
      <c r="D19" s="12"/>
      <c r="E19" s="12"/>
      <c r="F19" s="12"/>
      <c r="G19" s="88" t="s">
        <v>59</v>
      </c>
      <c r="H19" s="89">
        <f>H15</f>
        <v>365247.75</v>
      </c>
      <c r="I19" s="90">
        <f>H19/(H18+H19)</f>
        <v>0.90453589469428541</v>
      </c>
      <c r="J19" s="12"/>
      <c r="L19" s="12"/>
      <c r="M19" s="83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</row>
    <row r="20" spans="1:55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</row>
    <row r="21" spans="1:55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</row>
    <row r="22" spans="1:55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</row>
    <row r="23" spans="1:55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</row>
    <row r="24" spans="1:55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</row>
    <row r="25" spans="1:55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</row>
    <row r="26" spans="1:55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</row>
    <row r="27" spans="1:55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</row>
    <row r="28" spans="1:55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</row>
    <row r="29" spans="1:55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</row>
    <row r="30" spans="1:55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</row>
    <row r="31" spans="1:55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</row>
    <row r="32" spans="1:55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</row>
    <row r="33" spans="1:55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</row>
    <row r="34" spans="1:55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</row>
    <row r="35" spans="1:55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</row>
    <row r="36" spans="1:55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</row>
    <row r="37" spans="1:55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</row>
    <row r="38" spans="1:55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</row>
    <row r="39" spans="1:55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</row>
    <row r="40" spans="1:55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</row>
    <row r="41" spans="1:5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</row>
    <row r="42" spans="1:5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</row>
    <row r="43" spans="1:5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</row>
    <row r="44" spans="1:5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</row>
    <row r="45" spans="1:5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</row>
    <row r="46" spans="1:5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</row>
    <row r="47" spans="1:5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</row>
    <row r="48" spans="1:5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</row>
    <row r="49" spans="1:5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</row>
    <row r="50" spans="1:5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</row>
    <row r="51" spans="1:5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</row>
    <row r="52" spans="1:5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</row>
    <row r="53" spans="1:5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</row>
    <row r="54" spans="1:5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</row>
    <row r="55" spans="1:5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</row>
    <row r="56" spans="1:5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</row>
    <row r="57" spans="1:5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</row>
    <row r="58" spans="1:5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</row>
    <row r="59" spans="1:5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</row>
    <row r="60" spans="1:5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</row>
    <row r="61" spans="1:5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</row>
    <row r="62" spans="1:5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</row>
    <row r="63" spans="1:5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</row>
    <row r="64" spans="1:5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</row>
    <row r="65" spans="1:5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</row>
    <row r="66" spans="1:5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</row>
    <row r="67" spans="1:5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</row>
    <row r="68" spans="1:5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</row>
    <row r="69" spans="1:5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</row>
    <row r="70" spans="1:5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</row>
    <row r="71" spans="1:5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</row>
    <row r="72" spans="1:5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</row>
    <row r="73" spans="1:5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</row>
    <row r="74" spans="1:5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</row>
    <row r="75" spans="1:5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</row>
    <row r="76" spans="1:5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</row>
    <row r="77" spans="1:5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</row>
    <row r="78" spans="1:5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</row>
    <row r="79" spans="1:5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</row>
    <row r="80" spans="1:5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</row>
    <row r="81" spans="1:5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</row>
    <row r="82" spans="1:5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</row>
    <row r="83" spans="1:5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</row>
    <row r="84" spans="1:5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</row>
    <row r="85" spans="1:5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</row>
    <row r="86" spans="1:5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</row>
    <row r="87" spans="1:5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</row>
    <row r="88" spans="1:5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</row>
    <row r="89" spans="1:5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</row>
    <row r="90" spans="1:5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</row>
    <row r="91" spans="1:5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</row>
    <row r="92" spans="1:5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</row>
    <row r="93" spans="1:5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</row>
    <row r="94" spans="1:5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</row>
    <row r="95" spans="1:5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</row>
    <row r="96" spans="1:5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</row>
    <row r="97" spans="1:5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</row>
    <row r="98" spans="1:5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</row>
    <row r="99" spans="1:5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</row>
    <row r="100" spans="1:5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</row>
    <row r="101" spans="1:5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</row>
    <row r="102" spans="1:5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</row>
    <row r="103" spans="1:5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</row>
    <row r="104" spans="1:5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</row>
    <row r="105" spans="1:5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</row>
    <row r="106" spans="1:5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</row>
    <row r="107" spans="1:5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</row>
    <row r="108" spans="1:5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</row>
    <row r="109" spans="1:5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</row>
    <row r="110" spans="1:5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</row>
    <row r="111" spans="1:5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</row>
    <row r="112" spans="1:5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</row>
    <row r="113" spans="1:5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</row>
    <row r="114" spans="1:5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</row>
    <row r="115" spans="1:5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</row>
    <row r="116" spans="1:5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</row>
    <row r="117" spans="1:5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</row>
    <row r="118" spans="1:5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</row>
    <row r="119" spans="1:5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</row>
    <row r="120" spans="1:5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</row>
    <row r="121" spans="1:5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</row>
    <row r="122" spans="1:5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</row>
    <row r="123" spans="1:5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</row>
    <row r="124" spans="1:5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</row>
    <row r="125" spans="1:5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</row>
    <row r="126" spans="1:5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</row>
    <row r="127" spans="1:5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</row>
    <row r="128" spans="1:5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</row>
    <row r="129" spans="1:5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</row>
    <row r="130" spans="1:5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</row>
    <row r="131" spans="1:5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</row>
    <row r="132" spans="1:5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</row>
    <row r="133" spans="1:5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</row>
    <row r="134" spans="1:5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</row>
    <row r="135" spans="1:5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</row>
    <row r="136" spans="1:5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</row>
    <row r="137" spans="1:5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</row>
    <row r="138" spans="1:5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</row>
    <row r="139" spans="1:5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</row>
    <row r="140" spans="1:5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</row>
    <row r="141" spans="1:5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</row>
    <row r="142" spans="1:5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</row>
    <row r="143" spans="1:5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</row>
    <row r="144" spans="1:5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</row>
    <row r="145" spans="1:5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</row>
    <row r="146" spans="1:5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</row>
    <row r="147" spans="1:5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</row>
    <row r="148" spans="1:5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</row>
    <row r="149" spans="1:5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</row>
    <row r="150" spans="1:5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</row>
    <row r="151" spans="1:5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</row>
    <row r="152" spans="1:5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</row>
    <row r="153" spans="1:5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</row>
    <row r="154" spans="1:5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</row>
    <row r="155" spans="1:5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</row>
    <row r="156" spans="1:5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</row>
    <row r="157" spans="1:5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</row>
    <row r="158" spans="1:5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</row>
    <row r="159" spans="1:5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</row>
    <row r="160" spans="1:5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</row>
    <row r="161" spans="1:5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</row>
    <row r="162" spans="1:5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</row>
    <row r="163" spans="1:5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</row>
    <row r="164" spans="1:5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</row>
    <row r="165" spans="1:5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</row>
    <row r="166" spans="1:5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</row>
    <row r="167" spans="1:5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</row>
    <row r="168" spans="1:5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</row>
    <row r="169" spans="1:5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</row>
    <row r="170" spans="1:5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</row>
    <row r="171" spans="1:5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</row>
    <row r="172" spans="1:5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</row>
    <row r="173" spans="1:5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</row>
    <row r="174" spans="1:5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</row>
    <row r="175" spans="1:5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</row>
    <row r="176" spans="1:5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</row>
    <row r="177" spans="1:5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</row>
    <row r="178" spans="1:5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</row>
    <row r="179" spans="1:5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</row>
    <row r="180" spans="1:5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</row>
    <row r="181" spans="1:5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</row>
    <row r="182" spans="1:5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</row>
    <row r="183" spans="1:5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</row>
    <row r="184" spans="1:5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</row>
    <row r="185" spans="1:5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</row>
    <row r="186" spans="1:5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</row>
    <row r="187" spans="1:5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</row>
    <row r="188" spans="1:5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</row>
    <row r="189" spans="1:5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</row>
    <row r="190" spans="1:5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</row>
    <row r="191" spans="1:5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</row>
    <row r="192" spans="1:5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</row>
    <row r="193" spans="1:5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</row>
    <row r="194" spans="1:5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</row>
    <row r="195" spans="1:5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</row>
    <row r="196" spans="1:5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</row>
    <row r="197" spans="1:5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</row>
    <row r="198" spans="1:5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</row>
    <row r="199" spans="1:5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</row>
    <row r="200" spans="1:5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</row>
    <row r="201" spans="1:5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</row>
    <row r="202" spans="1:5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</row>
    <row r="203" spans="1:5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</row>
    <row r="204" spans="1:5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</row>
    <row r="205" spans="1:5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</row>
    <row r="206" spans="1:5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</row>
    <row r="207" spans="1:5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</row>
    <row r="208" spans="1:5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</row>
    <row r="209" spans="1:5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</row>
    <row r="210" spans="1:5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</row>
    <row r="211" spans="1:5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</row>
    <row r="212" spans="1:5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</row>
    <row r="213" spans="1:5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</row>
    <row r="214" spans="1:5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</row>
    <row r="215" spans="1:5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</row>
    <row r="216" spans="1:5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</row>
    <row r="217" spans="1:5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</row>
    <row r="218" spans="1:5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</row>
    <row r="219" spans="1:5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</row>
    <row r="220" spans="1:5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</row>
    <row r="221" spans="1:5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</row>
    <row r="222" spans="1:5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</row>
    <row r="223" spans="1:5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</row>
    <row r="224" spans="1:5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</row>
    <row r="225" spans="1:5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</row>
    <row r="226" spans="1:5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</row>
    <row r="227" spans="1:5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</row>
    <row r="228" spans="1:5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</row>
    <row r="229" spans="1:5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</row>
    <row r="230" spans="1:5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</row>
    <row r="231" spans="1:5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</row>
    <row r="232" spans="1:5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</row>
    <row r="233" spans="1:5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</row>
    <row r="234" spans="1:5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</row>
    <row r="235" spans="1:5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</row>
    <row r="236" spans="1:5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</row>
    <row r="237" spans="1:5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</row>
    <row r="238" spans="1:5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</row>
    <row r="239" spans="1:5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</row>
    <row r="240" spans="1:5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</row>
    <row r="241" spans="1:5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</row>
    <row r="242" spans="1:5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</row>
    <row r="243" spans="1:5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</row>
    <row r="244" spans="1:5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</row>
    <row r="245" spans="1:5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</row>
    <row r="246" spans="1:5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</row>
    <row r="247" spans="1:5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</row>
    <row r="248" spans="1:5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</row>
    <row r="249" spans="1:5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</row>
    <row r="250" spans="1:5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</row>
    <row r="251" spans="1:5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</row>
    <row r="252" spans="1:5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</row>
    <row r="253" spans="1:5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</row>
    <row r="254" spans="1:5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</row>
    <row r="255" spans="1:5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</row>
    <row r="256" spans="1:5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</row>
    <row r="257" spans="1:5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</row>
    <row r="258" spans="1:5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</row>
    <row r="259" spans="1:5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</row>
    <row r="260" spans="1:5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</row>
    <row r="261" spans="1:5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</row>
    <row r="262" spans="1:5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</row>
    <row r="263" spans="1:5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</row>
    <row r="264" spans="1:5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</row>
    <row r="265" spans="1:5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</row>
    <row r="266" spans="1:5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</row>
    <row r="267" spans="1:5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</row>
    <row r="268" spans="1:5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</row>
    <row r="269" spans="1:5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</row>
    <row r="270" spans="1:5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</row>
    <row r="271" spans="1:5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</row>
    <row r="272" spans="1:5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</row>
    <row r="273" spans="1:5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</row>
    <row r="274" spans="1:5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</row>
    <row r="275" spans="1:5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</row>
    <row r="276" spans="1:5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</row>
    <row r="277" spans="1:5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</row>
    <row r="278" spans="1:5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</row>
    <row r="279" spans="1:5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</row>
    <row r="280" spans="1:5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</row>
    <row r="281" spans="1:5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</row>
    <row r="282" spans="1:5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</row>
    <row r="283" spans="1:5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</row>
    <row r="284" spans="1:5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</row>
    <row r="285" spans="1:5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</row>
    <row r="286" spans="1:5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</row>
    <row r="287" spans="1:5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</row>
    <row r="288" spans="1:5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</row>
    <row r="289" spans="1:5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</row>
    <row r="290" spans="1:5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</row>
    <row r="291" spans="1:5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</row>
    <row r="292" spans="1:5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</row>
    <row r="293" spans="1:5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</row>
    <row r="294" spans="1:5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</row>
    <row r="295" spans="1:5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</row>
    <row r="296" spans="1:5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</row>
    <row r="297" spans="1:5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</row>
    <row r="298" spans="1:5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</row>
    <row r="299" spans="1:5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</row>
    <row r="300" spans="1:5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</row>
    <row r="301" spans="1:5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</row>
    <row r="302" spans="1:5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</row>
    <row r="303" spans="1:5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</row>
    <row r="304" spans="1:5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</row>
    <row r="305" spans="1:5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</row>
    <row r="306" spans="1:5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</row>
    <row r="307" spans="1:5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</row>
    <row r="308" spans="1:5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</row>
    <row r="309" spans="1:5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</row>
    <row r="310" spans="1:5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</row>
    <row r="311" spans="1:5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</row>
    <row r="312" spans="1:5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</row>
    <row r="313" spans="1:5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</row>
    <row r="314" spans="1:5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</row>
    <row r="315" spans="1:5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</row>
    <row r="316" spans="1:5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</row>
    <row r="317" spans="1:5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</row>
    <row r="318" spans="1:5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</row>
    <row r="319" spans="1:5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</row>
    <row r="320" spans="1:5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</row>
    <row r="321" spans="1:5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</row>
    <row r="322" spans="1:5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</row>
    <row r="323" spans="1:5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</row>
    <row r="324" spans="1:5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</row>
    <row r="325" spans="1:5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</row>
    <row r="326" spans="1:5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</row>
    <row r="327" spans="1:5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</row>
    <row r="328" spans="1:5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</row>
    <row r="329" spans="1:5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</row>
    <row r="330" spans="1:5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</row>
    <row r="331" spans="1:5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</row>
    <row r="332" spans="1:5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</row>
    <row r="333" spans="1:5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</row>
    <row r="334" spans="1:5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</row>
    <row r="335" spans="1:5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</row>
    <row r="336" spans="1:5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</row>
    <row r="337" spans="1:5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</row>
    <row r="338" spans="1:5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</row>
    <row r="339" spans="1:5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</row>
    <row r="340" spans="1:5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</row>
    <row r="341" spans="1:5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</row>
    <row r="342" spans="1:5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</row>
    <row r="343" spans="1:5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</row>
    <row r="344" spans="1:5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</row>
    <row r="345" spans="1:5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</row>
    <row r="346" spans="1:5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</row>
    <row r="347" spans="1:5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</row>
    <row r="348" spans="1:5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</row>
    <row r="349" spans="1:5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</row>
    <row r="350" spans="1:5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</row>
    <row r="351" spans="1:5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</row>
    <row r="352" spans="1:5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</row>
    <row r="353" spans="1:5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</row>
    <row r="354" spans="1:5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</row>
    <row r="355" spans="1:5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</row>
    <row r="356" spans="1:5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</row>
    <row r="357" spans="1:5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</row>
    <row r="358" spans="1:5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</row>
    <row r="359" spans="1:5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</row>
    <row r="360" spans="1:5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</row>
    <row r="361" spans="1:5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</row>
    <row r="362" spans="1:5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</row>
    <row r="363" spans="1:5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</row>
    <row r="364" spans="1:5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</row>
    <row r="365" spans="1:5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</row>
    <row r="366" spans="1:5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</row>
    <row r="367" spans="1:5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</row>
  </sheetData>
  <mergeCells count="4">
    <mergeCell ref="G3:H3"/>
    <mergeCell ref="G12:H12"/>
    <mergeCell ref="K3:M3"/>
    <mergeCell ref="K12:M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DD21-F018-704A-B7D0-A810E1F14B88}">
  <dimension ref="A3:M50"/>
  <sheetViews>
    <sheetView workbookViewId="0">
      <selection activeCell="C13" sqref="C13"/>
    </sheetView>
  </sheetViews>
  <sheetFormatPr baseColWidth="10" defaultRowHeight="16" x14ac:dyDescent="0.2"/>
  <cols>
    <col min="1" max="1" width="30.6640625" customWidth="1"/>
    <col min="2" max="2" width="14.83203125" customWidth="1"/>
    <col min="3" max="3" width="29.83203125" customWidth="1"/>
    <col min="4" max="4" width="16.1640625" customWidth="1"/>
    <col min="5" max="5" width="10.83203125" customWidth="1"/>
    <col min="6" max="6" width="34.1640625" customWidth="1"/>
    <col min="7" max="7" width="14.6640625" customWidth="1"/>
    <col min="8" max="9" width="13.83203125" customWidth="1"/>
    <col min="11" max="11" width="19.83203125" customWidth="1"/>
    <col min="13" max="13" width="14.6640625" customWidth="1"/>
  </cols>
  <sheetData>
    <row r="3" spans="1:13" x14ac:dyDescent="0.2">
      <c r="A3" s="58" t="s">
        <v>82</v>
      </c>
      <c r="B3" s="58" t="s">
        <v>83</v>
      </c>
      <c r="C3" s="58" t="s">
        <v>29</v>
      </c>
      <c r="D3" s="58" t="s">
        <v>119</v>
      </c>
      <c r="F3" s="98" t="s">
        <v>35</v>
      </c>
      <c r="G3" s="9" t="s">
        <v>88</v>
      </c>
      <c r="H3" s="9" t="s">
        <v>84</v>
      </c>
      <c r="I3" s="9" t="s">
        <v>85</v>
      </c>
      <c r="J3" s="9" t="s">
        <v>36</v>
      </c>
      <c r="K3" s="9" t="s">
        <v>40</v>
      </c>
      <c r="L3" s="9" t="s">
        <v>86</v>
      </c>
      <c r="M3" s="9" t="s">
        <v>87</v>
      </c>
    </row>
    <row r="4" spans="1:13" x14ac:dyDescent="0.2">
      <c r="A4" s="16" t="s">
        <v>80</v>
      </c>
      <c r="B4" s="16">
        <v>0.4</v>
      </c>
      <c r="C4" s="16"/>
      <c r="D4" s="52">
        <f>G42</f>
        <v>767.63358475585551</v>
      </c>
      <c r="F4" s="98" t="s">
        <v>42</v>
      </c>
      <c r="G4" s="100">
        <v>17318</v>
      </c>
      <c r="H4" s="100">
        <v>3094.1</v>
      </c>
      <c r="I4" s="100">
        <v>2480.6999999999998</v>
      </c>
      <c r="J4" s="93">
        <v>15079.7</v>
      </c>
      <c r="K4" s="101">
        <v>82961.3</v>
      </c>
      <c r="L4" s="93">
        <v>14666.9</v>
      </c>
      <c r="M4" s="101">
        <v>83450.3</v>
      </c>
    </row>
    <row r="5" spans="1:13" x14ac:dyDescent="0.2">
      <c r="A5" s="16" t="s">
        <v>108</v>
      </c>
      <c r="B5" s="16">
        <v>0.4</v>
      </c>
      <c r="C5" s="16"/>
      <c r="D5" s="52">
        <f>G32</f>
        <v>490.24795553791182</v>
      </c>
      <c r="F5" s="98" t="s">
        <v>44</v>
      </c>
      <c r="G5" s="100">
        <v>2678.8</v>
      </c>
      <c r="H5" s="102">
        <v>559.70000000000005</v>
      </c>
      <c r="I5" s="102">
        <v>471.3</v>
      </c>
      <c r="J5" s="93">
        <v>1421.9</v>
      </c>
      <c r="K5" s="101">
        <v>7501.2</v>
      </c>
      <c r="L5" s="93">
        <v>1197.2</v>
      </c>
      <c r="M5" s="101">
        <v>7729.3</v>
      </c>
    </row>
    <row r="6" spans="1:13" x14ac:dyDescent="0.2">
      <c r="A6" s="16" t="s">
        <v>81</v>
      </c>
      <c r="B6" s="16">
        <v>0.2</v>
      </c>
      <c r="C6" s="16"/>
      <c r="D6" s="52">
        <f>G48</f>
        <v>663.28108376339821</v>
      </c>
      <c r="F6" s="98" t="s">
        <v>45</v>
      </c>
      <c r="G6" s="100">
        <v>26387.8</v>
      </c>
      <c r="H6" s="100">
        <v>3645.2</v>
      </c>
      <c r="I6" s="100">
        <v>1974.5</v>
      </c>
      <c r="J6" s="93">
        <v>24965.5</v>
      </c>
      <c r="K6" s="101">
        <v>136488.20000000001</v>
      </c>
      <c r="L6" s="93">
        <v>5396.6</v>
      </c>
      <c r="M6" s="101">
        <v>156174.6</v>
      </c>
    </row>
    <row r="7" spans="1:13" x14ac:dyDescent="0.2">
      <c r="A7" s="12"/>
      <c r="B7" s="12"/>
      <c r="C7" s="12" t="s">
        <v>120</v>
      </c>
      <c r="D7" s="52">
        <f>D4*B4+D5*B5+D6*B6</f>
        <v>635.80883287018651</v>
      </c>
      <c r="F7" s="98" t="s">
        <v>46</v>
      </c>
      <c r="G7" s="100">
        <v>15769.1</v>
      </c>
      <c r="H7" s="100">
        <v>4419.8</v>
      </c>
      <c r="I7" s="100">
        <v>3356.8</v>
      </c>
      <c r="J7" s="51">
        <v>9816.7000000000007</v>
      </c>
      <c r="K7" s="101">
        <v>91215.3</v>
      </c>
      <c r="L7" s="93">
        <v>4791.6000000000004</v>
      </c>
      <c r="M7" s="101">
        <v>96488.9</v>
      </c>
    </row>
    <row r="8" spans="1:13" x14ac:dyDescent="0.2">
      <c r="A8" s="97"/>
      <c r="F8" s="103" t="s">
        <v>47</v>
      </c>
      <c r="G8" s="100">
        <v>54923</v>
      </c>
      <c r="H8" s="100">
        <v>14251</v>
      </c>
      <c r="I8" s="100">
        <v>9469</v>
      </c>
      <c r="J8" s="93">
        <v>38548</v>
      </c>
      <c r="K8" s="101">
        <v>365244.4</v>
      </c>
      <c r="L8" s="93">
        <v>8723</v>
      </c>
      <c r="M8" s="101">
        <v>396510.4</v>
      </c>
    </row>
    <row r="9" spans="1:13" x14ac:dyDescent="0.2">
      <c r="A9" s="98"/>
    </row>
    <row r="10" spans="1:13" x14ac:dyDescent="0.2">
      <c r="A10" s="98"/>
      <c r="F10" s="98" t="s">
        <v>35</v>
      </c>
      <c r="G10" s="16" t="s">
        <v>80</v>
      </c>
      <c r="H10" s="16" t="s">
        <v>107</v>
      </c>
      <c r="I10" s="16" t="s">
        <v>81</v>
      </c>
    </row>
    <row r="11" spans="1:13" x14ac:dyDescent="0.2">
      <c r="A11" s="98"/>
      <c r="F11" s="98" t="s">
        <v>42</v>
      </c>
      <c r="G11" s="62">
        <f>M4/H4</f>
        <v>26.970783103325687</v>
      </c>
      <c r="H11" s="62">
        <f>M4/G4</f>
        <v>4.8187030834969402</v>
      </c>
      <c r="I11" s="62">
        <v>33.4</v>
      </c>
    </row>
    <row r="12" spans="1:13" x14ac:dyDescent="0.2">
      <c r="A12" s="98"/>
      <c r="F12" s="98" t="s">
        <v>44</v>
      </c>
      <c r="G12" s="62">
        <f t="shared" ref="G12:G14" si="0">M5/H5</f>
        <v>13.809719492585312</v>
      </c>
      <c r="H12" s="62">
        <f t="shared" ref="H12:H14" si="1">M5/G5</f>
        <v>2.8853591160220993</v>
      </c>
      <c r="I12" s="62">
        <v>16</v>
      </c>
    </row>
    <row r="13" spans="1:13" x14ac:dyDescent="0.2">
      <c r="A13" s="98"/>
      <c r="F13" s="98" t="s">
        <v>45</v>
      </c>
      <c r="G13" s="62">
        <f t="shared" si="0"/>
        <v>42.843904312520579</v>
      </c>
      <c r="H13" s="62">
        <f t="shared" si="1"/>
        <v>5.9184395819280127</v>
      </c>
      <c r="I13" s="62">
        <v>69.099999999999994</v>
      </c>
    </row>
    <row r="14" spans="1:13" x14ac:dyDescent="0.2">
      <c r="A14" s="99"/>
      <c r="F14" s="98" t="s">
        <v>46</v>
      </c>
      <c r="G14" s="62">
        <f t="shared" si="0"/>
        <v>21.831055703878</v>
      </c>
      <c r="H14" s="62">
        <f t="shared" si="1"/>
        <v>6.1188590344407725</v>
      </c>
      <c r="I14" s="62">
        <v>27.5</v>
      </c>
    </row>
    <row r="15" spans="1:13" x14ac:dyDescent="0.2">
      <c r="A15" s="97"/>
      <c r="F15" s="98" t="s">
        <v>103</v>
      </c>
      <c r="G15" s="62">
        <f>G11*$G$18+G12*$G$19+G13*$G$20+G14*$G$21</f>
        <v>25.971276403182284</v>
      </c>
      <c r="H15" s="62">
        <f>H11*$G$18+H12*$G$19+H13*$G$20+H14*$G$21</f>
        <v>5.0420283749713359</v>
      </c>
      <c r="I15" s="62">
        <f>I11*$G$18+I12*$G$19+I13*$G$20+I14*$G$21</f>
        <v>35.29</v>
      </c>
    </row>
    <row r="17" spans="6:10" x14ac:dyDescent="0.2">
      <c r="F17" s="16" t="s">
        <v>35</v>
      </c>
      <c r="G17" s="16" t="s">
        <v>102</v>
      </c>
      <c r="H17" s="16" t="s">
        <v>80</v>
      </c>
      <c r="I17" s="16" t="s">
        <v>107</v>
      </c>
      <c r="J17" s="16" t="s">
        <v>81</v>
      </c>
    </row>
    <row r="18" spans="6:10" x14ac:dyDescent="0.2">
      <c r="F18" s="16" t="s">
        <v>42</v>
      </c>
      <c r="G18" s="16">
        <v>0.3</v>
      </c>
      <c r="H18" s="62" t="s">
        <v>93</v>
      </c>
      <c r="I18" s="62" t="s">
        <v>97</v>
      </c>
      <c r="J18" s="62" t="s">
        <v>89</v>
      </c>
    </row>
    <row r="19" spans="6:10" x14ac:dyDescent="0.2">
      <c r="F19" s="16" t="s">
        <v>44</v>
      </c>
      <c r="G19" s="16">
        <v>0.2</v>
      </c>
      <c r="H19" s="62" t="s">
        <v>94</v>
      </c>
      <c r="I19" s="62" t="s">
        <v>98</v>
      </c>
      <c r="J19" s="62" t="s">
        <v>101</v>
      </c>
    </row>
    <row r="20" spans="6:10" x14ac:dyDescent="0.2">
      <c r="F20" s="16" t="s">
        <v>45</v>
      </c>
      <c r="G20" s="16">
        <v>0.2</v>
      </c>
      <c r="H20" s="62" t="s">
        <v>95</v>
      </c>
      <c r="I20" s="62" t="s">
        <v>99</v>
      </c>
      <c r="J20" s="62" t="s">
        <v>90</v>
      </c>
    </row>
    <row r="21" spans="6:10" x14ac:dyDescent="0.2">
      <c r="F21" s="16" t="s">
        <v>46</v>
      </c>
      <c r="G21" s="16">
        <v>0.3</v>
      </c>
      <c r="H21" s="62" t="s">
        <v>96</v>
      </c>
      <c r="I21" s="62" t="s">
        <v>100</v>
      </c>
      <c r="J21" s="62" t="s">
        <v>91</v>
      </c>
    </row>
    <row r="22" spans="6:10" x14ac:dyDescent="0.2">
      <c r="F22" s="16" t="s">
        <v>92</v>
      </c>
      <c r="H22" s="62" t="s">
        <v>104</v>
      </c>
      <c r="I22" s="62" t="s">
        <v>105</v>
      </c>
      <c r="J22" s="62" t="s">
        <v>106</v>
      </c>
    </row>
    <row r="24" spans="6:10" x14ac:dyDescent="0.2">
      <c r="F24" s="125" t="s">
        <v>108</v>
      </c>
      <c r="G24" s="125"/>
    </row>
    <row r="25" spans="6:10" x14ac:dyDescent="0.2">
      <c r="F25" s="12" t="s">
        <v>92</v>
      </c>
      <c r="G25" s="62" t="str">
        <f>I22</f>
        <v>5.04x</v>
      </c>
    </row>
    <row r="26" spans="6:10" x14ac:dyDescent="0.2">
      <c r="F26" s="12" t="s">
        <v>115</v>
      </c>
      <c r="G26" s="52">
        <f>G8</f>
        <v>54923</v>
      </c>
    </row>
    <row r="27" spans="6:10" x14ac:dyDescent="0.2">
      <c r="F27" s="59" t="s">
        <v>109</v>
      </c>
      <c r="G27" s="52">
        <f>G26*5.04</f>
        <v>276811.92</v>
      </c>
    </row>
    <row r="28" spans="6:10" x14ac:dyDescent="0.2">
      <c r="F28" s="12" t="s">
        <v>110</v>
      </c>
      <c r="G28" s="52">
        <f>L8</f>
        <v>8723</v>
      </c>
    </row>
    <row r="29" spans="6:10" x14ac:dyDescent="0.2">
      <c r="F29" s="12" t="s">
        <v>111</v>
      </c>
      <c r="G29" s="52">
        <f>J8</f>
        <v>38548</v>
      </c>
    </row>
    <row r="30" spans="6:10" x14ac:dyDescent="0.2">
      <c r="F30" s="59" t="s">
        <v>112</v>
      </c>
      <c r="G30" s="52">
        <f>G27+G28-G29</f>
        <v>246986.91999999998</v>
      </c>
    </row>
    <row r="31" spans="6:10" x14ac:dyDescent="0.2">
      <c r="F31" s="12" t="s">
        <v>113</v>
      </c>
      <c r="G31" s="69">
        <v>503.8</v>
      </c>
    </row>
    <row r="32" spans="6:10" x14ac:dyDescent="0.2">
      <c r="F32" s="59" t="s">
        <v>114</v>
      </c>
      <c r="G32" s="52">
        <f>G30/G31</f>
        <v>490.24795553791182</v>
      </c>
    </row>
    <row r="34" spans="6:7" x14ac:dyDescent="0.2">
      <c r="F34" s="125" t="s">
        <v>80</v>
      </c>
      <c r="G34" s="125"/>
    </row>
    <row r="35" spans="6:7" x14ac:dyDescent="0.2">
      <c r="F35" s="12" t="s">
        <v>92</v>
      </c>
      <c r="G35" s="62" t="s">
        <v>104</v>
      </c>
    </row>
    <row r="36" spans="6:7" x14ac:dyDescent="0.2">
      <c r="F36" s="12" t="s">
        <v>116</v>
      </c>
      <c r="G36" s="52">
        <v>16040</v>
      </c>
    </row>
    <row r="37" spans="6:7" x14ac:dyDescent="0.2">
      <c r="F37" s="59" t="s">
        <v>109</v>
      </c>
      <c r="G37" s="52">
        <f>G36*25.97</f>
        <v>416558.8</v>
      </c>
    </row>
    <row r="38" spans="6:7" x14ac:dyDescent="0.2">
      <c r="F38" s="12" t="s">
        <v>110</v>
      </c>
      <c r="G38" s="52">
        <f>G28</f>
        <v>8723</v>
      </c>
    </row>
    <row r="39" spans="6:7" x14ac:dyDescent="0.2">
      <c r="F39" s="12" t="s">
        <v>111</v>
      </c>
      <c r="G39" s="52">
        <f>G29</f>
        <v>38548</v>
      </c>
    </row>
    <row r="40" spans="6:7" x14ac:dyDescent="0.2">
      <c r="F40" s="59" t="s">
        <v>112</v>
      </c>
      <c r="G40" s="52">
        <f>G37+G38-G39</f>
        <v>386733.8</v>
      </c>
    </row>
    <row r="41" spans="6:7" x14ac:dyDescent="0.2">
      <c r="F41" s="12" t="s">
        <v>113</v>
      </c>
      <c r="G41" s="69">
        <v>503.8</v>
      </c>
    </row>
    <row r="42" spans="6:7" x14ac:dyDescent="0.2">
      <c r="F42" s="59" t="s">
        <v>114</v>
      </c>
      <c r="G42" s="52">
        <f>G40/G41</f>
        <v>767.63358475585551</v>
      </c>
    </row>
    <row r="44" spans="6:7" x14ac:dyDescent="0.2">
      <c r="F44" s="125" t="s">
        <v>117</v>
      </c>
      <c r="G44" s="125"/>
    </row>
    <row r="45" spans="6:7" x14ac:dyDescent="0.2">
      <c r="F45" s="12" t="s">
        <v>92</v>
      </c>
      <c r="G45" s="62" t="s">
        <v>106</v>
      </c>
    </row>
    <row r="46" spans="6:7" x14ac:dyDescent="0.2">
      <c r="F46" s="12" t="s">
        <v>118</v>
      </c>
      <c r="G46" s="52">
        <f>I8</f>
        <v>9469</v>
      </c>
    </row>
    <row r="47" spans="6:7" x14ac:dyDescent="0.2">
      <c r="F47" s="12" t="s">
        <v>113</v>
      </c>
      <c r="G47" s="69">
        <v>503.8</v>
      </c>
    </row>
    <row r="48" spans="6:7" x14ac:dyDescent="0.2">
      <c r="F48" s="59" t="s">
        <v>114</v>
      </c>
      <c r="G48" s="52">
        <f>G46*35.29/G47</f>
        <v>663.28108376339821</v>
      </c>
    </row>
    <row r="49" spans="6:7" x14ac:dyDescent="0.2">
      <c r="F49" s="12"/>
      <c r="G49" s="52"/>
    </row>
    <row r="50" spans="6:7" x14ac:dyDescent="0.2">
      <c r="F50" s="59"/>
      <c r="G50" s="52"/>
    </row>
  </sheetData>
  <mergeCells count="3">
    <mergeCell ref="F24:G24"/>
    <mergeCell ref="F34:G34"/>
    <mergeCell ref="F44:G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NCWC</vt:lpstr>
      <vt:lpstr>DCF</vt:lpstr>
      <vt:lpstr>Beta</vt:lpstr>
      <vt:lpstr>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Li</dc:creator>
  <cp:lastModifiedBy>Zhe Li</cp:lastModifiedBy>
  <dcterms:created xsi:type="dcterms:W3CDTF">2021-10-01T23:06:57Z</dcterms:created>
  <dcterms:modified xsi:type="dcterms:W3CDTF">2021-12-09T00:34:58Z</dcterms:modified>
</cp:coreProperties>
</file>