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8760" windowHeight="17460" tabRatio="500"/>
  </bookViews>
  <sheets>
    <sheet name="Depth"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D8" i="1"/>
  <c r="D9" i="1"/>
  <c r="E9" i="1"/>
  <c r="F8" i="1"/>
  <c r="F9" i="1"/>
  <c r="G9" i="1"/>
  <c r="H8" i="1"/>
  <c r="H9" i="1"/>
  <c r="I9" i="1"/>
  <c r="K8" i="1"/>
  <c r="K9" i="1"/>
  <c r="I8" i="1"/>
  <c r="N11" i="1"/>
  <c r="M11" i="1"/>
  <c r="L11" i="1"/>
  <c r="K11" i="1"/>
  <c r="I11" i="1"/>
  <c r="H11" i="1"/>
  <c r="G11" i="1"/>
  <c r="F11" i="1"/>
  <c r="D11" i="1"/>
  <c r="C11" i="1"/>
  <c r="N20" i="1"/>
  <c r="M20" i="1"/>
  <c r="L19" i="1"/>
  <c r="I18" i="1"/>
  <c r="H18" i="1"/>
  <c r="K18" i="1"/>
  <c r="L13" i="1"/>
  <c r="H13" i="1"/>
  <c r="I13" i="1"/>
  <c r="K13" i="1"/>
  <c r="N12" i="1"/>
  <c r="M12" i="1"/>
  <c r="L12" i="1"/>
  <c r="K12" i="1"/>
  <c r="I12" i="1"/>
  <c r="H12" i="1"/>
  <c r="G12" i="1"/>
  <c r="F12" i="1"/>
  <c r="E12" i="1"/>
  <c r="D12" i="1"/>
  <c r="C12" i="1"/>
  <c r="N3" i="1"/>
  <c r="N4" i="1"/>
  <c r="N5" i="1"/>
  <c r="N2" i="1"/>
  <c r="M5" i="1"/>
  <c r="M4" i="1"/>
  <c r="M3" i="1"/>
  <c r="M2" i="1"/>
  <c r="L5" i="1"/>
  <c r="L4" i="1"/>
  <c r="L3" i="1"/>
  <c r="L2" i="1"/>
  <c r="K5" i="1"/>
  <c r="K4" i="1"/>
  <c r="K3" i="1"/>
  <c r="K2" i="1"/>
  <c r="J5" i="1"/>
  <c r="J4" i="1"/>
  <c r="J3" i="1"/>
  <c r="J2" i="1"/>
  <c r="I5" i="1"/>
  <c r="I4" i="1"/>
  <c r="I3" i="1"/>
  <c r="I2" i="1"/>
  <c r="F5" i="1"/>
  <c r="F4" i="1"/>
  <c r="F3" i="1"/>
  <c r="F2" i="1"/>
  <c r="D5" i="1"/>
  <c r="D4" i="1"/>
  <c r="D3" i="1"/>
  <c r="D2" i="1"/>
  <c r="C5" i="1"/>
  <c r="C4" i="1"/>
  <c r="C3" i="1"/>
  <c r="C2" i="1"/>
  <c r="H4" i="1"/>
  <c r="H3" i="1"/>
  <c r="H5" i="1"/>
  <c r="H2" i="1"/>
</calcChain>
</file>

<file path=xl/sharedStrings.xml><?xml version="1.0" encoding="utf-8"?>
<sst xmlns="http://schemas.openxmlformats.org/spreadsheetml/2006/main" count="209" uniqueCount="56">
  <si>
    <t>A2744 Cluster</t>
  </si>
  <si>
    <t>ACS B435</t>
  </si>
  <si>
    <t>ACS V606</t>
  </si>
  <si>
    <t>ACS I814</t>
  </si>
  <si>
    <t>WFC3 Y105</t>
  </si>
  <si>
    <t>WFC3 J125</t>
  </si>
  <si>
    <t>WFC3 JH140</t>
  </si>
  <si>
    <t>WFC3 H160</t>
  </si>
  <si>
    <t>Hawk-I Ks 2.146</t>
  </si>
  <si>
    <t>IRAC 3.6</t>
  </si>
  <si>
    <t>IRAC 4.5</t>
  </si>
  <si>
    <t>A2744 Parallel</t>
  </si>
  <si>
    <t>M0416 Cluster</t>
  </si>
  <si>
    <t>M0416 Parallel</t>
  </si>
  <si>
    <t>Merlin 1603.02460</t>
  </si>
  <si>
    <t>Name</t>
  </si>
  <si>
    <t>Reference</t>
  </si>
  <si>
    <t>VISTA Y</t>
  </si>
  <si>
    <t>VISTA J</t>
  </si>
  <si>
    <t>VISTA H</t>
  </si>
  <si>
    <t>VISTA Ks</t>
  </si>
  <si>
    <t>—</t>
  </si>
  <si>
    <t>SupCam B</t>
  </si>
  <si>
    <t>SupCam V</t>
  </si>
  <si>
    <t>SupCam r</t>
  </si>
  <si>
    <t>SupCam i+</t>
  </si>
  <si>
    <t>SupCam z++</t>
  </si>
  <si>
    <t>https://www.nottingham.ac.uk/astronomy/UDS/data/data.html</t>
  </si>
  <si>
    <t>UKIRT Y</t>
  </si>
  <si>
    <t>UKIRT J</t>
  </si>
  <si>
    <t>UKIRT H</t>
  </si>
  <si>
    <t>UKIRT Ks</t>
  </si>
  <si>
    <t>Laigle 2016; http://www.eso.org/sci/observing/phase3/data_releases/uvista_dr3.pdf</t>
  </si>
  <si>
    <t>UDS (DR11, 2016) (a.k.a. UKIDSS Ultra-Deep Survey) (a.k.a. Subaru-XMM Deep Field (J0218-05))</t>
  </si>
  <si>
    <t>COSMOS-UltraDeep (DR3, 2016, 100+hrs) (a.k.a. UVISTA ultra-deep stripes, 0.62 deg^2)</t>
  </si>
  <si>
    <t>COSMOS-Deep (DR2, 2016, 10+hrs) (2 or 1.5 deg^2)</t>
  </si>
  <si>
    <t>HUDF (11 arcmin^2, 278hrs with HST) (a.k.a. Hubble Ultra-Deep Field)</t>
  </si>
  <si>
    <t>ACS z850</t>
  </si>
  <si>
    <t xml:space="preserve">Beckwith 2006AJ....132.1729B; Oesch 2010ApJ...709L..16O; Oesch 2010ApJ...709L..21O; </t>
  </si>
  <si>
    <t>HUDF (HUDF09, 2010, 4.7 arcmin^2, 96 orbits with HST) (a.k.a. Hubble Ultra-Deep Field)</t>
  </si>
  <si>
    <t xml:space="preserve">Oesch 2010ApJ...709L..16O; </t>
  </si>
  <si>
    <t>Dunlop 2017MNRAS.466..861D</t>
  </si>
  <si>
    <t>ALMA 1.3mm</t>
  </si>
  <si>
    <t>HUDF (ALMA, 2016, 4.7 arcmin^2) (a.k.a. Hubble Ultra-Deep Field)</t>
  </si>
  <si>
    <t>Fontana 2014</t>
  </si>
  <si>
    <t>Labbe 2015; Ashby 2013; Ashby 2015;</t>
  </si>
  <si>
    <t>HUDF (HUGS, 2014, for GOODS-S, with 107hrs VLT) (a.k.a. Hubble Ultra-Deep Field, inside GOODS-S)</t>
  </si>
  <si>
    <t>HUDF (IRAC, 2015, for GOODS-S, with 210hrs Spitzer) (a.k.a. Hubble Ultra-Deep Field, inside GOODS-S)</t>
  </si>
  <si>
    <r>
      <t>Note: All optical/near-infrared values are 5-sigma AB magnitude. All far-infrared/millimeter values are 1-sigma rms in units of mJy.
Merlin2016 are 2.0'' (converted from 0.2''), 2.0'' (converted from 0.4''), 2.0'' (converted from 1.66''), 2.0'' (converted from 1.72'') apertures for HST(ACS&amp;WFC3), Ks, IRAC1, IRAC2 respectively.
Laigle2016 are 2.0'' apertures.
UDS (DR11) are 2.0'' apertures.
HUDF (HUDF09) are 2.0'' (converted from 0.25'') apertures. 
Fontana 2014 are 2.0'' (converted from 0.38'') apertures.
Labbe 2015 aperture sizes are stated clearly, so we take their IRAC image FWHMs 1.49'' and 1.48'' at 3.6 and 4.5um. Their sensitivities are originally 1</t>
    </r>
    <r>
      <rPr>
        <sz val="14"/>
        <color theme="1"/>
        <rFont val="Myriad Pro Light SemiExt"/>
      </rPr>
      <t>σ and we convert the to 5σ.</t>
    </r>
  </si>
  <si>
    <t>http://candels.ucolick.org/survey/Survey_Desc.html</t>
  </si>
  <si>
    <t>COSMOS-CANDELS-Deep (2007, ??? deg^2)</t>
  </si>
  <si>
    <t>ACS r775</t>
  </si>
  <si>
    <t>COSMOS-CANDELS-Wide (2011, ??? deg^2)</t>
  </si>
  <si>
    <t>COSMOS-CANDELS-Deep (2011, ??? deg^2)</t>
  </si>
  <si>
    <t>COSMOS (DR4, 2018 in prep.) (2 deg^2)</t>
  </si>
  <si>
    <r>
      <t xml:space="preserve">McCracken priv. comm.; </t>
    </r>
    <r>
      <rPr>
        <sz val="14"/>
        <color theme="1"/>
        <rFont val="Neuton Cursive"/>
      </rPr>
      <t>﻿</t>
    </r>
    <r>
      <rPr>
        <sz val="14"/>
        <color theme="1"/>
        <rFont val="Museo 300 Regular"/>
      </rPr>
      <t>calet.org</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</si>
</sst>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4"/>
      <color theme="1"/>
      <name val="Museo 300 Regular"/>
    </font>
    <font>
      <u/>
      <sz val="12"/>
      <color theme="10"/>
      <name val="Calibri"/>
      <family val="2"/>
      <scheme val="minor"/>
    </font>
    <font>
      <u/>
      <sz val="12"/>
      <color theme="11"/>
      <name val="Calibri"/>
      <family val="2"/>
      <scheme val="minor"/>
    </font>
    <font>
      <sz val="14"/>
      <color rgb="FF000000"/>
      <name val="Museo 300 Regular"/>
    </font>
    <font>
      <sz val="14"/>
      <color theme="1"/>
      <name val="Myriad Pro Light SemiExt"/>
    </font>
    <font>
      <sz val="14"/>
      <color theme="1"/>
      <name val="Neuton Cursive"/>
    </font>
  </fonts>
  <fills count="3">
    <fill>
      <patternFill patternType="none"/>
    </fill>
    <fill>
      <patternFill patternType="gray125"/>
    </fill>
    <fill>
      <patternFill patternType="solid">
        <fgColor rgb="FF1FC243"/>
        <bgColor indexed="64"/>
      </patternFill>
    </fill>
  </fills>
  <borders count="1">
    <border>
      <left/>
      <right/>
      <top/>
      <bottom/>
      <diagonal/>
    </border>
  </borders>
  <cellStyleXfs count="16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alignment horizontal="left" wrapText="1"/>
    </xf>
    <xf numFmtId="2" fontId="1" fillId="0" borderId="0" xfId="0" applyNumberFormat="1" applyFont="1" applyAlignment="1">
      <alignment horizontal="center"/>
    </xf>
    <xf numFmtId="2" fontId="4" fillId="0" borderId="0" xfId="0" applyNumberFormat="1" applyFont="1" applyAlignment="1">
      <alignment horizontal="center"/>
    </xf>
    <xf numFmtId="0" fontId="1" fillId="2" borderId="0" xfId="0" quotePrefix="1" applyFont="1" applyFill="1" applyAlignment="1">
      <alignment horizontal="center"/>
    </xf>
    <xf numFmtId="0" fontId="2" fillId="0" borderId="0" xfId="89" applyAlignment="1">
      <alignment horizontal="left"/>
    </xf>
    <xf numFmtId="0" fontId="1" fillId="0" borderId="0" xfId="0" applyFont="1" applyAlignment="1">
      <alignment horizontal="left" vertical="top" wrapText="1"/>
    </xf>
    <xf numFmtId="0" fontId="1" fillId="0" borderId="0" xfId="0" applyFont="1" applyAlignment="1">
      <alignment horizontal="left" vertical="top"/>
    </xf>
  </cellXfs>
  <cellStyles count="1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tingham.ac.uk/astronomy/UDS/data/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G3" sqref="G3"/>
    </sheetView>
  </sheetViews>
  <sheetFormatPr baseColWidth="10" defaultRowHeight="18" x14ac:dyDescent="0"/>
  <cols>
    <col min="1" max="1" width="33.1640625" style="4" customWidth="1"/>
    <col min="2" max="2" width="20.83203125" style="4" bestFit="1" customWidth="1"/>
    <col min="3" max="14" width="12.6640625" style="1" customWidth="1"/>
    <col min="15" max="16384" width="10.83203125" style="1"/>
  </cols>
  <sheetData>
    <row r="1" spans="1:14" s="2" customFormat="1">
      <c r="A1" s="3" t="s">
        <v>15</v>
      </c>
      <c r="B1" s="3" t="s">
        <v>16</v>
      </c>
      <c r="C1" s="2" t="s">
        <v>1</v>
      </c>
      <c r="D1" s="2" t="s">
        <v>2</v>
      </c>
      <c r="E1" s="2" t="s">
        <v>21</v>
      </c>
      <c r="F1" s="2" t="s">
        <v>3</v>
      </c>
      <c r="G1" s="2" t="s">
        <v>21</v>
      </c>
      <c r="H1" s="2" t="s">
        <v>4</v>
      </c>
      <c r="I1" s="2" t="s">
        <v>5</v>
      </c>
      <c r="J1" s="2" t="s">
        <v>6</v>
      </c>
      <c r="K1" s="2" t="s">
        <v>7</v>
      </c>
      <c r="L1" s="2" t="s">
        <v>8</v>
      </c>
      <c r="M1" s="2" t="s">
        <v>9</v>
      </c>
      <c r="N1" s="2" t="s">
        <v>10</v>
      </c>
    </row>
    <row r="2" spans="1:14">
      <c r="A2" s="4" t="s">
        <v>0</v>
      </c>
      <c r="B2" s="4" t="s">
        <v>14</v>
      </c>
      <c r="C2" s="6">
        <f>28.58+2.5*LOG10(0.2)/2-2.5*LOG10(2)/2</f>
        <v>27.33</v>
      </c>
      <c r="D2" s="6">
        <f>28.71+2.5*LOG10(0.2)/2-2.5*LOG10(2)/2</f>
        <v>27.46</v>
      </c>
      <c r="E2" s="6" t="s">
        <v>21</v>
      </c>
      <c r="F2" s="6">
        <f>29.03+2.5*LOG10(0.2)/2-2.5*LOG10(2)/2</f>
        <v>27.78</v>
      </c>
      <c r="G2" s="6" t="s">
        <v>21</v>
      </c>
      <c r="H2" s="6">
        <f>29.15+2.5*LOG10(0.2)/2-2.5*LOG10(2)/2</f>
        <v>27.9</v>
      </c>
      <c r="I2" s="6">
        <f>28.83+2.5*LOG10(0.2)/2-2.5*LOG10(2)/2</f>
        <v>27.58</v>
      </c>
      <c r="J2" s="6">
        <f>28.93+2.5*LOG10(0.2)/2-2.5*LOG10(2)/2</f>
        <v>27.68</v>
      </c>
      <c r="K2" s="6">
        <f>29.11+2.5*LOG10(0.2)/2-2.5*LOG10(2)/2</f>
        <v>27.86</v>
      </c>
      <c r="L2" s="6">
        <f>26.13+2.5*LOG10(0.4)/2-2.5*LOG10(2)/2</f>
        <v>25.256287494579976</v>
      </c>
      <c r="M2" s="6">
        <f>24.83+2.5*LOG10(1.66)/2-2.5*LOG10(2)/2</f>
        <v>24.728847615470091</v>
      </c>
      <c r="N2" s="6">
        <f>24.87+2.5*LOG10(1.72)/2-2.5*LOG10(2)/2</f>
        <v>24.78812306405446</v>
      </c>
    </row>
    <row r="3" spans="1:14">
      <c r="A3" s="4" t="s">
        <v>11</v>
      </c>
      <c r="B3" s="4" t="s">
        <v>14</v>
      </c>
      <c r="C3" s="6">
        <f>28.97+2.5*LOG10(0.2)/2-2.5*LOG10(2)/2</f>
        <v>27.72</v>
      </c>
      <c r="D3" s="6">
        <f>29.06+2.5*LOG10(0.2)/2-2.5*LOG10(2)/2</f>
        <v>27.81</v>
      </c>
      <c r="E3" s="6" t="s">
        <v>21</v>
      </c>
      <c r="F3" s="6">
        <f>29.17+2.5*LOG10(0.2)/2-2.5*LOG10(2)/2</f>
        <v>27.92</v>
      </c>
      <c r="G3" s="6" t="s">
        <v>21</v>
      </c>
      <c r="H3" s="6">
        <f>29.3+2.5*LOG10(0.2)/2-2.5*LOG10(2)/2</f>
        <v>28.05</v>
      </c>
      <c r="I3" s="6">
        <f>28.88+2.5*LOG10(0.2)/2-2.5*LOG10(2)/2</f>
        <v>27.63</v>
      </c>
      <c r="J3" s="6">
        <f>28.91+2.5*LOG10(0.2)/2-2.5*LOG10(2)/2</f>
        <v>27.66</v>
      </c>
      <c r="K3" s="6">
        <f>29.06+2.5*LOG10(0.2)/2-2.5*LOG10(2)/2</f>
        <v>27.81</v>
      </c>
      <c r="L3" s="6">
        <f>26.12+2.5*LOG10(0.4)/2-2.5*LOG10(2)/2</f>
        <v>25.246287494579978</v>
      </c>
      <c r="M3" s="6">
        <f>24.83+2.5*LOG10(1.66)/2-2.5*LOG10(2)/2</f>
        <v>24.728847615470091</v>
      </c>
      <c r="N3" s="6">
        <f>24.87+2.5*LOG10(1.72)/2-2.5*LOG10(2)/2</f>
        <v>24.78812306405446</v>
      </c>
    </row>
    <row r="4" spans="1:14">
      <c r="A4" s="4" t="s">
        <v>12</v>
      </c>
      <c r="B4" s="4" t="s">
        <v>14</v>
      </c>
      <c r="C4" s="6">
        <f>28.86+2.5*LOG10(0.2)/2-2.5*LOG10(2)/2</f>
        <v>27.61</v>
      </c>
      <c r="D4" s="6">
        <f>28.97+2.5*LOG10(0.2)/2-2.5*LOG10(2)/2</f>
        <v>27.72</v>
      </c>
      <c r="E4" s="6" t="s">
        <v>21</v>
      </c>
      <c r="F4" s="6">
        <f>29.31+2.5*LOG10(0.2)/2-2.5*LOG10(2)/2</f>
        <v>28.06</v>
      </c>
      <c r="G4" s="6" t="s">
        <v>21</v>
      </c>
      <c r="H4" s="6">
        <f>29.22+2.5*LOG10(0.2)/2-2.5*LOG10(2)/2</f>
        <v>27.97</v>
      </c>
      <c r="I4" s="6">
        <f>28.9+2.5*LOG10(0.2)/2-2.5*LOG10(2)/2</f>
        <v>27.65</v>
      </c>
      <c r="J4" s="6">
        <f>28.95+2.5*LOG10(0.2)/2-2.5*LOG10(2)/2</f>
        <v>27.7</v>
      </c>
      <c r="K4" s="6">
        <f>29.01+2.5*LOG10(0.2)/2-2.5*LOG10(2)/2</f>
        <v>27.76</v>
      </c>
      <c r="L4" s="6">
        <f>26.18+2.5*LOG10(0.4)/2-2.5*LOG10(2)/2</f>
        <v>25.306287494579976</v>
      </c>
      <c r="M4" s="6">
        <f>25.04+2.5*LOG10(1.66)/2-2.5*LOG10(2)/2</f>
        <v>24.938847615470092</v>
      </c>
      <c r="N4" s="6">
        <f>25.05+2.5*LOG10(1.72)/2-2.5*LOG10(2)/2</f>
        <v>24.96812306405446</v>
      </c>
    </row>
    <row r="5" spans="1:14">
      <c r="A5" s="4" t="s">
        <v>13</v>
      </c>
      <c r="B5" s="4" t="s">
        <v>14</v>
      </c>
      <c r="C5" s="6">
        <f>28.81+2.5*LOG10(0.2)/2-2.5*LOG10(2)/2</f>
        <v>27.56</v>
      </c>
      <c r="D5" s="6">
        <f>28.83+2.5*LOG10(0.2)/2-2.5*LOG10(2)/2</f>
        <v>27.58</v>
      </c>
      <c r="E5" s="6" t="s">
        <v>21</v>
      </c>
      <c r="F5" s="6">
        <f>29.19+2.5*LOG10(0.2)/2-2.5*LOG10(2)/2</f>
        <v>27.94</v>
      </c>
      <c r="G5" s="6" t="s">
        <v>21</v>
      </c>
      <c r="H5" s="6">
        <f>29.28+2.5*LOG10(0.2)/2-2.5*LOG10(2)/2</f>
        <v>28.03</v>
      </c>
      <c r="I5" s="6">
        <f>29.05+2.5*LOG10(0.2)/2-2.5*LOG10(2)/2</f>
        <v>27.8</v>
      </c>
      <c r="J5" s="6">
        <f>29.12+2.5*LOG10(0.2)/2-2.5*LOG10(2)/2</f>
        <v>27.87</v>
      </c>
      <c r="K5" s="6">
        <f>29.14+2.5*LOG10(0.2)/2-2.5*LOG10(2)/2</f>
        <v>27.89</v>
      </c>
      <c r="L5" s="6">
        <f>26.26+2.5*LOG10(0.4)/2-2.5*LOG10(2)/2</f>
        <v>25.386287494579978</v>
      </c>
      <c r="M5" s="6">
        <f>25.11+2.5*LOG10(1.66)/2-2.5*LOG10(2)/2</f>
        <v>25.008847615470092</v>
      </c>
      <c r="N5" s="6">
        <f>24.89+2.5*LOG10(1.72)/2-2.5*LOG10(2)/2</f>
        <v>24.80812306405446</v>
      </c>
    </row>
    <row r="7" spans="1:14" s="2" customFormat="1">
      <c r="A7" s="3" t="s">
        <v>15</v>
      </c>
      <c r="B7" s="3" t="s">
        <v>16</v>
      </c>
      <c r="C7" s="2" t="s">
        <v>1</v>
      </c>
      <c r="D7" s="2" t="s">
        <v>2</v>
      </c>
      <c r="E7" s="2" t="s">
        <v>51</v>
      </c>
      <c r="F7" s="2" t="s">
        <v>3</v>
      </c>
      <c r="G7" s="2" t="s">
        <v>37</v>
      </c>
      <c r="H7" s="2" t="s">
        <v>4</v>
      </c>
      <c r="I7" s="2" t="s">
        <v>5</v>
      </c>
      <c r="J7" s="2" t="s">
        <v>6</v>
      </c>
      <c r="K7" s="2" t="s">
        <v>7</v>
      </c>
      <c r="L7" s="2" t="s">
        <v>21</v>
      </c>
      <c r="M7" s="2" t="s">
        <v>21</v>
      </c>
      <c r="N7" s="2" t="s">
        <v>21</v>
      </c>
    </row>
    <row r="8" spans="1:14">
      <c r="A8" s="4" t="s">
        <v>52</v>
      </c>
      <c r="B8" s="4" t="s">
        <v>49</v>
      </c>
      <c r="C8" s="6" t="s">
        <v>21</v>
      </c>
      <c r="D8" s="6">
        <f>27.6-(-2.5)*LOG10(0.25)+(-2.5)*LOG10(2)</f>
        <v>25.342275032520142</v>
      </c>
      <c r="E8" s="6" t="s">
        <v>21</v>
      </c>
      <c r="F8" s="6">
        <f>27.5-(-2.5)*LOG10(0.25)+(-2.5)*LOG10(2)</f>
        <v>25.242275032520141</v>
      </c>
      <c r="G8" s="6" t="s">
        <v>21</v>
      </c>
      <c r="H8" s="6">
        <f>27.3-(-2.5)*LOG10(0.25)+(-2.5)*LOG10(2)</f>
        <v>25.042275032520141</v>
      </c>
      <c r="I8" s="6">
        <f>26.4-(-2.5)*LOG10(0.25)+(-2.5)*LOG10(3)</f>
        <v>23.702046884880936</v>
      </c>
      <c r="J8" s="6" t="s">
        <v>21</v>
      </c>
      <c r="K8" s="6">
        <f>26.5-(-2.5)*LOG10(0.25)+(-2.5)*LOG10(2)</f>
        <v>24.242275032520141</v>
      </c>
      <c r="L8" s="6" t="s">
        <v>21</v>
      </c>
      <c r="M8" s="6" t="s">
        <v>21</v>
      </c>
      <c r="N8" s="6" t="s">
        <v>21</v>
      </c>
    </row>
    <row r="9" spans="1:14">
      <c r="A9" s="4" t="s">
        <v>53</v>
      </c>
      <c r="B9" s="4" t="s">
        <v>49</v>
      </c>
      <c r="C9" s="6">
        <f>27.8-(-2.5)*LOG10(0.25)+(-2.5)*LOG10(2)</f>
        <v>25.542275032520141</v>
      </c>
      <c r="D9" s="6">
        <f>28.2-(-2.5)*LOG10(0.25)+(-2.5)*LOG10(2)</f>
        <v>25.94227503252014</v>
      </c>
      <c r="E9" s="6">
        <f>27.5-(-2.5)*LOG10(0.25)+(-2.5)*LOG10(2)</f>
        <v>25.242275032520141</v>
      </c>
      <c r="F9" s="6">
        <f>28.4-(-2.5)*LOG10(0.25)+(-2.5)*LOG10(2)</f>
        <v>26.142275032520139</v>
      </c>
      <c r="G9" s="6">
        <f>27.3-(-2.5)*LOG10(0.25)+(-2.5)*LOG10(2)</f>
        <v>25.042275032520141</v>
      </c>
      <c r="H9" s="6">
        <f>26.6-(-2.5)*LOG10(0.25)+(-2.5)*LOG10(2)</f>
        <v>24.342275032520142</v>
      </c>
      <c r="I9" s="6">
        <f>27.4-(-2.5)*LOG10(0.25)+(-2.5)*LOG10(2)</f>
        <v>25.142275032520139</v>
      </c>
      <c r="J9" s="6" t="s">
        <v>21</v>
      </c>
      <c r="K9" s="6">
        <f>27.2-(-2.5)*LOG10(0.25)+(-2.5)*LOG10(2)</f>
        <v>24.94227503252014</v>
      </c>
      <c r="L9" s="6" t="s">
        <v>21</v>
      </c>
      <c r="M9" s="6" t="s">
        <v>21</v>
      </c>
      <c r="N9" s="6" t="s">
        <v>21</v>
      </c>
    </row>
    <row r="10" spans="1:14" s="2" customFormat="1">
      <c r="A10" s="3" t="s">
        <v>15</v>
      </c>
      <c r="B10" s="3" t="s">
        <v>16</v>
      </c>
      <c r="C10" s="2" t="s">
        <v>22</v>
      </c>
      <c r="D10" s="2" t="s">
        <v>23</v>
      </c>
      <c r="E10" s="2" t="s">
        <v>24</v>
      </c>
      <c r="F10" s="2" t="s">
        <v>25</v>
      </c>
      <c r="G10" s="2" t="s">
        <v>26</v>
      </c>
      <c r="H10" s="2" t="s">
        <v>17</v>
      </c>
      <c r="I10" s="2" t="s">
        <v>18</v>
      </c>
      <c r="J10" s="8" t="s">
        <v>21</v>
      </c>
      <c r="K10" s="2" t="s">
        <v>19</v>
      </c>
      <c r="L10" s="2" t="s">
        <v>20</v>
      </c>
      <c r="M10" s="2" t="s">
        <v>9</v>
      </c>
      <c r="N10" s="2" t="s">
        <v>10</v>
      </c>
    </row>
    <row r="11" spans="1:14">
      <c r="A11" s="4" t="s">
        <v>50</v>
      </c>
      <c r="B11" s="4" t="s">
        <v>49</v>
      </c>
      <c r="C11" s="6">
        <f>27.6+(-2.5)*LOG10(5)-(-2.5)*LOG10(3)</f>
        <v>27.045378125959111</v>
      </c>
      <c r="D11" s="6">
        <f>26.9+(-2.5)*LOG10(5)-(-2.5)*LOG10(3)</f>
        <v>26.345378125959108</v>
      </c>
      <c r="E11" s="6">
        <f>27+(-2.5)*LOG10(5)-(-2.5)*LOG10(3)</f>
        <v>26.44537812595911</v>
      </c>
      <c r="F11" s="6">
        <f>26.9+(-2.5)*LOG10(5)-(-2.5)*LOG10(3)</f>
        <v>26.345378125959108</v>
      </c>
      <c r="G11" s="6">
        <f>26.4+(-2.5)*LOG10(5)-(-2.5)*LOG10(3)</f>
        <v>25.845378125959108</v>
      </c>
      <c r="H11" s="6">
        <f>25.3+(-2.5)*LOG10(5)-(-2.5)*LOG10(3)</f>
        <v>24.74537812595911</v>
      </c>
      <c r="I11" s="6">
        <f>25.2+(-2.5)*LOG10(5)-(-2.5)*LOG10(3)</f>
        <v>24.645378125959109</v>
      </c>
      <c r="J11" s="6" t="s">
        <v>21</v>
      </c>
      <c r="K11" s="6">
        <f>24.9+(-2.5)*LOG10(5)-(-2.5)*LOG10(3)</f>
        <v>24.345378125959108</v>
      </c>
      <c r="L11" s="6">
        <f>24.5+(-2.5)*LOG10(5)-(-2.5)*LOG10(3)</f>
        <v>23.94537812595911</v>
      </c>
      <c r="M11" s="6">
        <f>25.5+(-2.5)*LOG10(5)-(-2.5)*LOG10(3)</f>
        <v>24.94537812595911</v>
      </c>
      <c r="N11" s="6">
        <f>25.5+(-2.5)*LOG10(5)-(-2.5)*LOG10(3)</f>
        <v>24.94537812595911</v>
      </c>
    </row>
    <row r="12" spans="1:14">
      <c r="A12" s="4" t="s">
        <v>35</v>
      </c>
      <c r="B12" s="4" t="s">
        <v>32</v>
      </c>
      <c r="C12" s="6">
        <f>27.6+(-2.5)*LOG10(5)-(-2.5)*LOG10(3)</f>
        <v>27.045378125959111</v>
      </c>
      <c r="D12" s="6">
        <f>26.9+(-2.5)*LOG10(5)-(-2.5)*LOG10(3)</f>
        <v>26.345378125959108</v>
      </c>
      <c r="E12" s="6">
        <f>27+(-2.5)*LOG10(5)-(-2.5)*LOG10(3)</f>
        <v>26.44537812595911</v>
      </c>
      <c r="F12" s="6">
        <f>26.9+(-2.5)*LOG10(5)-(-2.5)*LOG10(3)</f>
        <v>26.345378125959108</v>
      </c>
      <c r="G12" s="6">
        <f>26.4+(-2.5)*LOG10(5)-(-2.5)*LOG10(3)</f>
        <v>25.845378125959108</v>
      </c>
      <c r="H12" s="6">
        <f>25.3+(-2.5)*LOG10(5)-(-2.5)*LOG10(3)</f>
        <v>24.74537812595911</v>
      </c>
      <c r="I12" s="6">
        <f>25.2+(-2.5)*LOG10(5)-(-2.5)*LOG10(3)</f>
        <v>24.645378125959109</v>
      </c>
      <c r="J12" s="6" t="s">
        <v>21</v>
      </c>
      <c r="K12" s="6">
        <f>24.9+(-2.5)*LOG10(5)-(-2.5)*LOG10(3)</f>
        <v>24.345378125959108</v>
      </c>
      <c r="L12" s="6">
        <f>24.5+(-2.5)*LOG10(5)-(-2.5)*LOG10(3)</f>
        <v>23.94537812595911</v>
      </c>
      <c r="M12" s="6">
        <f>25.5+(-2.5)*LOG10(5)-(-2.5)*LOG10(3)</f>
        <v>24.94537812595911</v>
      </c>
      <c r="N12" s="6">
        <f>25.5+(-2.5)*LOG10(5)-(-2.5)*LOG10(3)</f>
        <v>24.94537812595911</v>
      </c>
    </row>
    <row r="13" spans="1:14">
      <c r="A13" s="4" t="s">
        <v>34</v>
      </c>
      <c r="B13" s="4" t="s">
        <v>32</v>
      </c>
      <c r="C13" s="6" t="s">
        <v>21</v>
      </c>
      <c r="D13" s="6" t="s">
        <v>21</v>
      </c>
      <c r="E13" s="6" t="s">
        <v>21</v>
      </c>
      <c r="F13" s="6" t="s">
        <v>21</v>
      </c>
      <c r="G13" s="6" t="s">
        <v>21</v>
      </c>
      <c r="H13" s="6">
        <f>25.8+(-2.5)*LOG10(5)-(-2.5)*LOG10(3)</f>
        <v>25.24537812595911</v>
      </c>
      <c r="I13" s="6">
        <f>25.4+(-2.5)*LOG10(5)-(-2.5)*LOG10(3)</f>
        <v>24.845378125959108</v>
      </c>
      <c r="J13" s="6" t="s">
        <v>21</v>
      </c>
      <c r="K13" s="6">
        <f>25+(-2.5)*LOG10(5)-(-2.5)*LOG10(3)</f>
        <v>24.44537812595911</v>
      </c>
      <c r="L13" s="6">
        <f>25.2+(-2.5)*LOG10(5)-(-2.5)*LOG10(3)</f>
        <v>24.645378125959109</v>
      </c>
      <c r="M13" s="7" t="s">
        <v>21</v>
      </c>
      <c r="N13" s="7" t="s">
        <v>21</v>
      </c>
    </row>
    <row r="14" spans="1:14" ht="19">
      <c r="A14" s="4" t="s">
        <v>54</v>
      </c>
      <c r="B14" s="4" t="s">
        <v>55</v>
      </c>
      <c r="C14" s="6" t="s">
        <v>21</v>
      </c>
      <c r="D14" s="6" t="s">
        <v>21</v>
      </c>
      <c r="E14" s="6" t="s">
        <v>21</v>
      </c>
      <c r="F14" s="6" t="s">
        <v>21</v>
      </c>
      <c r="G14" s="6" t="s">
        <v>21</v>
      </c>
      <c r="H14" s="6" t="s">
        <v>21</v>
      </c>
      <c r="I14" s="6" t="s">
        <v>21</v>
      </c>
      <c r="J14" s="6" t="s">
        <v>21</v>
      </c>
      <c r="K14" s="6" t="s">
        <v>21</v>
      </c>
      <c r="L14" s="6">
        <v>25.3</v>
      </c>
      <c r="M14" s="6" t="s">
        <v>21</v>
      </c>
      <c r="N14" s="6" t="s">
        <v>21</v>
      </c>
    </row>
    <row r="17" spans="1:16" s="2" customFormat="1">
      <c r="A17" s="3" t="s">
        <v>15</v>
      </c>
      <c r="B17" s="3" t="s">
        <v>16</v>
      </c>
      <c r="C17" s="2" t="s">
        <v>1</v>
      </c>
      <c r="D17" s="2" t="s">
        <v>2</v>
      </c>
      <c r="E17" s="2" t="s">
        <v>51</v>
      </c>
      <c r="F17" s="2" t="s">
        <v>3</v>
      </c>
      <c r="G17" s="2" t="s">
        <v>37</v>
      </c>
      <c r="H17" s="2" t="s">
        <v>4</v>
      </c>
      <c r="I17" s="2" t="s">
        <v>5</v>
      </c>
      <c r="J17" s="2" t="s">
        <v>21</v>
      </c>
      <c r="K17" s="2" t="s">
        <v>7</v>
      </c>
      <c r="L17" s="2" t="s">
        <v>8</v>
      </c>
      <c r="M17" s="2" t="s">
        <v>21</v>
      </c>
      <c r="N17" s="2" t="s">
        <v>21</v>
      </c>
      <c r="P17" s="2" t="s">
        <v>42</v>
      </c>
    </row>
    <row r="18" spans="1:16">
      <c r="A18" s="4" t="s">
        <v>39</v>
      </c>
      <c r="B18" s="4" t="s">
        <v>40</v>
      </c>
      <c r="C18" s="6" t="s">
        <v>21</v>
      </c>
      <c r="D18" s="6" t="s">
        <v>21</v>
      </c>
      <c r="E18" s="6" t="s">
        <v>21</v>
      </c>
      <c r="F18" s="6" t="s">
        <v>21</v>
      </c>
      <c r="G18" s="6" t="s">
        <v>21</v>
      </c>
      <c r="H18" s="6">
        <f>28.58-(-2.5)*LOG10(0.2)/2+(-2.5)*LOG10(2)/2</f>
        <v>27.33</v>
      </c>
      <c r="I18" s="6">
        <f>28.58-(-2.5)*LOG10(0.2)/2+(-2.5)*LOG10(2)/2</f>
        <v>27.33</v>
      </c>
      <c r="J18" s="6" t="s">
        <v>21</v>
      </c>
      <c r="K18" s="6">
        <f>28.58-(-2.5)*LOG10(0.2)/2+(-2.5)*LOG10(2)/2</f>
        <v>27.33</v>
      </c>
      <c r="L18" s="6" t="s">
        <v>21</v>
      </c>
      <c r="M18" s="6" t="s">
        <v>21</v>
      </c>
      <c r="N18" s="6" t="s">
        <v>21</v>
      </c>
      <c r="P18" s="7" t="s">
        <v>21</v>
      </c>
    </row>
    <row r="19" spans="1:16">
      <c r="A19" s="4" t="s">
        <v>46</v>
      </c>
      <c r="B19" s="4" t="s">
        <v>44</v>
      </c>
      <c r="C19" s="6" t="s">
        <v>21</v>
      </c>
      <c r="D19" s="6" t="s">
        <v>21</v>
      </c>
      <c r="E19" s="6" t="s">
        <v>21</v>
      </c>
      <c r="F19" s="6" t="s">
        <v>21</v>
      </c>
      <c r="G19" s="6" t="s">
        <v>21</v>
      </c>
      <c r="H19" s="6" t="s">
        <v>21</v>
      </c>
      <c r="I19" s="6" t="s">
        <v>21</v>
      </c>
      <c r="J19" s="6" t="s">
        <v>21</v>
      </c>
      <c r="K19" s="6" t="s">
        <v>21</v>
      </c>
      <c r="L19" s="6">
        <f>26.5-(-2.5)*LOG10(0.38)/2+(-2.5)*LOG10(2)/2</f>
        <v>25.598442001191035</v>
      </c>
      <c r="M19" s="6" t="s">
        <v>21</v>
      </c>
      <c r="N19" s="6" t="s">
        <v>21</v>
      </c>
      <c r="P19" s="7" t="s">
        <v>21</v>
      </c>
    </row>
    <row r="20" spans="1:16">
      <c r="A20" s="4" t="s">
        <v>47</v>
      </c>
      <c r="B20" s="4" t="s">
        <v>45</v>
      </c>
      <c r="C20" s="6" t="s">
        <v>21</v>
      </c>
      <c r="D20" s="6" t="s">
        <v>21</v>
      </c>
      <c r="E20" s="6" t="s">
        <v>21</v>
      </c>
      <c r="F20" s="6" t="s">
        <v>21</v>
      </c>
      <c r="G20" s="6" t="s">
        <v>21</v>
      </c>
      <c r="H20" s="6" t="s">
        <v>21</v>
      </c>
      <c r="I20" s="6" t="s">
        <v>21</v>
      </c>
      <c r="J20" s="6" t="s">
        <v>21</v>
      </c>
      <c r="K20" s="6" t="s">
        <v>21</v>
      </c>
      <c r="L20" s="6" t="s">
        <v>21</v>
      </c>
      <c r="M20" s="6">
        <f>28.5-(-2.5)*LOG10(1)+(-2.5)*LOG10(5)-(-2.5)*LOG10(1.49)/2+(-2.5)*LOG10(2)/2</f>
        <v>26.59277033009532</v>
      </c>
      <c r="N20" s="6">
        <f>28.2-(-2.5)*LOG10(1)+(-2.5)*LOG10(5)-(-2.5)*LOG10(1.48)/2+(-2.5)*LOG10(2)/2</f>
        <v>26.289114638823673</v>
      </c>
      <c r="P20" s="7" t="s">
        <v>21</v>
      </c>
    </row>
    <row r="21" spans="1:16">
      <c r="A21" s="4" t="s">
        <v>43</v>
      </c>
      <c r="B21" s="4" t="s">
        <v>41</v>
      </c>
      <c r="C21" s="6" t="s">
        <v>21</v>
      </c>
      <c r="D21" s="6" t="s">
        <v>21</v>
      </c>
      <c r="E21" s="6" t="s">
        <v>21</v>
      </c>
      <c r="F21" s="6" t="s">
        <v>21</v>
      </c>
      <c r="G21" s="6" t="s">
        <v>21</v>
      </c>
      <c r="H21" s="6" t="s">
        <v>21</v>
      </c>
      <c r="I21" s="6" t="s">
        <v>21</v>
      </c>
      <c r="J21" s="6" t="s">
        <v>21</v>
      </c>
      <c r="K21" s="6" t="s">
        <v>21</v>
      </c>
      <c r="L21" s="6" t="s">
        <v>21</v>
      </c>
      <c r="M21" s="6" t="s">
        <v>21</v>
      </c>
      <c r="N21" s="6" t="s">
        <v>21</v>
      </c>
      <c r="P21" s="1">
        <v>3.5000000000000003E-2</v>
      </c>
    </row>
    <row r="22" spans="1:16">
      <c r="A22" s="4" t="s">
        <v>36</v>
      </c>
      <c r="B22" s="4" t="s">
        <v>38</v>
      </c>
      <c r="C22" s="6" t="s">
        <v>21</v>
      </c>
      <c r="D22" s="6" t="s">
        <v>21</v>
      </c>
      <c r="E22" s="6" t="s">
        <v>21</v>
      </c>
      <c r="F22" s="6" t="s">
        <v>21</v>
      </c>
      <c r="G22" s="6" t="s">
        <v>21</v>
      </c>
      <c r="H22" s="6" t="s">
        <v>21</v>
      </c>
      <c r="I22" s="6" t="s">
        <v>21</v>
      </c>
      <c r="J22" s="6" t="s">
        <v>21</v>
      </c>
      <c r="K22" s="6" t="s">
        <v>21</v>
      </c>
      <c r="L22" s="6" t="s">
        <v>21</v>
      </c>
      <c r="M22" s="6" t="s">
        <v>21</v>
      </c>
      <c r="N22" s="6" t="s">
        <v>21</v>
      </c>
      <c r="P22" s="7" t="s">
        <v>21</v>
      </c>
    </row>
    <row r="25" spans="1:16" s="2" customFormat="1">
      <c r="A25" s="3" t="s">
        <v>15</v>
      </c>
      <c r="B25" s="3" t="s">
        <v>16</v>
      </c>
      <c r="C25" s="2" t="s">
        <v>21</v>
      </c>
      <c r="D25" s="2" t="s">
        <v>21</v>
      </c>
      <c r="E25" s="2" t="s">
        <v>21</v>
      </c>
      <c r="F25" s="2" t="s">
        <v>21</v>
      </c>
      <c r="G25" s="2" t="s">
        <v>21</v>
      </c>
      <c r="H25" s="2" t="s">
        <v>28</v>
      </c>
      <c r="I25" s="2" t="s">
        <v>29</v>
      </c>
      <c r="J25" s="8" t="s">
        <v>21</v>
      </c>
      <c r="K25" s="2" t="s">
        <v>30</v>
      </c>
      <c r="L25" s="2" t="s">
        <v>31</v>
      </c>
      <c r="M25" s="2" t="s">
        <v>9</v>
      </c>
      <c r="N25" s="2" t="s">
        <v>10</v>
      </c>
    </row>
    <row r="26" spans="1:16">
      <c r="A26" s="4" t="s">
        <v>33</v>
      </c>
      <c r="B26" s="9" t="s">
        <v>27</v>
      </c>
      <c r="C26" s="6" t="s">
        <v>21</v>
      </c>
      <c r="D26" s="6" t="s">
        <v>21</v>
      </c>
      <c r="E26" s="6" t="s">
        <v>21</v>
      </c>
      <c r="F26" s="6" t="s">
        <v>21</v>
      </c>
      <c r="G26" s="6" t="s">
        <v>21</v>
      </c>
      <c r="H26" s="6" t="s">
        <v>21</v>
      </c>
      <c r="I26" s="6">
        <v>25.6</v>
      </c>
      <c r="J26" s="6" t="s">
        <v>21</v>
      </c>
      <c r="K26" s="6">
        <v>25.1</v>
      </c>
      <c r="L26" s="6">
        <v>25.3</v>
      </c>
      <c r="M26" s="6"/>
      <c r="N26" s="6"/>
    </row>
    <row r="32" spans="1:16" ht="146" customHeight="1">
      <c r="A32" s="10" t="s">
        <v>48</v>
      </c>
      <c r="B32" s="11"/>
      <c r="C32" s="11"/>
      <c r="D32" s="11"/>
      <c r="E32" s="11"/>
      <c r="F32" s="11"/>
      <c r="G32" s="11"/>
      <c r="H32" s="11"/>
      <c r="I32" s="11"/>
      <c r="J32" s="11"/>
      <c r="K32" s="11"/>
      <c r="L32" s="11"/>
      <c r="M32" s="11"/>
      <c r="N32" s="11"/>
    </row>
    <row r="33" spans="1:1">
      <c r="A33" s="5"/>
    </row>
  </sheetData>
  <mergeCells count="1">
    <mergeCell ref="A32:N32"/>
  </mergeCells>
  <hyperlinks>
    <hyperlink ref="B26"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Depth</vt:lpstr>
    </vt:vector>
  </TitlesOfParts>
  <Company>MPIA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Daizhong Liu</dc:creator>
  <cp:lastModifiedBy>Daizhong Liu</cp:lastModifiedBy>
  <dcterms:created xsi:type="dcterms:W3CDTF">2018-07-27T00:52:42Z</dcterms:created>
  <dcterms:modified xsi:type="dcterms:W3CDTF">2018-07-28T09:10:08Z</dcterms:modified>
</cp:coreProperties>
</file>