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!MIPT\Labs\PhysLabV\5.1\src\"/>
    </mc:Choice>
  </mc:AlternateContent>
  <xr:revisionPtr revIDLastSave="0" documentId="13_ncr:1_{6FC651EF-889E-4496-82A3-F2B82C28F4D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2" i="1" l="1"/>
  <c r="Q42" i="1"/>
  <c r="S34" i="1"/>
  <c r="Q34" i="1"/>
  <c r="S26" i="1"/>
  <c r="Q26" i="1"/>
  <c r="S18" i="1"/>
  <c r="Q18" i="1"/>
  <c r="P38" i="1"/>
  <c r="R38" i="1" s="1"/>
  <c r="P30" i="1"/>
  <c r="R30" i="1" s="1"/>
  <c r="P22" i="1"/>
  <c r="R22" i="1" s="1"/>
  <c r="I32" i="1"/>
  <c r="I33" i="1" s="1"/>
  <c r="I34" i="1" s="1"/>
  <c r="I31" i="1"/>
  <c r="G40" i="1"/>
  <c r="G39" i="1"/>
  <c r="G38" i="1"/>
  <c r="G34" i="1"/>
  <c r="G33" i="1"/>
  <c r="G32" i="1"/>
  <c r="G31" i="1"/>
  <c r="G30" i="1"/>
  <c r="G26" i="1"/>
  <c r="G25" i="1"/>
  <c r="G24" i="1"/>
  <c r="G23" i="1"/>
  <c r="G22" i="1"/>
  <c r="Q14" i="1"/>
  <c r="G15" i="1"/>
  <c r="G16" i="1"/>
  <c r="G17" i="1"/>
  <c r="G18" i="1"/>
  <c r="G14" i="1"/>
  <c r="P14" i="1"/>
  <c r="R14" i="1" s="1"/>
  <c r="K40" i="1"/>
  <c r="K39" i="1"/>
  <c r="K38" i="1"/>
  <c r="J40" i="1"/>
  <c r="J39" i="1"/>
  <c r="J38" i="1"/>
  <c r="L38" i="1" s="1"/>
  <c r="N38" i="1" s="1"/>
  <c r="I38" i="1"/>
  <c r="M40" i="1"/>
  <c r="L40" i="1"/>
  <c r="N40" i="1" s="1"/>
  <c r="M39" i="1"/>
  <c r="L39" i="1"/>
  <c r="N39" i="1" s="1"/>
  <c r="M38" i="1"/>
  <c r="I39" i="1"/>
  <c r="I40" i="1" s="1"/>
  <c r="K30" i="1"/>
  <c r="M30" i="1" s="1"/>
  <c r="K34" i="1"/>
  <c r="M34" i="1" s="1"/>
  <c r="K33" i="1"/>
  <c r="M33" i="1" s="1"/>
  <c r="K32" i="1"/>
  <c r="M32" i="1" s="1"/>
  <c r="K31" i="1"/>
  <c r="M31" i="1" s="1"/>
  <c r="J32" i="1"/>
  <c r="J30" i="1"/>
  <c r="I30" i="1"/>
  <c r="L32" i="1"/>
  <c r="N32" i="1" s="1"/>
  <c r="L30" i="1"/>
  <c r="N30" i="1" s="1"/>
  <c r="M23" i="1"/>
  <c r="M24" i="1"/>
  <c r="M25" i="1"/>
  <c r="M26" i="1"/>
  <c r="M22" i="1"/>
  <c r="M15" i="1"/>
  <c r="O15" i="1" s="1"/>
  <c r="M16" i="1"/>
  <c r="O16" i="1" s="1"/>
  <c r="M17" i="1"/>
  <c r="M18" i="1"/>
  <c r="M14" i="1"/>
  <c r="K26" i="1"/>
  <c r="K25" i="1"/>
  <c r="K24" i="1"/>
  <c r="K23" i="1"/>
  <c r="K22" i="1"/>
  <c r="J26" i="1"/>
  <c r="J25" i="1"/>
  <c r="J24" i="1"/>
  <c r="L24" i="1" s="1"/>
  <c r="N24" i="1" s="1"/>
  <c r="J23" i="1"/>
  <c r="L23" i="1" s="1"/>
  <c r="N23" i="1" s="1"/>
  <c r="J22" i="1"/>
  <c r="L22" i="1" s="1"/>
  <c r="N22" i="1" s="1"/>
  <c r="I22" i="1"/>
  <c r="L26" i="1"/>
  <c r="N26" i="1" s="1"/>
  <c r="L25" i="1"/>
  <c r="N25" i="1" s="1"/>
  <c r="I23" i="1"/>
  <c r="I24" i="1" s="1"/>
  <c r="I25" i="1" s="1"/>
  <c r="I26" i="1" s="1"/>
  <c r="O17" i="1"/>
  <c r="O18" i="1"/>
  <c r="O14" i="1"/>
  <c r="N15" i="1"/>
  <c r="N16" i="1"/>
  <c r="N17" i="1"/>
  <c r="N18" i="1"/>
  <c r="N14" i="1"/>
  <c r="L15" i="1"/>
  <c r="L16" i="1"/>
  <c r="L17" i="1"/>
  <c r="L18" i="1"/>
  <c r="L14" i="1"/>
  <c r="C12" i="1"/>
  <c r="K18" i="1"/>
  <c r="K17" i="1"/>
  <c r="K16" i="1"/>
  <c r="K15" i="1"/>
  <c r="K14" i="1"/>
  <c r="I16" i="1"/>
  <c r="I17" i="1"/>
  <c r="I18" i="1" s="1"/>
  <c r="I15" i="1"/>
  <c r="I14" i="1"/>
  <c r="J18" i="1"/>
  <c r="J17" i="1"/>
  <c r="J16" i="1"/>
  <c r="J15" i="1"/>
  <c r="J14" i="1"/>
  <c r="C23" i="1"/>
  <c r="D23" i="1"/>
  <c r="B23" i="1"/>
  <c r="U11" i="1"/>
  <c r="V11" i="1"/>
  <c r="W11" i="1"/>
  <c r="X11" i="1"/>
  <c r="T11" i="1"/>
  <c r="W25" i="1"/>
  <c r="X25" i="1"/>
  <c r="Y25" i="1"/>
  <c r="Z25" i="1"/>
  <c r="V25" i="1"/>
  <c r="C3" i="1"/>
  <c r="C4" i="1"/>
  <c r="C5" i="1"/>
  <c r="C6" i="1"/>
  <c r="C7" i="1"/>
  <c r="C8" i="1"/>
  <c r="C9" i="1"/>
  <c r="C10" i="1"/>
  <c r="C11" i="1"/>
  <c r="C2" i="1"/>
  <c r="B15" i="1"/>
  <c r="D15" i="1" s="1"/>
  <c r="U10" i="1"/>
  <c r="V10" i="1"/>
  <c r="W10" i="1"/>
  <c r="X10" i="1"/>
  <c r="T10" i="1"/>
  <c r="X24" i="1"/>
  <c r="Y24" i="1"/>
  <c r="V24" i="1"/>
  <c r="L10" i="1"/>
  <c r="M10" i="1"/>
  <c r="I10" i="1"/>
  <c r="V17" i="1"/>
  <c r="W17" i="1" s="1"/>
  <c r="I3" i="1"/>
  <c r="J3" i="1" s="1"/>
  <c r="T3" i="1"/>
  <c r="U3" i="1"/>
  <c r="V3" i="1"/>
  <c r="W3" i="1"/>
  <c r="X3" i="1"/>
  <c r="T2" i="1"/>
  <c r="X2" i="1" s="1"/>
  <c r="V16" i="1"/>
  <c r="Z16" i="1" s="1"/>
  <c r="I2" i="1"/>
  <c r="M2" i="1" s="1"/>
  <c r="B12" i="1"/>
  <c r="A12" i="1"/>
  <c r="D21" i="1"/>
  <c r="D22" i="1" s="1"/>
  <c r="C21" i="1"/>
  <c r="C22" i="1" s="1"/>
  <c r="B21" i="1"/>
  <c r="B22" i="1" s="1"/>
  <c r="X9" i="1"/>
  <c r="W9" i="1"/>
  <c r="V9" i="1"/>
  <c r="U9" i="1"/>
  <c r="T9" i="1"/>
  <c r="Z23" i="1"/>
  <c r="Z24" i="1" s="1"/>
  <c r="M9" i="1"/>
  <c r="W23" i="1"/>
  <c r="W24" i="1" s="1"/>
  <c r="X23" i="1"/>
  <c r="Y23" i="1"/>
  <c r="J33" i="1" s="1"/>
  <c r="L33" i="1" s="1"/>
  <c r="N33" i="1" s="1"/>
  <c r="V23" i="1"/>
  <c r="J9" i="1"/>
  <c r="J10" i="1" s="1"/>
  <c r="K9" i="1"/>
  <c r="K10" i="1" s="1"/>
  <c r="L9" i="1"/>
  <c r="I9" i="1"/>
  <c r="Q38" i="1" l="1"/>
  <c r="S38" i="1" s="1"/>
  <c r="Q30" i="1"/>
  <c r="S30" i="1" s="1"/>
  <c r="Q22" i="1"/>
  <c r="S22" i="1" s="1"/>
  <c r="S14" i="1"/>
  <c r="J31" i="1"/>
  <c r="L31" i="1" s="1"/>
  <c r="N31" i="1" s="1"/>
  <c r="J34" i="1"/>
  <c r="L34" i="1" s="1"/>
  <c r="N34" i="1" s="1"/>
  <c r="O38" i="1"/>
  <c r="O39" i="1"/>
  <c r="O40" i="1"/>
  <c r="O34" i="1"/>
  <c r="O33" i="1"/>
  <c r="O30" i="1"/>
  <c r="O31" i="1"/>
  <c r="O32" i="1"/>
  <c r="O25" i="1"/>
  <c r="O24" i="1"/>
  <c r="O22" i="1"/>
  <c r="O23" i="1"/>
  <c r="O26" i="1"/>
  <c r="C15" i="1"/>
  <c r="Y17" i="1"/>
  <c r="X17" i="1"/>
  <c r="Z17" i="1"/>
  <c r="L3" i="1"/>
  <c r="K3" i="1"/>
  <c r="M3" i="1"/>
  <c r="L2" i="1"/>
  <c r="J2" i="1"/>
  <c r="K2" i="1"/>
  <c r="U2" i="1"/>
  <c r="V2" i="1"/>
  <c r="W2" i="1"/>
  <c r="W16" i="1"/>
  <c r="X16" i="1"/>
  <c r="Y16" i="1"/>
</calcChain>
</file>

<file path=xl/sharedStrings.xml><?xml version="1.0" encoding="utf-8"?>
<sst xmlns="http://schemas.openxmlformats.org/spreadsheetml/2006/main" count="110" uniqueCount="27">
  <si>
    <t>N_0</t>
  </si>
  <si>
    <t>N_{фон}</t>
  </si>
  <si>
    <t>Al</t>
  </si>
  <si>
    <t>h</t>
  </si>
  <si>
    <t>N</t>
  </si>
  <si>
    <t>Fe</t>
  </si>
  <si>
    <t>h, cm</t>
  </si>
  <si>
    <t>\Delta_h, mm</t>
  </si>
  <si>
    <t>№</t>
  </si>
  <si>
    <t>Pb</t>
  </si>
  <si>
    <t>Wood</t>
  </si>
  <si>
    <t>d</t>
  </si>
  <si>
    <t>ln</t>
  </si>
  <si>
    <t>l</t>
  </si>
  <si>
    <t>\sigma_l</t>
  </si>
  <si>
    <t>&lt;N&gt;</t>
  </si>
  <si>
    <t>\sigma_{&lt;N&gt;}</t>
  </si>
  <si>
    <t>&lt;N&gt;-N_ф</t>
  </si>
  <si>
    <t>\sigma</t>
  </si>
  <si>
    <t>\mu</t>
  </si>
  <si>
    <t>a</t>
  </si>
  <si>
    <t>\sigma_a</t>
  </si>
  <si>
    <t>\sigma_{\mu}</t>
  </si>
  <si>
    <t>\rho</t>
  </si>
  <si>
    <t>\mu'</t>
  </si>
  <si>
    <t>E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</si>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</sst>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453662100779925E-2"/>
          <c:y val="0.14592304646234935"/>
          <c:w val="0.87843417547300207"/>
          <c:h val="0.67938115682571032"/>
        </c:manualLayout>
      </c:layout>
      <c:scatterChart>
        <c:scatterStyle val="lineMarker"/>
        <c:varyColors val="0"/>
        <c:ser>
          <c:idx val="0"/>
          <c:order val="0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Лист1!$I$14:$I$18</c:f>
                <c:numCache>
                  <c:formatCode>General</c:formatCode>
                  <c:ptCount val="5"/>
                  <c:pt idx="0">
                    <c:v>0.05</c:v>
                  </c:pt>
                  <c:pt idx="1">
                    <c:v>0.1</c:v>
                  </c:pt>
                  <c:pt idx="2">
                    <c:v>0.15000000000000002</c:v>
                  </c:pt>
                  <c:pt idx="3">
                    <c:v>0.2</c:v>
                  </c:pt>
                  <c:pt idx="4">
                    <c:v>0.25</c:v>
                  </c:pt>
                </c:numCache>
              </c:numRef>
            </c:plus>
            <c:minus>
              <c:numRef>
                <c:f>Лист1!$I$14:$I$18</c:f>
                <c:numCache>
                  <c:formatCode>General</c:formatCode>
                  <c:ptCount val="5"/>
                  <c:pt idx="0">
                    <c:v>0.05</c:v>
                  </c:pt>
                  <c:pt idx="1">
                    <c:v>0.1</c:v>
                  </c:pt>
                  <c:pt idx="2">
                    <c:v>0.15000000000000002</c:v>
                  </c:pt>
                  <c:pt idx="3">
                    <c:v>0.2</c:v>
                  </c:pt>
                  <c:pt idx="4">
                    <c:v>0.25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Лист1!$O$14:$O$18</c:f>
                <c:numCache>
                  <c:formatCode>General</c:formatCode>
                  <c:ptCount val="5"/>
                  <c:pt idx="0">
                    <c:v>8.3917093952487511E-3</c:v>
                  </c:pt>
                  <c:pt idx="1">
                    <c:v>1.0609587274816201E-2</c:v>
                  </c:pt>
                  <c:pt idx="2">
                    <c:v>3.5417534653339705E-3</c:v>
                  </c:pt>
                  <c:pt idx="3">
                    <c:v>2.1046096630728626E-3</c:v>
                  </c:pt>
                  <c:pt idx="4">
                    <c:v>6.7054707701933213E-3</c:v>
                  </c:pt>
                </c:numCache>
              </c:numRef>
            </c:plus>
            <c:minus>
              <c:numRef>
                <c:f>Лист1!$O$14:$O$18</c:f>
                <c:numCache>
                  <c:formatCode>General</c:formatCode>
                  <c:ptCount val="5"/>
                  <c:pt idx="0">
                    <c:v>8.3917093952487511E-3</c:v>
                  </c:pt>
                  <c:pt idx="1">
                    <c:v>1.0609587274816201E-2</c:v>
                  </c:pt>
                  <c:pt idx="2">
                    <c:v>3.5417534653339705E-3</c:v>
                  </c:pt>
                  <c:pt idx="3">
                    <c:v>2.1046096630728626E-3</c:v>
                  </c:pt>
                  <c:pt idx="4">
                    <c:v>6.7054707701933213E-3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Лист1!$I$2:$M$2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Лист1!$I$10:$M$10</c:f>
              <c:numCache>
                <c:formatCode>General</c:formatCode>
                <c:ptCount val="5"/>
                <c:pt idx="0">
                  <c:v>11.481897023337551</c:v>
                </c:pt>
                <c:pt idx="1">
                  <c:v>10.911446385344449</c:v>
                </c:pt>
                <c:pt idx="2">
                  <c:v>10.347589870259158</c:v>
                </c:pt>
                <c:pt idx="3">
                  <c:v>9.8196873777497444</c:v>
                </c:pt>
                <c:pt idx="4">
                  <c:v>9.5740837753906938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9-44A1-AF82-87E1B8AD0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416720"/>
        <c:axId val="1904417552"/>
      </c:scatterChart>
      <c:valAx>
        <c:axId val="19044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mm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181194905025488"/>
              <c:y val="0.7595264965584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7552"/>
        <c:crosses val="autoZero"/>
        <c:crossBetween val="midCat"/>
      </c:valAx>
      <c:valAx>
        <c:axId val="1904417552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96410655519427E-2"/>
          <c:y val="0.14592304130880515"/>
          <c:w val="0.87843417547300207"/>
          <c:h val="0.67938115682571032"/>
        </c:manualLayout>
      </c:layout>
      <c:scatterChart>
        <c:scatterStyle val="lineMarker"/>
        <c:varyColors val="0"/>
        <c:ser>
          <c:idx val="0"/>
          <c:order val="0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Лист1!$V$16:$Z$16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Лист1!$V$24:$Z$24</c:f>
              <c:numCache>
                <c:formatCode>General</c:formatCode>
                <c:ptCount val="5"/>
                <c:pt idx="0">
                  <c:v>11.33328191910187</c:v>
                </c:pt>
                <c:pt idx="1">
                  <c:v>10.503910706313379</c:v>
                </c:pt>
                <c:pt idx="2">
                  <c:v>9.7588258760447477</c:v>
                </c:pt>
                <c:pt idx="3">
                  <c:v>9.26274779549132</c:v>
                </c:pt>
                <c:pt idx="4">
                  <c:v>8.5894766430012552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A-4877-996B-C1E1624C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416720"/>
        <c:axId val="1904417552"/>
      </c:scatterChart>
      <c:valAx>
        <c:axId val="19044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mm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181194905025488"/>
              <c:y val="0.7595264965584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7552"/>
        <c:crosses val="autoZero"/>
        <c:crossBetween val="midCat"/>
      </c:valAx>
      <c:valAx>
        <c:axId val="19044175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955922051378985E-2"/>
          <c:y val="0.14592306188648596"/>
          <c:w val="0.87843417547300207"/>
          <c:h val="0.67938115682571032"/>
        </c:manualLayout>
      </c:layout>
      <c:scatterChart>
        <c:scatterStyle val="lineMarker"/>
        <c:varyColors val="0"/>
        <c:ser>
          <c:idx val="0"/>
          <c:order val="0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Лист1!$T$2:$X$2</c:f>
              <c:numCache>
                <c:formatCode>General</c:formatCode>
                <c:ptCount val="5"/>
                <c:pt idx="0">
                  <c:v>4.6500000000000004</c:v>
                </c:pt>
                <c:pt idx="1">
                  <c:v>9.3000000000000007</c:v>
                </c:pt>
                <c:pt idx="2">
                  <c:v>13.950000000000001</c:v>
                </c:pt>
                <c:pt idx="3">
                  <c:v>18.600000000000001</c:v>
                </c:pt>
                <c:pt idx="4">
                  <c:v>23.25</c:v>
                </c:pt>
              </c:numCache>
            </c:numRef>
          </c:xVal>
          <c:yVal>
            <c:numRef>
              <c:f>Лист1!$T$10:$X$10</c:f>
              <c:numCache>
                <c:formatCode>General</c:formatCode>
                <c:ptCount val="5"/>
                <c:pt idx="0">
                  <c:v>11.330003327864016</c:v>
                </c:pt>
                <c:pt idx="1">
                  <c:v>10.489377976264365</c:v>
                </c:pt>
                <c:pt idx="2">
                  <c:v>9.76820033363615</c:v>
                </c:pt>
                <c:pt idx="3">
                  <c:v>9.2762264222883637</c:v>
                </c:pt>
                <c:pt idx="4">
                  <c:v>8.6128760290477349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2-4FF5-8AA6-2A31EF58E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416720"/>
        <c:axId val="1904417552"/>
      </c:scatterChart>
      <c:valAx>
        <c:axId val="19044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mm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181194905025488"/>
              <c:y val="0.7595264965584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7552"/>
        <c:crosses val="autoZero"/>
        <c:crossBetween val="midCat"/>
      </c:valAx>
      <c:valAx>
        <c:axId val="19044175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955922051378985E-2"/>
          <c:y val="0.14592306188648596"/>
          <c:w val="0.87843417547300207"/>
          <c:h val="0.67938115682571032"/>
        </c:manualLayout>
      </c:layout>
      <c:scatterChart>
        <c:scatterStyle val="lineMarker"/>
        <c:varyColors val="0"/>
        <c:ser>
          <c:idx val="0"/>
          <c:order val="0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Лист1!$B$15:$D$15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39.799999999999997</c:v>
                </c:pt>
                <c:pt idx="2">
                  <c:v>59.699999999999996</c:v>
                </c:pt>
              </c:numCache>
            </c:numRef>
          </c:xVal>
          <c:yVal>
            <c:numRef>
              <c:f>Лист1!$B$22:$D$22</c:f>
              <c:numCache>
                <c:formatCode>General</c:formatCode>
                <c:ptCount val="3"/>
                <c:pt idx="0">
                  <c:v>12.091378708691272</c:v>
                </c:pt>
                <c:pt idx="1">
                  <c:v>12.027559128938851</c:v>
                </c:pt>
                <c:pt idx="2">
                  <c:v>11.987930939107295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1-4F29-8F7E-C2CD2DB33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416720"/>
        <c:axId val="1904417552"/>
      </c:scatterChart>
      <c:valAx>
        <c:axId val="19044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mm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181194905025488"/>
              <c:y val="0.7595264965584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7552"/>
        <c:crosses val="autoZero"/>
        <c:crossBetween val="midCat"/>
      </c:valAx>
      <c:valAx>
        <c:axId val="1904417552"/>
        <c:scaling>
          <c:orientation val="minMax"/>
          <c:min val="1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414338</xdr:colOff>
      <xdr:row>0</xdr:row>
      <xdr:rowOff>133350</xdr:rowOff>
    </xdr:from>
    <xdr:to>
      <xdr:col>9</xdr:col>
      <xdr:colOff>12383</xdr:colOff>
      <xdr:row>18</xdr:row>
      <xdr:rowOff>98108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3B6D19-D4F2-46E0-97E6-CE0251A31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0</xdr:row>
      <xdr:rowOff>0</xdr:rowOff>
    </xdr:from>
    <xdr:to>
      <xdr:col>19</xdr:col>
      <xdr:colOff>1905</xdr:colOff>
      <xdr:row>17</xdr:row>
      <xdr:rowOff>140018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5CC533-804A-480D-ADD3-F0E767A3E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8</xdr:col>
      <xdr:colOff>207645</xdr:colOff>
      <xdr:row>37</xdr:row>
      <xdr:rowOff>136208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0107038-FB28-4E97-BBA2-D67DD2618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447675</xdr:colOff>
      <xdr:row>19</xdr:row>
      <xdr:rowOff>161925</xdr:rowOff>
    </xdr:from>
    <xdr:to>
      <xdr:col>19</xdr:col>
      <xdr:colOff>49530</xdr:colOff>
      <xdr:row>37</xdr:row>
      <xdr:rowOff>113348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F62895E-4FFB-41F9-8770-C0B439D90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0.06002</cdr:x>
      <cdr:y>0.07111</cdr:y>
    </cdr:from>
    <cdr:to>
      <cdr:x>0.15566</cdr:x>
      <cdr:y>0.14193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FAD045-CE35-4CEE-B6AE-317BA020594B}"/>
            </a:ext>
          </a:extLst>
        </cdr:cNvPr>
        <cdr:cNvSpPr txBox="1"/>
      </cdr:nvSpPr>
      <cdr:spPr>
        <a:xfrm xmlns:a="http://schemas.openxmlformats.org/drawingml/2006/main">
          <a:off x="304801" y="229553"/>
          <a:ext cx="4857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ln(N_P)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0.06002</cdr:x>
      <cdr:y>0.07111</cdr:y>
    </cdr:from>
    <cdr:to>
      <cdr:x>0.15566</cdr:x>
      <cdr:y>0.14193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FAD045-CE35-4CEE-B6AE-317BA020594B}"/>
            </a:ext>
          </a:extLst>
        </cdr:cNvPr>
        <cdr:cNvSpPr txBox="1"/>
      </cdr:nvSpPr>
      <cdr:spPr>
        <a:xfrm xmlns:a="http://schemas.openxmlformats.org/drawingml/2006/main">
          <a:off x="304801" y="229553"/>
          <a:ext cx="4857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ln(N_P)</a:t>
          </a:r>
          <a:endParaRPr lang="ru-RU">
            <a:effectLst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0.06002</cdr:x>
      <cdr:y>0.07111</cdr:y>
    </cdr:from>
    <cdr:to>
      <cdr:x>0.15566</cdr:x>
      <cdr:y>0.14193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FAD045-CE35-4CEE-B6AE-317BA020594B}"/>
            </a:ext>
          </a:extLst>
        </cdr:cNvPr>
        <cdr:cNvSpPr txBox="1"/>
      </cdr:nvSpPr>
      <cdr:spPr>
        <a:xfrm xmlns:a="http://schemas.openxmlformats.org/drawingml/2006/main">
          <a:off x="304801" y="229553"/>
          <a:ext cx="4857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ln(N_P)</a:t>
          </a:r>
          <a:endParaRPr lang="ru-RU">
            <a:effectLst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0.06002</cdr:x>
      <cdr:y>0.07111</cdr:y>
    </cdr:from>
    <cdr:to>
      <cdr:x>0.15566</cdr:x>
      <cdr:y>0.14193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FAD045-CE35-4CEE-B6AE-317BA020594B}"/>
            </a:ext>
          </a:extLst>
        </cdr:cNvPr>
        <cdr:cNvSpPr txBox="1"/>
      </cdr:nvSpPr>
      <cdr:spPr>
        <a:xfrm xmlns:a="http://schemas.openxmlformats.org/drawingml/2006/main">
          <a:off x="304801" y="229553"/>
          <a:ext cx="4857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ln(N_P)</a:t>
          </a:r>
          <a:endParaRPr lang="ru-RU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"/>
  <sheetViews>
    <sheetView topLeftCell="D13" workbookViewId="0">
      <selection activeCell="C33" sqref="C33:D33"/>
    </sheetView>
  </sheetViews>
  <sheetFormatPr defaultRowHeight="14.4" x14ac:dyDescent="0.3"/>
  <cols>
    <col min="8" max="8" width="10.44140625" bestFit="1" customWidth="1"/>
  </cols>
  <sheetData>
    <row r="1" spans="1:26" x14ac:dyDescent="0.3">
      <c r="A1" t="s">
        <v>0</v>
      </c>
      <c r="B1" t="s">
        <v>1</v>
      </c>
      <c r="I1" t="s">
        <v>2</v>
      </c>
      <c r="J1" t="s">
        <v>6</v>
      </c>
      <c r="K1">
        <v>2</v>
      </c>
      <c r="L1" t="s">
        <v>7</v>
      </c>
      <c r="M1">
        <v>0.05</v>
      </c>
      <c r="T1" t="s">
        <v>9</v>
      </c>
      <c r="U1" t="s">
        <v>6</v>
      </c>
      <c r="V1">
        <v>0.46500000000000002</v>
      </c>
      <c r="W1" t="s">
        <v>7</v>
      </c>
      <c r="X1">
        <v>0.05</v>
      </c>
    </row>
    <row r="2" spans="1:26" x14ac:dyDescent="0.3">
      <c r="A2">
        <v>176871</v>
      </c>
      <c r="B2">
        <v>91</v>
      </c>
      <c r="C2">
        <f>SQRT(B2)</f>
        <v>9.5393920141694561</v>
      </c>
      <c r="H2" t="s">
        <v>3</v>
      </c>
      <c r="I2">
        <f>K1*10</f>
        <v>20</v>
      </c>
      <c r="J2">
        <f xml:space="preserve"> 2 *I2</f>
        <v>40</v>
      </c>
      <c r="K2">
        <f>I2*3</f>
        <v>60</v>
      </c>
      <c r="L2">
        <f>I2*4</f>
        <v>80</v>
      </c>
      <c r="M2">
        <f>I2 * 5</f>
        <v>100</v>
      </c>
      <c r="S2" t="s">
        <v>3</v>
      </c>
      <c r="T2">
        <f>V1*10</f>
        <v>4.6500000000000004</v>
      </c>
      <c r="U2">
        <f xml:space="preserve"> 2 *T2</f>
        <v>9.3000000000000007</v>
      </c>
      <c r="V2">
        <f>T2*3</f>
        <v>13.950000000000001</v>
      </c>
      <c r="W2">
        <f>T2*4</f>
        <v>18.600000000000001</v>
      </c>
      <c r="X2">
        <f>T2 * 5</f>
        <v>23.25</v>
      </c>
    </row>
    <row r="3" spans="1:26" x14ac:dyDescent="0.3">
      <c r="A3">
        <v>174592</v>
      </c>
      <c r="B3">
        <v>102</v>
      </c>
      <c r="C3">
        <f t="shared" ref="C3:C11" si="0">SQRT(B3)</f>
        <v>10.099504938362077</v>
      </c>
      <c r="I3">
        <f>M1</f>
        <v>0.05</v>
      </c>
      <c r="J3">
        <f xml:space="preserve"> 2 *I3</f>
        <v>0.1</v>
      </c>
      <c r="K3">
        <f>I3*3</f>
        <v>0.15000000000000002</v>
      </c>
      <c r="L3">
        <f>I3*4</f>
        <v>0.2</v>
      </c>
      <c r="M3">
        <f>I3 * 5</f>
        <v>0.25</v>
      </c>
      <c r="S3" t="s">
        <v>11</v>
      </c>
      <c r="T3">
        <f>X1</f>
        <v>0.05</v>
      </c>
      <c r="U3">
        <f xml:space="preserve"> 2 *T3</f>
        <v>0.1</v>
      </c>
      <c r="V3">
        <f>T3*3</f>
        <v>0.15000000000000002</v>
      </c>
      <c r="W3">
        <f>T3*4</f>
        <v>0.2</v>
      </c>
      <c r="X3">
        <f>T3 * 5</f>
        <v>0.25</v>
      </c>
    </row>
    <row r="4" spans="1:26" x14ac:dyDescent="0.3">
      <c r="A4">
        <v>176497</v>
      </c>
      <c r="B4">
        <v>109</v>
      </c>
      <c r="C4">
        <f t="shared" si="0"/>
        <v>10.440306508910551</v>
      </c>
      <c r="H4" t="s">
        <v>8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S4" t="s">
        <v>8</v>
      </c>
      <c r="T4" t="s">
        <v>4</v>
      </c>
      <c r="U4" t="s">
        <v>4</v>
      </c>
      <c r="V4" t="s">
        <v>4</v>
      </c>
      <c r="W4" t="s">
        <v>4</v>
      </c>
      <c r="X4" t="s">
        <v>4</v>
      </c>
    </row>
    <row r="5" spans="1:26" x14ac:dyDescent="0.3">
      <c r="A5">
        <v>176656</v>
      </c>
      <c r="B5">
        <v>84</v>
      </c>
      <c r="C5">
        <f t="shared" si="0"/>
        <v>9.1651513899116797</v>
      </c>
      <c r="H5">
        <v>1</v>
      </c>
      <c r="I5">
        <v>99449</v>
      </c>
      <c r="J5">
        <v>56540</v>
      </c>
      <c r="K5">
        <v>31269</v>
      </c>
      <c r="L5">
        <v>18510</v>
      </c>
      <c r="M5">
        <v>14582</v>
      </c>
      <c r="S5">
        <v>1</v>
      </c>
      <c r="T5">
        <v>86046</v>
      </c>
      <c r="U5">
        <v>36023</v>
      </c>
      <c r="V5">
        <v>17457</v>
      </c>
      <c r="W5">
        <v>10476</v>
      </c>
      <c r="X5">
        <v>5473</v>
      </c>
    </row>
    <row r="6" spans="1:26" x14ac:dyDescent="0.3">
      <c r="A6">
        <v>175339</v>
      </c>
      <c r="B6">
        <v>115</v>
      </c>
      <c r="C6">
        <f t="shared" si="0"/>
        <v>10.723805294763608</v>
      </c>
      <c r="H6">
        <v>2</v>
      </c>
      <c r="I6">
        <v>96660</v>
      </c>
      <c r="J6">
        <v>54889</v>
      </c>
      <c r="K6">
        <v>31046</v>
      </c>
      <c r="L6">
        <v>18576</v>
      </c>
      <c r="M6">
        <v>14382</v>
      </c>
      <c r="S6">
        <v>2</v>
      </c>
      <c r="T6">
        <v>83640</v>
      </c>
      <c r="U6">
        <v>36319</v>
      </c>
      <c r="V6">
        <v>17204</v>
      </c>
      <c r="W6">
        <v>10809</v>
      </c>
      <c r="X6">
        <v>5675</v>
      </c>
    </row>
    <row r="7" spans="1:26" x14ac:dyDescent="0.3">
      <c r="A7">
        <v>174979</v>
      </c>
      <c r="B7">
        <v>112</v>
      </c>
      <c r="C7">
        <f t="shared" si="0"/>
        <v>10.583005244258363</v>
      </c>
      <c r="H7">
        <v>3</v>
      </c>
      <c r="I7">
        <v>96237</v>
      </c>
      <c r="J7">
        <v>53871</v>
      </c>
      <c r="K7">
        <v>31583</v>
      </c>
      <c r="L7">
        <v>18396</v>
      </c>
      <c r="M7">
        <v>14727</v>
      </c>
      <c r="S7">
        <v>3</v>
      </c>
      <c r="T7">
        <v>82100</v>
      </c>
      <c r="U7">
        <v>35961</v>
      </c>
      <c r="V7">
        <v>17634</v>
      </c>
      <c r="W7">
        <v>11051</v>
      </c>
      <c r="X7">
        <v>5608</v>
      </c>
    </row>
    <row r="8" spans="1:26" x14ac:dyDescent="0.3">
      <c r="A8">
        <v>174326</v>
      </c>
      <c r="B8">
        <v>121</v>
      </c>
      <c r="C8">
        <f t="shared" si="0"/>
        <v>11</v>
      </c>
      <c r="H8">
        <v>4</v>
      </c>
      <c r="I8">
        <v>95878</v>
      </c>
      <c r="J8">
        <v>54345</v>
      </c>
      <c r="K8">
        <v>31274</v>
      </c>
      <c r="L8">
        <v>18532</v>
      </c>
      <c r="M8">
        <v>14302</v>
      </c>
      <c r="S8">
        <v>4</v>
      </c>
      <c r="T8">
        <v>81792</v>
      </c>
      <c r="U8">
        <v>35869</v>
      </c>
      <c r="V8">
        <v>18027</v>
      </c>
      <c r="W8">
        <v>10833</v>
      </c>
      <c r="X8">
        <v>5697</v>
      </c>
    </row>
    <row r="9" spans="1:26" x14ac:dyDescent="0.3">
      <c r="A9">
        <v>175246</v>
      </c>
      <c r="B9">
        <v>128</v>
      </c>
      <c r="C9">
        <f t="shared" si="0"/>
        <v>11.313708498984761</v>
      </c>
      <c r="I9" s="1">
        <f>AVERAGE(I5:I8)</f>
        <v>97056</v>
      </c>
      <c r="J9" s="1">
        <f t="shared" ref="J9:M9" si="1">AVERAGE(J5:J8)</f>
        <v>54911.25</v>
      </c>
      <c r="K9" s="1">
        <f t="shared" si="1"/>
        <v>31293</v>
      </c>
      <c r="L9" s="1">
        <f t="shared" si="1"/>
        <v>18503.5</v>
      </c>
      <c r="M9" s="1">
        <f t="shared" si="1"/>
        <v>14498.25</v>
      </c>
      <c r="T9" s="1">
        <f t="shared" ref="T9" si="2">AVERAGE(T5:T8)</f>
        <v>83394.5</v>
      </c>
      <c r="U9" s="1">
        <f t="shared" ref="U9" si="3">AVERAGE(U5:U8)</f>
        <v>36043</v>
      </c>
      <c r="V9" s="1">
        <f t="shared" ref="V9" si="4">AVERAGE(V5:V8)</f>
        <v>17580.5</v>
      </c>
      <c r="W9" s="1">
        <f t="shared" ref="W9" si="5">AVERAGE(W5:W8)</f>
        <v>10792.25</v>
      </c>
      <c r="X9" s="1">
        <f t="shared" ref="X9" si="6">AVERAGE(X5:X8)</f>
        <v>5613.25</v>
      </c>
    </row>
    <row r="10" spans="1:26" x14ac:dyDescent="0.3">
      <c r="A10">
        <v>175186</v>
      </c>
      <c r="B10">
        <v>138</v>
      </c>
      <c r="C10">
        <f t="shared" si="0"/>
        <v>11.74734012447073</v>
      </c>
      <c r="H10" t="s">
        <v>12</v>
      </c>
      <c r="I10">
        <f>LN(I9-$B$12)</f>
        <v>11.481897023337551</v>
      </c>
      <c r="J10">
        <f>LN(J9-$B$12)</f>
        <v>10.911446385344449</v>
      </c>
      <c r="K10">
        <f>LN(K9-$B$12)</f>
        <v>10.347589870259158</v>
      </c>
      <c r="L10">
        <f>LN(L9-$B$12)</f>
        <v>9.8196873777497444</v>
      </c>
      <c r="M10">
        <f>LN(M9-$B$12)</f>
        <v>9.5740837753906938</v>
      </c>
      <c r="S10" t="s">
        <v>12</v>
      </c>
      <c r="T10">
        <f>LN(T9-$B$12)</f>
        <v>11.330003327864016</v>
      </c>
      <c r="U10">
        <f t="shared" ref="U10:X10" si="7">LN(U9-$B$12)</f>
        <v>10.489377976264365</v>
      </c>
      <c r="V10">
        <f t="shared" si="7"/>
        <v>9.76820033363615</v>
      </c>
      <c r="W10">
        <f t="shared" si="7"/>
        <v>9.2762264222883637</v>
      </c>
      <c r="X10">
        <f t="shared" si="7"/>
        <v>8.6128760290477349</v>
      </c>
    </row>
    <row r="11" spans="1:26" x14ac:dyDescent="0.3">
      <c r="A11">
        <v>173851</v>
      </c>
      <c r="B11">
        <v>112</v>
      </c>
      <c r="C11">
        <f t="shared" si="0"/>
        <v>10.583005244258363</v>
      </c>
      <c r="D11" t="s">
        <v>11</v>
      </c>
      <c r="T11">
        <f>(SQRT(T5) + SQRT(T6) + SQRT(T7) + SQRT(T8))/4</f>
        <v>288.76644411304727</v>
      </c>
      <c r="U11">
        <f t="shared" ref="U11:X11" si="8">(SQRT(U5) + SQRT(U6) + SQRT(U7) + SQRT(U8))/4</f>
        <v>189.84942301127268</v>
      </c>
      <c r="V11">
        <f t="shared" si="8"/>
        <v>132.58667410974573</v>
      </c>
      <c r="W11">
        <f t="shared" si="8"/>
        <v>103.88102716432491</v>
      </c>
      <c r="X11">
        <f t="shared" si="8"/>
        <v>74.91934436979362</v>
      </c>
    </row>
    <row r="12" spans="1:26" x14ac:dyDescent="0.3">
      <c r="A12">
        <f>AVERAGE(A2:A11)</f>
        <v>175354.3</v>
      </c>
      <c r="B12">
        <f>AVERAGE(B2:B11)</f>
        <v>111.2</v>
      </c>
      <c r="C12">
        <f>SQRT(DEVSQ(B2:B11)/90)</f>
        <v>5.1094683350292591</v>
      </c>
    </row>
    <row r="13" spans="1:26" x14ac:dyDescent="0.3">
      <c r="H13" t="s">
        <v>13</v>
      </c>
      <c r="I13" t="s">
        <v>14</v>
      </c>
      <c r="J13" t="s">
        <v>15</v>
      </c>
      <c r="K13" t="s">
        <v>16</v>
      </c>
      <c r="L13" t="s">
        <v>17</v>
      </c>
      <c r="M13" t="s">
        <v>18</v>
      </c>
      <c r="N13" t="s">
        <v>12</v>
      </c>
      <c r="O13" t="s">
        <v>18</v>
      </c>
      <c r="P13" t="s">
        <v>20</v>
      </c>
      <c r="Q13" t="s">
        <v>21</v>
      </c>
      <c r="R13" t="s">
        <v>19</v>
      </c>
      <c r="S13" t="s">
        <v>22</v>
      </c>
    </row>
    <row r="14" spans="1:26" x14ac:dyDescent="0.3">
      <c r="B14" t="s">
        <v>10</v>
      </c>
      <c r="C14" t="s">
        <v>6</v>
      </c>
      <c r="D14">
        <v>1.99</v>
      </c>
      <c r="E14" t="s">
        <v>7</v>
      </c>
      <c r="F14">
        <v>0.05</v>
      </c>
      <c r="G14">
        <f>H14/10</f>
        <v>2</v>
      </c>
      <c r="H14" s="4">
        <v>20</v>
      </c>
      <c r="I14">
        <f>I3</f>
        <v>0.05</v>
      </c>
      <c r="J14" s="6">
        <f>I9</f>
        <v>97056</v>
      </c>
      <c r="K14" s="6">
        <f>SQRT(DEVSQ(I5:I8)/12)</f>
        <v>813.51654357281916</v>
      </c>
      <c r="L14" s="6">
        <f>J14-$B$12</f>
        <v>96944.8</v>
      </c>
      <c r="M14" s="6">
        <f>SQRT(SUMSQ(K14,$C$12))</f>
        <v>813.53258898051115</v>
      </c>
      <c r="N14" s="5">
        <f>LN(L14)</f>
        <v>11.481897023337551</v>
      </c>
      <c r="O14" s="5">
        <f>M14/L14</f>
        <v>8.3917093952487511E-3</v>
      </c>
      <c r="P14">
        <f>_xlfn.COVARIANCE.P(G14:G18,N14:N18)/_xlfn.VAR.P(G14:G18)</f>
        <v>-0.24536927517442092</v>
      </c>
      <c r="Q14">
        <f>SQRT(_xlfn.VAR.P(N14:N18)/_xlfn.VAR.P(G14:G18) - P14* P14)/SQRT(5)</f>
        <v>1.4466070771732054E-2</v>
      </c>
      <c r="R14" s="5">
        <f>-P14</f>
        <v>0.24536927517442092</v>
      </c>
      <c r="S14" s="5">
        <f>Q14</f>
        <v>1.4466070771732054E-2</v>
      </c>
    </row>
    <row r="15" spans="1:26" x14ac:dyDescent="0.3">
      <c r="B15">
        <f>D14*10</f>
        <v>19.899999999999999</v>
      </c>
      <c r="C15">
        <f>2*B15</f>
        <v>39.799999999999997</v>
      </c>
      <c r="D15">
        <f>B15*3</f>
        <v>59.699999999999996</v>
      </c>
      <c r="G15">
        <f t="shared" ref="G15:G18" si="9">H15/10</f>
        <v>4</v>
      </c>
      <c r="H15" s="3">
        <v>40</v>
      </c>
      <c r="I15">
        <f>I14+$I$14</f>
        <v>0.1</v>
      </c>
      <c r="J15" s="6">
        <f>J9</f>
        <v>54911.25</v>
      </c>
      <c r="K15" s="6">
        <f>SQRT(DEVSQ(J5:J8)/12)</f>
        <v>581.38346138041004</v>
      </c>
      <c r="L15" s="6">
        <f t="shared" ref="L15:L18" si="10">J15-$B$12</f>
        <v>54800.05</v>
      </c>
      <c r="M15" s="6">
        <f t="shared" ref="M15:M18" si="11">SQRT(SUMSQ(K15,$C$12))</f>
        <v>581.40591313929156</v>
      </c>
      <c r="N15" s="5">
        <f t="shared" ref="N15:N18" si="12">LN(L15)</f>
        <v>10.911446385344449</v>
      </c>
      <c r="O15" s="5">
        <f t="shared" ref="O15:O18" si="13">M15/L15</f>
        <v>1.0609587274816201E-2</v>
      </c>
      <c r="V15" t="s">
        <v>5</v>
      </c>
      <c r="W15" t="s">
        <v>6</v>
      </c>
      <c r="X15">
        <v>1</v>
      </c>
      <c r="Y15" t="s">
        <v>7</v>
      </c>
      <c r="Z15">
        <v>0.1</v>
      </c>
    </row>
    <row r="16" spans="1:26" x14ac:dyDescent="0.3">
      <c r="A16" t="s">
        <v>8</v>
      </c>
      <c r="B16" t="s">
        <v>4</v>
      </c>
      <c r="C16" t="s">
        <v>4</v>
      </c>
      <c r="D16" t="s">
        <v>4</v>
      </c>
      <c r="G16">
        <f t="shared" si="9"/>
        <v>6</v>
      </c>
      <c r="H16" s="4">
        <v>60</v>
      </c>
      <c r="I16">
        <f t="shared" ref="I16:I18" si="14">I15+$I$14</f>
        <v>0.15000000000000002</v>
      </c>
      <c r="J16" s="6">
        <f>K9</f>
        <v>31293</v>
      </c>
      <c r="K16" s="6">
        <f>SQRT(DEVSQ(K5:K8)/12)</f>
        <v>110.31998912255204</v>
      </c>
      <c r="L16" s="6">
        <f t="shared" si="10"/>
        <v>31181.8</v>
      </c>
      <c r="M16" s="6">
        <f t="shared" si="11"/>
        <v>110.4382482053508</v>
      </c>
      <c r="N16" s="5">
        <f t="shared" si="12"/>
        <v>10.347589870259158</v>
      </c>
      <c r="O16" s="5">
        <f t="shared" si="13"/>
        <v>3.5417534653339705E-3</v>
      </c>
      <c r="P16" t="s">
        <v>23</v>
      </c>
      <c r="Q16">
        <v>2.7</v>
      </c>
      <c r="R16" t="s">
        <v>18</v>
      </c>
      <c r="S16">
        <v>0.1</v>
      </c>
      <c r="U16" t="s">
        <v>3</v>
      </c>
      <c r="V16">
        <f>X15*10</f>
        <v>10</v>
      </c>
      <c r="W16">
        <f xml:space="preserve"> 2 *V16</f>
        <v>20</v>
      </c>
      <c r="X16">
        <f>V16*3</f>
        <v>30</v>
      </c>
      <c r="Y16">
        <f>V16*4</f>
        <v>40</v>
      </c>
      <c r="Z16">
        <f>V16 * 5</f>
        <v>50</v>
      </c>
    </row>
    <row r="17" spans="1:26" x14ac:dyDescent="0.3">
      <c r="A17">
        <v>1</v>
      </c>
      <c r="B17">
        <v>180252</v>
      </c>
      <c r="C17">
        <v>168047</v>
      </c>
      <c r="D17">
        <v>161133</v>
      </c>
      <c r="G17">
        <f t="shared" si="9"/>
        <v>8</v>
      </c>
      <c r="H17" s="3">
        <v>80</v>
      </c>
      <c r="I17">
        <f t="shared" si="14"/>
        <v>0.2</v>
      </c>
      <c r="J17" s="6">
        <f>L9</f>
        <v>18503.5</v>
      </c>
      <c r="K17" s="6">
        <f>SQRT(DEVSQ(L5:L8)/12)</f>
        <v>38.369910085899342</v>
      </c>
      <c r="L17" s="6">
        <f t="shared" si="10"/>
        <v>18392.3</v>
      </c>
      <c r="M17" s="6">
        <f t="shared" si="11"/>
        <v>38.708612306135009</v>
      </c>
      <c r="N17" s="5">
        <f t="shared" si="12"/>
        <v>9.8196873777497444</v>
      </c>
      <c r="O17" s="5">
        <f t="shared" si="13"/>
        <v>2.1046096630728626E-3</v>
      </c>
      <c r="V17">
        <f>Z15</f>
        <v>0.1</v>
      </c>
      <c r="W17">
        <f xml:space="preserve"> 2 *V17</f>
        <v>0.2</v>
      </c>
      <c r="X17">
        <f>V17*3</f>
        <v>0.30000000000000004</v>
      </c>
      <c r="Y17">
        <f>V17*4</f>
        <v>0.4</v>
      </c>
      <c r="Z17">
        <f>V17 * 5</f>
        <v>0.5</v>
      </c>
    </row>
    <row r="18" spans="1:26" x14ac:dyDescent="0.3">
      <c r="A18">
        <v>2</v>
      </c>
      <c r="B18">
        <v>180248</v>
      </c>
      <c r="C18">
        <v>168313</v>
      </c>
      <c r="D18">
        <v>161073</v>
      </c>
      <c r="G18">
        <f t="shared" si="9"/>
        <v>10</v>
      </c>
      <c r="H18" s="3">
        <v>100</v>
      </c>
      <c r="I18" s="3">
        <f t="shared" si="14"/>
        <v>0.25</v>
      </c>
      <c r="J18" s="6">
        <f>M9</f>
        <v>14498.25</v>
      </c>
      <c r="K18" s="6">
        <f>SQRT(DEVSQ(M5:M8)/12)</f>
        <v>96.336541180730933</v>
      </c>
      <c r="L18" s="6">
        <f t="shared" si="10"/>
        <v>14387.05</v>
      </c>
      <c r="M18" s="6">
        <f t="shared" si="11"/>
        <v>96.471943244309813</v>
      </c>
      <c r="N18" s="5">
        <f t="shared" si="12"/>
        <v>9.5740837753906938</v>
      </c>
      <c r="O18" s="5">
        <f t="shared" si="13"/>
        <v>6.7054707701933213E-3</v>
      </c>
      <c r="P18" t="s">
        <v>24</v>
      </c>
      <c r="Q18" s="5">
        <f>R14/Q16</f>
        <v>9.0877509323859587E-2</v>
      </c>
      <c r="R18" t="s">
        <v>18</v>
      </c>
      <c r="S18" s="5">
        <f>SQRT(SUMSQ(S14/Q16,R14*S16/Q16^2))</f>
        <v>6.3273138014989854E-3</v>
      </c>
      <c r="U18" t="s">
        <v>8</v>
      </c>
      <c r="V18" t="s">
        <v>4</v>
      </c>
      <c r="W18" t="s">
        <v>4</v>
      </c>
      <c r="X18" t="s">
        <v>4</v>
      </c>
      <c r="Y18" t="s">
        <v>4</v>
      </c>
      <c r="Z18" t="s">
        <v>4</v>
      </c>
    </row>
    <row r="19" spans="1:26" x14ac:dyDescent="0.3">
      <c r="A19">
        <v>3</v>
      </c>
      <c r="B19">
        <v>177296</v>
      </c>
      <c r="C19">
        <v>166665</v>
      </c>
      <c r="D19">
        <v>160431</v>
      </c>
      <c r="U19">
        <v>1</v>
      </c>
      <c r="V19">
        <v>86060</v>
      </c>
      <c r="W19">
        <v>36751</v>
      </c>
      <c r="X19">
        <v>17420</v>
      </c>
      <c r="Y19">
        <v>10915</v>
      </c>
      <c r="Z19">
        <v>5597</v>
      </c>
    </row>
    <row r="20" spans="1:26" x14ac:dyDescent="0.3">
      <c r="A20">
        <v>4</v>
      </c>
      <c r="B20">
        <v>175960</v>
      </c>
      <c r="C20">
        <v>166630</v>
      </c>
      <c r="D20">
        <v>161017</v>
      </c>
      <c r="U20">
        <v>2</v>
      </c>
      <c r="V20">
        <v>83472</v>
      </c>
      <c r="W20">
        <v>36381</v>
      </c>
      <c r="X20">
        <v>17523</v>
      </c>
      <c r="Y20">
        <v>10607</v>
      </c>
      <c r="Z20">
        <v>5382</v>
      </c>
    </row>
    <row r="21" spans="1:26" x14ac:dyDescent="0.3">
      <c r="B21" s="1">
        <f t="shared" ref="B21" si="15">AVERAGE(B17:B20)</f>
        <v>178439</v>
      </c>
      <c r="C21" s="1">
        <f t="shared" ref="C21" si="16">AVERAGE(C17:C20)</f>
        <v>167413.75</v>
      </c>
      <c r="D21" s="1">
        <f t="shared" ref="D21" si="17">AVERAGE(D17:D20)</f>
        <v>160913.5</v>
      </c>
      <c r="E21" s="2"/>
      <c r="F21" s="2"/>
      <c r="H21" t="s">
        <v>13</v>
      </c>
      <c r="I21" t="s">
        <v>14</v>
      </c>
      <c r="J21" t="s">
        <v>15</v>
      </c>
      <c r="K21" t="s">
        <v>16</v>
      </c>
      <c r="L21" t="s">
        <v>17</v>
      </c>
      <c r="M21" t="s">
        <v>18</v>
      </c>
      <c r="N21" t="s">
        <v>12</v>
      </c>
      <c r="O21" t="s">
        <v>18</v>
      </c>
      <c r="P21" t="s">
        <v>20</v>
      </c>
      <c r="Q21" t="s">
        <v>21</v>
      </c>
      <c r="R21" t="s">
        <v>19</v>
      </c>
      <c r="S21" t="s">
        <v>22</v>
      </c>
      <c r="U21">
        <v>3</v>
      </c>
      <c r="V21">
        <v>82578</v>
      </c>
      <c r="W21">
        <v>37014</v>
      </c>
      <c r="X21">
        <v>17256</v>
      </c>
      <c r="Y21">
        <v>10522</v>
      </c>
      <c r="Z21">
        <v>5410</v>
      </c>
    </row>
    <row r="22" spans="1:26" x14ac:dyDescent="0.3">
      <c r="B22">
        <f>LN(B21-$B$12)</f>
        <v>12.091378708691272</v>
      </c>
      <c r="C22">
        <f t="shared" ref="C22:D22" si="18">LN(C21-$B$12)</f>
        <v>12.027559128938851</v>
      </c>
      <c r="D22">
        <f t="shared" si="18"/>
        <v>11.987930939107295</v>
      </c>
      <c r="G22">
        <f>H22/10</f>
        <v>0.46500000000000002</v>
      </c>
      <c r="H22" s="4">
        <v>4.6500000000000004</v>
      </c>
      <c r="I22">
        <f>X1</f>
        <v>0.05</v>
      </c>
      <c r="J22" s="6">
        <f>T9</f>
        <v>83394.5</v>
      </c>
      <c r="K22" s="6">
        <f>SQRT(DEVSQ(T5:T8)/12)</f>
        <v>971.87357716937652</v>
      </c>
      <c r="L22" s="6">
        <f>J22-$B$12</f>
        <v>83283.3</v>
      </c>
      <c r="M22" s="6">
        <f>SQRT(SUMSQ(K22,$C$12))</f>
        <v>971.88700817876293</v>
      </c>
      <c r="N22" s="5">
        <f>LN(L22)</f>
        <v>11.330003327864016</v>
      </c>
      <c r="O22" s="5">
        <f>M22/L22</f>
        <v>1.1669650556339181E-2</v>
      </c>
      <c r="P22">
        <f>_xlfn.COVARIANCE.P(G22:G26,N22:N26)/_xlfn.VAR.P(G22:G26)</f>
        <v>-1.429549710023347</v>
      </c>
      <c r="Q22">
        <f>SQRT(_xlfn.VAR.P(N22:N26)/_xlfn.VAR.P(G22:G26) - P22* P22)/SQRT(5)</f>
        <v>5.8119512567118614E-2</v>
      </c>
      <c r="R22">
        <f>-P22</f>
        <v>1.429549710023347</v>
      </c>
      <c r="S22">
        <f>Q22</f>
        <v>5.8119512567118614E-2</v>
      </c>
      <c r="U22">
        <v>4</v>
      </c>
      <c r="V22">
        <v>82562</v>
      </c>
      <c r="W22">
        <v>36130</v>
      </c>
      <c r="X22">
        <v>17471</v>
      </c>
      <c r="Y22">
        <v>10553</v>
      </c>
      <c r="Z22">
        <v>5555</v>
      </c>
    </row>
    <row r="23" spans="1:26" x14ac:dyDescent="0.3">
      <c r="B23">
        <f>(SQRT(B17) + SQRT(B18) + SQRT(B19) + SQRT(B20))/4</f>
        <v>422.41459190727431</v>
      </c>
      <c r="C23">
        <f t="shared" ref="C23:D23" si="19">(SQRT(C17) + SQRT(C18) + SQRT(C19) + SQRT(C20))/4</f>
        <v>409.16116613063099</v>
      </c>
      <c r="D23">
        <f t="shared" si="19"/>
        <v>401.14009610613527</v>
      </c>
      <c r="G23">
        <f t="shared" ref="G23:G26" si="20">H23/10</f>
        <v>0.93</v>
      </c>
      <c r="H23" s="3">
        <v>9.3000000000000007</v>
      </c>
      <c r="I23">
        <f>I22+$I$14</f>
        <v>0.1</v>
      </c>
      <c r="J23" s="6">
        <f>U9</f>
        <v>36043</v>
      </c>
      <c r="K23" s="6">
        <f>SQRT(DEVSQ(U5:U8)/12)</f>
        <v>97.28651842196156</v>
      </c>
      <c r="L23" s="6">
        <f t="shared" ref="L23:L26" si="21">J23-$B$12</f>
        <v>35931.800000000003</v>
      </c>
      <c r="M23" s="6">
        <f t="shared" ref="M23:M26" si="22">SQRT(SUMSQ(K23,$C$12))</f>
        <v>97.420600148702292</v>
      </c>
      <c r="N23" s="5">
        <f t="shared" ref="N23:N26" si="23">LN(L23)</f>
        <v>10.489377976264365</v>
      </c>
      <c r="O23" s="5">
        <f t="shared" ref="O23:O26" si="24">M23/L23</f>
        <v>2.7112641211601502E-3</v>
      </c>
      <c r="V23" s="1">
        <f t="shared" ref="V23" si="25">AVERAGE(V19:V22)</f>
        <v>83668</v>
      </c>
      <c r="W23" s="1">
        <f t="shared" ref="W23" si="26">AVERAGE(W19:W22)</f>
        <v>36569</v>
      </c>
      <c r="X23" s="1">
        <f t="shared" ref="X23" si="27">AVERAGE(X19:X22)</f>
        <v>17417.5</v>
      </c>
      <c r="Y23" s="1">
        <f t="shared" ref="Y23:Z23" si="28">AVERAGE(Y19:Y22)</f>
        <v>10649.25</v>
      </c>
      <c r="Z23" s="1">
        <f t="shared" si="28"/>
        <v>5486</v>
      </c>
    </row>
    <row r="24" spans="1:26" x14ac:dyDescent="0.3">
      <c r="G24">
        <f t="shared" si="20"/>
        <v>1.395</v>
      </c>
      <c r="H24" s="4">
        <v>13.95</v>
      </c>
      <c r="I24">
        <f t="shared" ref="I24:I26" si="29">I23+$I$14</f>
        <v>0.15000000000000002</v>
      </c>
      <c r="J24" s="6">
        <f>V9</f>
        <v>17580.5</v>
      </c>
      <c r="K24" s="6">
        <f>SQRT(DEVSQ(V5:V8)/12)</f>
        <v>173.01950757067829</v>
      </c>
      <c r="L24" s="6">
        <f t="shared" si="21"/>
        <v>17469.3</v>
      </c>
      <c r="M24" s="6">
        <f t="shared" si="22"/>
        <v>173.09493541599264</v>
      </c>
      <c r="N24" s="5">
        <f t="shared" si="23"/>
        <v>9.76820033363615</v>
      </c>
      <c r="O24" s="5">
        <f t="shared" si="24"/>
        <v>9.9085215444232252E-3</v>
      </c>
      <c r="P24" t="s">
        <v>23</v>
      </c>
      <c r="Q24">
        <v>11.337</v>
      </c>
      <c r="R24" t="s">
        <v>18</v>
      </c>
      <c r="S24">
        <v>1E-3</v>
      </c>
      <c r="U24" t="s">
        <v>12</v>
      </c>
      <c r="V24">
        <f>LN(V23-$B$12)</f>
        <v>11.33328191910187</v>
      </c>
      <c r="W24">
        <f t="shared" ref="W24:Z24" si="30">LN(W23-$B$12)</f>
        <v>10.503910706313379</v>
      </c>
      <c r="X24">
        <f t="shared" si="30"/>
        <v>9.7588258760447477</v>
      </c>
      <c r="Y24">
        <f t="shared" si="30"/>
        <v>9.26274779549132</v>
      </c>
      <c r="Z24">
        <f t="shared" si="30"/>
        <v>8.5894766430012552</v>
      </c>
    </row>
    <row r="25" spans="1:26" x14ac:dyDescent="0.3">
      <c r="G25">
        <f t="shared" si="20"/>
        <v>1.86</v>
      </c>
      <c r="H25" s="3">
        <v>18.600000000000001</v>
      </c>
      <c r="I25">
        <f t="shared" si="29"/>
        <v>0.2</v>
      </c>
      <c r="J25" s="6">
        <f>W9</f>
        <v>10792.25</v>
      </c>
      <c r="K25" s="6">
        <f>SQRT(DEVSQ(W5:W8)/12)</f>
        <v>118.64047580821648</v>
      </c>
      <c r="L25" s="6">
        <f t="shared" si="21"/>
        <v>10681.05</v>
      </c>
      <c r="M25" s="6">
        <f t="shared" si="22"/>
        <v>118.75044912195771</v>
      </c>
      <c r="N25" s="5">
        <f t="shared" si="23"/>
        <v>9.2762264222883637</v>
      </c>
      <c r="O25" s="5">
        <f t="shared" si="24"/>
        <v>1.1117862861980585E-2</v>
      </c>
      <c r="V25">
        <f>(SQRT(V19) + SQRT(V20) + SQRT(V21) + SQRT(V22))/4</f>
        <v>289.24374519660012</v>
      </c>
      <c r="W25">
        <f t="shared" ref="W25:Z25" si="31">(SQRT(W19) + SQRT(W20) + SQRT(W21) + SQRT(W22))/4</f>
        <v>191.22817574535065</v>
      </c>
      <c r="X25">
        <f t="shared" si="31"/>
        <v>131.97483046266944</v>
      </c>
      <c r="Y25">
        <f t="shared" si="31"/>
        <v>103.19244107945373</v>
      </c>
      <c r="Z25">
        <f t="shared" si="31"/>
        <v>74.064947647871691</v>
      </c>
    </row>
    <row r="26" spans="1:26" x14ac:dyDescent="0.3">
      <c r="G26">
        <f t="shared" si="20"/>
        <v>2.3250000000000002</v>
      </c>
      <c r="H26" s="3">
        <v>23.25</v>
      </c>
      <c r="I26" s="3">
        <f t="shared" si="29"/>
        <v>0.25</v>
      </c>
      <c r="J26" s="6">
        <f>X9</f>
        <v>5613.25</v>
      </c>
      <c r="K26" s="6">
        <f>SQRT(DEVSQ(X5:X8)/12)</f>
        <v>50.435395970158361</v>
      </c>
      <c r="L26" s="6">
        <f t="shared" si="21"/>
        <v>5502.05</v>
      </c>
      <c r="M26" s="6">
        <f t="shared" si="22"/>
        <v>50.693548241697705</v>
      </c>
      <c r="N26" s="5">
        <f t="shared" si="23"/>
        <v>8.6128760290477349</v>
      </c>
      <c r="O26" s="5">
        <f t="shared" si="24"/>
        <v>9.2135746206773294E-3</v>
      </c>
      <c r="P26" t="s">
        <v>24</v>
      </c>
      <c r="Q26" s="5">
        <f>R22/Q24</f>
        <v>0.12609594337332161</v>
      </c>
      <c r="R26" t="s">
        <v>18</v>
      </c>
      <c r="S26" s="5">
        <f>SQRT(SUMSQ(S22/Q24,R22*S24/Q24^2))</f>
        <v>5.1265457665760879E-3</v>
      </c>
    </row>
    <row r="28" spans="1:26" x14ac:dyDescent="0.3">
      <c r="A28" t="s">
        <v>25</v>
      </c>
      <c r="D28" t="s">
        <v>26</v>
      </c>
    </row>
    <row r="29" spans="1:26" x14ac:dyDescent="0.3">
      <c r="A29">
        <v>0.4</v>
      </c>
      <c r="B29">
        <v>0.6</v>
      </c>
      <c r="C29">
        <v>0.5</v>
      </c>
      <c r="D29">
        <v>0.5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18</v>
      </c>
      <c r="N29" t="s">
        <v>12</v>
      </c>
      <c r="O29" t="s">
        <v>18</v>
      </c>
      <c r="P29" t="s">
        <v>20</v>
      </c>
      <c r="Q29" t="s">
        <v>21</v>
      </c>
      <c r="R29" t="s">
        <v>19</v>
      </c>
      <c r="S29" t="s">
        <v>22</v>
      </c>
    </row>
    <row r="30" spans="1:26" x14ac:dyDescent="0.3">
      <c r="G30">
        <f>H30/10</f>
        <v>1</v>
      </c>
      <c r="H30" s="3">
        <v>10</v>
      </c>
      <c r="I30">
        <f>Z15</f>
        <v>0.1</v>
      </c>
      <c r="J30" s="6">
        <f>V23</f>
        <v>83668</v>
      </c>
      <c r="K30" s="6">
        <f>SQRT(DEVSQ(V19:V22)/12)</f>
        <v>825.19775407676275</v>
      </c>
      <c r="L30" s="6">
        <f>J30-$B$12</f>
        <v>83556.800000000003</v>
      </c>
      <c r="M30" s="6">
        <f>SQRT(SUMSQ(K30,$C$12))</f>
        <v>825.21357235566609</v>
      </c>
      <c r="N30" s="5">
        <f>LN(L30)</f>
        <v>11.33328191910187</v>
      </c>
      <c r="O30" s="5">
        <f>M30/L30</f>
        <v>9.8760791743540445E-3</v>
      </c>
      <c r="P30">
        <f>_xlfn.COVARIANCE.P(G30:G34,N30:N34)/_xlfn.VAR.P(G30:G34)</f>
        <v>-0.67287734630232876</v>
      </c>
      <c r="Q30">
        <f>SQRT(_xlfn.VAR.P(N30:N34)/_xlfn.VAR.P(G30:G34) - P30* P30)/SQRT(5)</f>
        <v>2.6200070674574763E-2</v>
      </c>
      <c r="R30">
        <f>-P30</f>
        <v>0.67287734630232876</v>
      </c>
      <c r="S30">
        <f>Q30</f>
        <v>2.6200070674574763E-2</v>
      </c>
    </row>
    <row r="31" spans="1:26" x14ac:dyDescent="0.3">
      <c r="G31">
        <f t="shared" ref="G31:G34" si="32">H31/10</f>
        <v>2</v>
      </c>
      <c r="H31" s="3">
        <v>20</v>
      </c>
      <c r="I31">
        <f>I30+$Z$15</f>
        <v>0.2</v>
      </c>
      <c r="J31" s="6">
        <f>W23</f>
        <v>36569</v>
      </c>
      <c r="K31" s="6">
        <f>SQRT(DEVSQ(W19:W22)/12)</f>
        <v>195.62165865091046</v>
      </c>
      <c r="L31" s="6">
        <f t="shared" ref="L31:L34" si="33">J31-$B$12</f>
        <v>36457.800000000003</v>
      </c>
      <c r="M31" s="6">
        <f t="shared" ref="M31:M34" si="34">SQRT(SUMSQ(K31,$C$12))</f>
        <v>195.68837471858157</v>
      </c>
      <c r="N31" s="5">
        <f t="shared" ref="N31:N34" si="35">LN(L31)</f>
        <v>10.503910706313379</v>
      </c>
      <c r="O31" s="5">
        <f t="shared" ref="O31:O34" si="36">M31/L31</f>
        <v>5.367531083021509E-3</v>
      </c>
    </row>
    <row r="32" spans="1:26" x14ac:dyDescent="0.3">
      <c r="G32">
        <f t="shared" si="32"/>
        <v>3</v>
      </c>
      <c r="H32" s="3">
        <v>30</v>
      </c>
      <c r="I32">
        <f t="shared" ref="I32:I34" si="37">I31+$Z$15</f>
        <v>0.30000000000000004</v>
      </c>
      <c r="J32" s="6">
        <f>X23</f>
        <v>17417.5</v>
      </c>
      <c r="K32" s="6">
        <f>SQRT(DEVSQ(X19:X22)/12)</f>
        <v>57.793454069931947</v>
      </c>
      <c r="L32" s="6">
        <f t="shared" si="33"/>
        <v>17306.3</v>
      </c>
      <c r="M32" s="6">
        <f t="shared" si="34"/>
        <v>58.018876238686317</v>
      </c>
      <c r="N32" s="5">
        <f t="shared" si="35"/>
        <v>9.7588258760447477</v>
      </c>
      <c r="O32" s="5">
        <f t="shared" si="36"/>
        <v>3.3524714259365851E-3</v>
      </c>
      <c r="P32" t="s">
        <v>23</v>
      </c>
      <c r="Q32">
        <v>7.85</v>
      </c>
      <c r="R32" t="s">
        <v>18</v>
      </c>
      <c r="S32">
        <v>0.01</v>
      </c>
    </row>
    <row r="33" spans="7:19" x14ac:dyDescent="0.3">
      <c r="G33">
        <f t="shared" si="32"/>
        <v>4</v>
      </c>
      <c r="H33" s="3">
        <v>40</v>
      </c>
      <c r="I33">
        <f t="shared" si="37"/>
        <v>0.4</v>
      </c>
      <c r="J33" s="6">
        <f>Y23</f>
        <v>10649.25</v>
      </c>
      <c r="K33" s="6">
        <f>SQRT(DEVSQ(Y19:Y22)/12)</f>
        <v>90.307230238410767</v>
      </c>
      <c r="L33" s="6">
        <f t="shared" si="33"/>
        <v>10538.05</v>
      </c>
      <c r="M33" s="6">
        <f t="shared" si="34"/>
        <v>90.451658359590056</v>
      </c>
      <c r="N33" s="5">
        <f t="shared" si="35"/>
        <v>9.26274779549132</v>
      </c>
      <c r="O33" s="5">
        <f t="shared" si="36"/>
        <v>8.583339266713487E-3</v>
      </c>
    </row>
    <row r="34" spans="7:19" x14ac:dyDescent="0.3">
      <c r="G34">
        <f t="shared" si="32"/>
        <v>5</v>
      </c>
      <c r="H34" s="3">
        <v>50</v>
      </c>
      <c r="I34">
        <f t="shared" si="37"/>
        <v>0.5</v>
      </c>
      <c r="J34" s="6">
        <f>Z23</f>
        <v>5486</v>
      </c>
      <c r="K34" s="6">
        <f>SQRT(DEVSQ(Z19:Z22)/12)</f>
        <v>52.973263696573071</v>
      </c>
      <c r="L34" s="6">
        <f t="shared" si="33"/>
        <v>5374.8</v>
      </c>
      <c r="M34" s="6">
        <f t="shared" si="34"/>
        <v>53.219106844566014</v>
      </c>
      <c r="N34" s="5">
        <f t="shared" si="35"/>
        <v>8.5894766430012552</v>
      </c>
      <c r="O34" s="5">
        <f t="shared" si="36"/>
        <v>9.9015976119234232E-3</v>
      </c>
      <c r="P34" t="s">
        <v>24</v>
      </c>
      <c r="Q34" s="5">
        <f>R30/Q32</f>
        <v>8.5716859401570547E-2</v>
      </c>
      <c r="R34" t="s">
        <v>18</v>
      </c>
      <c r="S34" s="5">
        <f>SQRT(SUMSQ(S30/Q32,R30*S32/Q32^2))</f>
        <v>3.3393743444899838E-3</v>
      </c>
    </row>
    <row r="37" spans="7:19" x14ac:dyDescent="0.3">
      <c r="H37" t="s">
        <v>13</v>
      </c>
      <c r="I37" t="s">
        <v>14</v>
      </c>
      <c r="J37" t="s">
        <v>15</v>
      </c>
      <c r="K37" t="s">
        <v>16</v>
      </c>
      <c r="L37" t="s">
        <v>17</v>
      </c>
      <c r="M37" t="s">
        <v>18</v>
      </c>
      <c r="N37" t="s">
        <v>12</v>
      </c>
      <c r="O37" t="s">
        <v>18</v>
      </c>
      <c r="P37" t="s">
        <v>20</v>
      </c>
      <c r="Q37" t="s">
        <v>21</v>
      </c>
      <c r="R37" t="s">
        <v>19</v>
      </c>
      <c r="S37" t="s">
        <v>22</v>
      </c>
    </row>
    <row r="38" spans="7:19" x14ac:dyDescent="0.3">
      <c r="G38">
        <f>H38/10</f>
        <v>1.9899999999999998</v>
      </c>
      <c r="H38" s="4">
        <v>19.899999999999999</v>
      </c>
      <c r="I38">
        <f>F14</f>
        <v>0.05</v>
      </c>
      <c r="J38" s="6">
        <f>B21</f>
        <v>178439</v>
      </c>
      <c r="K38" s="6">
        <f>SQRT(DEVSQ(B17:B20)/12)</f>
        <v>1080.5608111840197</v>
      </c>
      <c r="L38" s="6">
        <f>J38-$B$12</f>
        <v>178327.8</v>
      </c>
      <c r="M38" s="6">
        <f>SQRT(SUMSQ(K38,$C$12))</f>
        <v>1080.5728912633951</v>
      </c>
      <c r="N38" s="5">
        <f>LN(L38)</f>
        <v>12.091378708691272</v>
      </c>
      <c r="O38" s="5">
        <f>M38/L38</f>
        <v>6.0594752543540334E-3</v>
      </c>
      <c r="P38">
        <f>_xlfn.COVARIANCE.P(G38:G42,N38:N42)/_xlfn.VAR.P(G38:G42)</f>
        <v>-2.599190190552161E-2</v>
      </c>
      <c r="Q38">
        <f>SQRT(_xlfn.VAR.P(N38:N42)/_xlfn.VAR.P(G38:G42) - P38* P38)/SQRT(5)</f>
        <v>1.5693944771377744E-3</v>
      </c>
      <c r="R38">
        <f>-P38</f>
        <v>2.599190190552161E-2</v>
      </c>
      <c r="S38">
        <f>Q38</f>
        <v>1.5693944771377744E-3</v>
      </c>
    </row>
    <row r="39" spans="7:19" x14ac:dyDescent="0.3">
      <c r="G39">
        <f t="shared" ref="G39:G40" si="38">H39/10</f>
        <v>3.9799999999999995</v>
      </c>
      <c r="H39" s="3">
        <v>39.799999999999997</v>
      </c>
      <c r="I39">
        <f>I38+$I$14</f>
        <v>0.1</v>
      </c>
      <c r="J39" s="6">
        <f>C21</f>
        <v>167413.75</v>
      </c>
      <c r="K39" s="6">
        <f>SQRT(DEVSQ(C17:C20)/12)</f>
        <v>445.77149882722051</v>
      </c>
      <c r="L39" s="6">
        <f t="shared" ref="L39:L40" si="39">J39-$B$12</f>
        <v>167302.54999999999</v>
      </c>
      <c r="M39" s="6">
        <f t="shared" ref="M39:M40" si="40">SQRT(SUMSQ(K39,$C$12))</f>
        <v>445.80078043149871</v>
      </c>
      <c r="N39" s="5">
        <f t="shared" ref="N39:N40" si="41">LN(L39)</f>
        <v>12.027559128938851</v>
      </c>
      <c r="O39" s="5">
        <f t="shared" ref="O39:O40" si="42">M39/L39</f>
        <v>2.6646382881282964E-3</v>
      </c>
    </row>
    <row r="40" spans="7:19" x14ac:dyDescent="0.3">
      <c r="G40">
        <f t="shared" si="38"/>
        <v>5.9700000000000006</v>
      </c>
      <c r="H40" s="4">
        <v>59.7</v>
      </c>
      <c r="I40">
        <f t="shared" ref="I40" si="43">I39+$I$14</f>
        <v>0.15000000000000002</v>
      </c>
      <c r="J40" s="6">
        <f>D21</f>
        <v>160913.5</v>
      </c>
      <c r="K40" s="6">
        <f>SQRT(DEVSQ(D17:D20)/12)</f>
        <v>162.56767821433633</v>
      </c>
      <c r="L40" s="6">
        <f t="shared" si="39"/>
        <v>160802.29999999999</v>
      </c>
      <c r="M40" s="6">
        <f t="shared" si="40"/>
        <v>162.64795315855244</v>
      </c>
      <c r="N40" s="5">
        <f t="shared" si="41"/>
        <v>11.987930939107295</v>
      </c>
      <c r="O40" s="5">
        <f t="shared" si="42"/>
        <v>1.0114777783561085E-3</v>
      </c>
      <c r="P40" t="s">
        <v>23</v>
      </c>
      <c r="Q40">
        <v>0.24</v>
      </c>
      <c r="R40" t="s">
        <v>18</v>
      </c>
      <c r="S40">
        <v>0.1</v>
      </c>
    </row>
    <row r="41" spans="7:19" x14ac:dyDescent="0.3">
      <c r="H41" s="3"/>
      <c r="J41" s="6"/>
      <c r="K41" s="6"/>
      <c r="L41" s="6"/>
      <c r="M41" s="6"/>
      <c r="N41" s="5"/>
      <c r="O41" s="5"/>
    </row>
    <row r="42" spans="7:19" x14ac:dyDescent="0.3">
      <c r="H42" s="3"/>
      <c r="I42" s="3"/>
      <c r="J42" s="6"/>
      <c r="K42" s="6"/>
      <c r="L42" s="6"/>
      <c r="M42" s="6"/>
      <c r="N42" s="5"/>
      <c r="O42" s="5"/>
      <c r="P42" t="s">
        <v>24</v>
      </c>
      <c r="Q42" s="5">
        <f>R38/Q40</f>
        <v>0.10829959127300672</v>
      </c>
      <c r="R42" t="s">
        <v>18</v>
      </c>
      <c r="S42" s="5">
        <f>SQRT(SUMSQ(S38/Q40,R38*S40/Q40^2))</f>
        <v>4.5596169301031879E-2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D115-8094-459C-B25E-773788E8BC30}">
  <dimension ref="A1"/>
  <sheetViews>
    <sheetView tabSelected="1" topLeftCell="A13" zoomScale="160" zoomScaleNormal="160" workbookViewId="0">
      <selection activeCell="J6" sqref="J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2021-09-26T21:07:10Z</dcterms:modified>
</cp:coreProperties>
</file>