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77E5FC89-5856-4AB5-B6FB-5C50D9BBB5E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J14" i="3"/>
  <c r="I14" i="3"/>
  <c r="J13" i="3"/>
  <c r="I13" i="3"/>
  <c r="K9" i="2"/>
  <c r="L3" i="2"/>
  <c r="L4" i="2"/>
  <c r="L5" i="2"/>
  <c r="L6" i="2"/>
  <c r="L7" i="2"/>
  <c r="L2" i="2"/>
  <c r="C11" i="2"/>
  <c r="D16" i="2" s="1"/>
  <c r="D3" i="2"/>
  <c r="D4" i="2"/>
  <c r="D5" i="2"/>
  <c r="D6" i="2"/>
  <c r="D7" i="2"/>
  <c r="D8" i="2"/>
  <c r="E3" i="2" s="1"/>
  <c r="D2" i="2"/>
  <c r="E2" i="2" s="1"/>
  <c r="B2" i="3"/>
  <c r="H2" i="2"/>
  <c r="G13" i="3"/>
  <c r="K3" i="3"/>
  <c r="J3" i="3"/>
  <c r="E4" i="2"/>
  <c r="C12" i="2"/>
  <c r="F3" i="2"/>
  <c r="F4" i="2"/>
  <c r="F5" i="2"/>
  <c r="F6" i="2"/>
  <c r="F7" i="2"/>
  <c r="F8" i="2"/>
  <c r="F2" i="2"/>
  <c r="B16" i="2"/>
  <c r="T5" i="1"/>
  <c r="T4" i="1"/>
  <c r="B13" i="1"/>
  <c r="B12" i="2"/>
  <c r="C3" i="2"/>
  <c r="C4" i="2"/>
  <c r="C5" i="2"/>
  <c r="C6" i="2"/>
  <c r="C7" i="2"/>
  <c r="C8" i="2"/>
  <c r="C2" i="2"/>
  <c r="I6" i="1"/>
  <c r="I7" i="1"/>
  <c r="I8" i="1"/>
  <c r="I9" i="1"/>
  <c r="I10" i="1"/>
  <c r="I5" i="1"/>
  <c r="C6" i="1"/>
  <c r="C7" i="1"/>
  <c r="C8" i="1"/>
  <c r="C9" i="1"/>
  <c r="C10" i="1"/>
  <c r="C5" i="1"/>
  <c r="G2" i="1"/>
  <c r="E6" i="1"/>
  <c r="E7" i="1"/>
  <c r="E8" i="1"/>
  <c r="E9" i="1"/>
  <c r="E10" i="1"/>
  <c r="E5" i="1"/>
  <c r="H2" i="3" l="1"/>
  <c r="E8" i="2"/>
  <c r="E5" i="2"/>
  <c r="E7" i="2"/>
  <c r="H4" i="2"/>
  <c r="K4" i="2" s="1"/>
  <c r="E6" i="2"/>
  <c r="G2" i="3"/>
  <c r="A5" i="3" s="1"/>
  <c r="A8" i="3" s="1"/>
  <c r="F6" i="1"/>
  <c r="F10" i="1"/>
  <c r="F9" i="1"/>
  <c r="F7" i="1"/>
  <c r="F5" i="1"/>
  <c r="F8" i="1"/>
  <c r="J10" i="1"/>
  <c r="G10" i="1" s="1"/>
  <c r="J9" i="1"/>
  <c r="G9" i="1" s="1"/>
  <c r="I2" i="2" l="1"/>
  <c r="K2" i="2"/>
  <c r="B5" i="3"/>
  <c r="B8" i="3" s="1"/>
  <c r="J8" i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<sst xmlns="http://schemas.openxmlformats.org/spreadsheetml/2006/main" count="56" uniqueCount="44">
  <si>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</si>
  <si>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</si>
  <si>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</si>
  <si>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</si>
  <si>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</si>
  <si>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</si>
  <si>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</si>
  <si>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</si>
  <si>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</si>
  <si>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</si>
  <si>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</si>
  <si>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</si>
  <si>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\sigma_{X_m}</t>
  </si>
  <si>
    <t>F_2</t>
  </si>
  <si>
    <t>lambda</t>
  </si>
  <si>
    <t>D</t>
  </si>
  <si>
    <t>D_izm</t>
  </si>
  <si>
    <t>\Delta_X</t>
  </si>
  <si>
    <t>\DeltaDX</t>
  </si>
  <si>
    <t>x_m</t>
  </si>
  <si>
    <t>DD</t>
  </si>
  <si>
    <t>X_m</t>
  </si>
  <si>
    <t>\delta_X, mkm</t>
  </si>
  <si>
    <t>\delta_x</t>
  </si>
  <si>
    <t>\d</t>
  </si>
  <si>
    <t>dn</t>
  </si>
  <si>
    <t>delta x</t>
  </si>
  <si>
    <t>\delta deltax</t>
  </si>
  <si>
    <t>d</t>
  </si>
  <si>
    <t>dd</t>
  </si>
  <si>
    <t>d mm</t>
  </si>
  <si>
    <t>dD</t>
  </si>
  <si>
    <t>exp</t>
  </si>
  <si>
    <t>theor</t>
  </si>
  <si>
    <t xml:space="preserve">n </t>
  </si>
  <si>
    <t>X_m, мм</t>
  </si>
  <si>
    <t>b_0 , mkm</t>
  </si>
  <si>
    <t>F_1</t>
  </si>
  <si>
    <t>b_0</t>
  </si>
  <si>
    <t>db_0</t>
  </si>
  <si>
    <t>mkm</t>
  </si>
  <si>
    <t>почти сливаются</t>
  </si>
  <si>
    <t>D_0, mkm</t>
  </si>
  <si>
    <t>dD_0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</si>
</sst>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337</c:v>
                </c:pt>
                <c:pt idx="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B!$A$2:$A$8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</c:numCache>
            </c:numRef>
          </c:xVal>
          <c:yVal>
            <c:numRef>
              <c:f>B!$D$2:$D$8</c:f>
              <c:numCache>
                <c:formatCode>General</c:formatCode>
                <c:ptCount val="7"/>
                <c:pt idx="0">
                  <c:v>5.64</c:v>
                </c:pt>
                <c:pt idx="1">
                  <c:v>4.32</c:v>
                </c:pt>
                <c:pt idx="2">
                  <c:v>6.08</c:v>
                </c:pt>
                <c:pt idx="3">
                  <c:v>3.84</c:v>
                </c:pt>
                <c:pt idx="4">
                  <c:v>6.32</c:v>
                </c:pt>
                <c:pt idx="5">
                  <c:v>3.2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41CC-80AE-1DE1AC46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3040"/>
        <c:axId val="2062119712"/>
      </c:scatterChart>
      <c:valAx>
        <c:axId val="206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19712"/>
        <c:crosses val="autoZero"/>
        <c:crossBetween val="midCat"/>
      </c:valAx>
      <c:valAx>
        <c:axId val="206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10</xdr:row>
      <xdr:rowOff>152400</xdr:rowOff>
    </xdr:from>
    <xdr:to>
      <xdr:col>14</xdr:col>
      <xdr:colOff>144780</xdr:colOff>
      <xdr:row>27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0.89901</cdr:x>
      <cdr:y>0.81461</cdr:y>
    </cdr:from>
    <cdr:to>
      <cdr:x>0.96865</cdr:x>
      <cdr:y>0.90685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41236C-AF83-4FF5-9028-781AC3C82A0F}"/>
            </a:ext>
          </a:extLst>
        </cdr:cNvPr>
        <cdr:cNvSpPr txBox="1"/>
      </cdr:nvSpPr>
      <cdr:spPr>
        <a:xfrm xmlns:a="http://schemas.openxmlformats.org/drawingml/2006/main">
          <a:off x="4151376" y="2265680"/>
          <a:ext cx="321564" cy="256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  <cdr:relSizeAnchor xmlns:cdr="http://schemas.openxmlformats.org/drawingml/2006/chartDrawing">
    <cdr:from>
      <cdr:x>0.08251</cdr:x>
      <cdr:y>0.03836</cdr:y>
    </cdr:from>
    <cdr:to>
      <cdr:x>0.25248</cdr:x>
      <cdr:y>0.14247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20043E-421C-4243-81F9-4359E2F71B2A}"/>
            </a:ext>
          </a:extLst>
        </cdr:cNvPr>
        <cdr:cNvSpPr txBox="1"/>
      </cdr:nvSpPr>
      <cdr:spPr>
        <a:xfrm xmlns:a="http://schemas.openxmlformats.org/drawingml/2006/main">
          <a:off x="381000" y="106680"/>
          <a:ext cx="7848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2z_m,</a:t>
          </a:r>
          <a:r>
            <a:rPr lang="en-US" sz="1100" baseline="0"/>
            <a:t> </a:t>
          </a:r>
          <a:r>
            <a:rPr lang="ru-RU" sz="1100" baseline="0"/>
            <a:t>мкм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12</xdr:row>
      <xdr:rowOff>99060</xdr:rowOff>
    </xdr:from>
    <xdr:to>
      <xdr:col>16</xdr:col>
      <xdr:colOff>533400</xdr:colOff>
      <xdr:row>32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EA773D-C5C8-4957-8B3B-CD032AAD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0.50677</cdr:x>
      <cdr:y>0.0491</cdr:y>
    </cdr:from>
    <cdr:to>
      <cdr:x>0.60827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83295-7AD0-4D32-8BF8-356383A98650}"/>
            </a:ext>
          </a:extLst>
        </cdr:cNvPr>
        <cdr:cNvSpPr txBox="1"/>
      </cdr:nvSpPr>
      <cdr:spPr>
        <a:xfrm xmlns:a="http://schemas.openxmlformats.org/drawingml/2006/main">
          <a:off x="3423920" y="180340"/>
          <a:ext cx="68580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X_m, </a:t>
          </a:r>
          <a:r>
            <a:rPr lang="ru-RU" sz="1100"/>
            <a:t>мкм</a:t>
          </a:r>
        </a:p>
      </cdr:txBody>
    </cdr:sp>
  </cdr:relSizeAnchor>
  <cdr:relSizeAnchor xmlns:cdr="http://schemas.openxmlformats.org/drawingml/2006/chartDrawing">
    <cdr:from>
      <cdr:x>0.93609</cdr:x>
      <cdr:y>0.86445</cdr:y>
    </cdr:from>
    <cdr:to>
      <cdr:x>0.9782</cdr:x>
      <cdr:y>0.92324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691A0F-7019-4DBC-A485-20EE17E88C59}"/>
            </a:ext>
          </a:extLst>
        </cdr:cNvPr>
        <cdr:cNvSpPr txBox="1"/>
      </cdr:nvSpPr>
      <cdr:spPr>
        <a:xfrm xmlns:a="http://schemas.openxmlformats.org/drawingml/2006/main">
          <a:off x="6324600" y="3175000"/>
          <a:ext cx="28448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E10" zoomScale="170" zoomScaleNormal="170" workbookViewId="0">
      <selection activeCell="O20" sqref="O20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B13</f>
        <v>337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 t="shared" ref="E5:E10" si="0">2*A5+1</f>
        <v>1</v>
      </c>
      <c r="F5" s="3">
        <f t="shared" ref="F5:G10" si="1">I5*10000</f>
        <v>48.091579304489812</v>
      </c>
      <c r="G5" s="3">
        <f t="shared" si="1"/>
        <v>12.022894826122283</v>
      </c>
      <c r="I5">
        <f t="shared" ref="I5:I10" si="2">2*SQRT(C5*E5*$G$2)</f>
        <v>4.8091579304489814E-3</v>
      </c>
      <c r="J5" s="1">
        <f t="shared" ref="J5:J10" si="3">2*SQRT(SUMSQ(D5*E5*$G$2/I5))</f>
        <v>1.2022894826122282E-3</v>
      </c>
      <c r="S5">
        <v>12</v>
      </c>
      <c r="T5">
        <f>B13</f>
        <v>337</v>
      </c>
    </row>
    <row r="6" spans="1:20" x14ac:dyDescent="0.3">
      <c r="A6">
        <v>1</v>
      </c>
      <c r="B6">
        <v>47.9</v>
      </c>
      <c r="C6">
        <f t="shared" ref="C6:C10" si="4">$C$2-B6</f>
        <v>2.8000000000000043</v>
      </c>
      <c r="D6">
        <v>0.05</v>
      </c>
      <c r="E6">
        <f t="shared" si="0"/>
        <v>3</v>
      </c>
      <c r="F6" s="3">
        <f t="shared" si="1"/>
        <v>440.76660490558982</v>
      </c>
      <c r="G6" s="3">
        <f t="shared" si="1"/>
        <v>3.9354161152284752</v>
      </c>
      <c r="I6">
        <f t="shared" si="2"/>
        <v>4.4076660490558979E-2</v>
      </c>
      <c r="J6" s="1">
        <f t="shared" si="3"/>
        <v>3.9354161152284752E-4</v>
      </c>
    </row>
    <row r="7" spans="1:20" x14ac:dyDescent="0.3">
      <c r="A7">
        <v>2</v>
      </c>
      <c r="B7">
        <v>48.7</v>
      </c>
      <c r="C7">
        <f t="shared" si="4"/>
        <v>2</v>
      </c>
      <c r="D7">
        <v>0.05</v>
      </c>
      <c r="E7">
        <f t="shared" si="0"/>
        <v>5</v>
      </c>
      <c r="F7" s="3">
        <f t="shared" si="1"/>
        <v>480.91579304489471</v>
      </c>
      <c r="G7" s="3">
        <f t="shared" si="1"/>
        <v>6.011447413061183</v>
      </c>
      <c r="I7">
        <f t="shared" si="2"/>
        <v>4.8091579304489471E-2</v>
      </c>
      <c r="J7" s="1">
        <f t="shared" si="3"/>
        <v>6.0114474130611834E-4</v>
      </c>
    </row>
    <row r="8" spans="1:20" x14ac:dyDescent="0.3">
      <c r="A8">
        <v>3</v>
      </c>
      <c r="B8">
        <v>49.2</v>
      </c>
      <c r="C8">
        <f t="shared" si="4"/>
        <v>1.5</v>
      </c>
      <c r="D8">
        <v>0.05</v>
      </c>
      <c r="E8">
        <f t="shared" si="0"/>
        <v>7</v>
      </c>
      <c r="F8" s="3">
        <f t="shared" si="1"/>
        <v>492.79204539034521</v>
      </c>
      <c r="G8" s="3">
        <f t="shared" si="1"/>
        <v>8.2132007565057545</v>
      </c>
      <c r="I8">
        <f t="shared" si="2"/>
        <v>4.9279204539034518E-2</v>
      </c>
      <c r="J8" s="1">
        <f t="shared" si="3"/>
        <v>8.2132007565057538E-4</v>
      </c>
    </row>
    <row r="9" spans="1:20" x14ac:dyDescent="0.3">
      <c r="A9">
        <v>4</v>
      </c>
      <c r="B9">
        <v>49.5</v>
      </c>
      <c r="C9">
        <f t="shared" si="4"/>
        <v>1.2000000000000028</v>
      </c>
      <c r="D9">
        <v>0.05</v>
      </c>
      <c r="E9">
        <f t="shared" si="0"/>
        <v>9</v>
      </c>
      <c r="F9" s="3">
        <f t="shared" si="1"/>
        <v>499.78235262962272</v>
      </c>
      <c r="G9" s="3">
        <f t="shared" si="1"/>
        <v>10.41213234645045</v>
      </c>
      <c r="I9">
        <f t="shared" si="2"/>
        <v>4.9978235262962273E-2</v>
      </c>
      <c r="J9" s="1">
        <f t="shared" si="3"/>
        <v>1.041213234645045E-3</v>
      </c>
    </row>
    <row r="10" spans="1:20" x14ac:dyDescent="0.3">
      <c r="A10">
        <v>5</v>
      </c>
      <c r="B10">
        <v>49.8</v>
      </c>
      <c r="C10">
        <f t="shared" si="4"/>
        <v>0.90000000000000568</v>
      </c>
      <c r="D10">
        <v>0.05</v>
      </c>
      <c r="E10">
        <f t="shared" si="0"/>
        <v>11</v>
      </c>
      <c r="F10" s="3">
        <f t="shared" si="1"/>
        <v>478.50517238583893</v>
      </c>
      <c r="G10" s="3">
        <f t="shared" si="1"/>
        <v>13.291810344051001</v>
      </c>
      <c r="I10">
        <f t="shared" si="2"/>
        <v>4.7850517238583891E-2</v>
      </c>
      <c r="J10" s="1">
        <f t="shared" si="3"/>
        <v>1.3291810344051001E-3</v>
      </c>
    </row>
    <row r="12" spans="1:20" x14ac:dyDescent="0.3">
      <c r="A12" t="s">
        <v>4</v>
      </c>
      <c r="B12" t="s">
        <v>20</v>
      </c>
    </row>
    <row r="13" spans="1:20" x14ac:dyDescent="0.3">
      <c r="A13">
        <v>360</v>
      </c>
      <c r="B13">
        <f>A13-A2</f>
        <v>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L16"/>
  <sheetViews>
    <sheetView zoomScale="83" zoomScaleNormal="150" workbookViewId="0">
      <selection activeCell="F15" sqref="F15"/>
    </sheetView>
  </sheetViews>
  <sheetFormatPr defaultRowHeight="14.4" x14ac:dyDescent="0.3"/>
  <cols>
    <col min="3" max="3" width="11" bestFit="1" customWidth="1"/>
    <col min="8" max="8" width="9.44140625" bestFit="1" customWidth="1"/>
    <col min="11" max="11" width="11" bestFit="1" customWidth="1"/>
  </cols>
  <sheetData>
    <row r="1" spans="1:12" x14ac:dyDescent="0.3">
      <c r="A1" t="s">
        <v>5</v>
      </c>
      <c r="B1" t="s">
        <v>19</v>
      </c>
      <c r="C1" t="s">
        <v>12</v>
      </c>
      <c r="D1" t="s">
        <v>35</v>
      </c>
      <c r="E1" t="s">
        <v>21</v>
      </c>
      <c r="F1" t="s">
        <v>10</v>
      </c>
      <c r="H1" t="s">
        <v>17</v>
      </c>
      <c r="I1" t="s">
        <v>18</v>
      </c>
      <c r="K1" t="s">
        <v>15</v>
      </c>
    </row>
    <row r="2" spans="1:12" x14ac:dyDescent="0.3">
      <c r="A2">
        <v>1</v>
      </c>
      <c r="B2">
        <v>282</v>
      </c>
      <c r="C2">
        <f>0.01</f>
        <v>0.01</v>
      </c>
      <c r="D2">
        <f>B2*0.02</f>
        <v>5.64</v>
      </c>
      <c r="E2">
        <f>D2-$D$8</f>
        <v>0.63999999999999968</v>
      </c>
      <c r="F2">
        <f>C2*0.02*1000</f>
        <v>0.2</v>
      </c>
      <c r="H2" s="2">
        <f>_xlfn.COVARIANCE.P(A2:A8,D2:D8)/_xlfn.VAR.P(A2:A8)</f>
        <v>0.54142857142857148</v>
      </c>
      <c r="I2" s="2">
        <f>1/SQRT(7) * SQRT(_xlfn.VAR.P(D2:D8)/_xlfn.VAR.P(A2:A8)-H2*H2)</f>
        <v>2.335553573701148E-2</v>
      </c>
      <c r="K2">
        <f>2*B12*C11/H2</f>
        <v>266.97889182058049</v>
      </c>
      <c r="L2" s="1">
        <f>$C$11*$B$12*0.001*A2/E2</f>
        <v>0.11292968750000007</v>
      </c>
    </row>
    <row r="3" spans="1:12" x14ac:dyDescent="0.3">
      <c r="A3">
        <v>-1</v>
      </c>
      <c r="B3">
        <v>216</v>
      </c>
      <c r="C3">
        <f t="shared" ref="C3:C8" si="0">0.01</f>
        <v>0.01</v>
      </c>
      <c r="D3">
        <f t="shared" ref="D3:D8" si="1">B3*0.02</f>
        <v>4.32</v>
      </c>
      <c r="E3">
        <f t="shared" ref="E3:E8" si="2">D3-$D$8</f>
        <v>-0.67999999999999972</v>
      </c>
      <c r="F3">
        <f>C3*0.02*1000</f>
        <v>0.2</v>
      </c>
      <c r="L3" s="1">
        <f t="shared" ref="L3:L7" si="3">$C$11*$B$12*0.001*A3/E3</f>
        <v>0.1062867647058824</v>
      </c>
    </row>
    <row r="4" spans="1:12" x14ac:dyDescent="0.3">
      <c r="A4">
        <v>2</v>
      </c>
      <c r="B4">
        <v>304</v>
      </c>
      <c r="C4">
        <f t="shared" si="0"/>
        <v>0.01</v>
      </c>
      <c r="D4">
        <f t="shared" si="1"/>
        <v>6.08</v>
      </c>
      <c r="E4">
        <f t="shared" si="2"/>
        <v>1.08</v>
      </c>
      <c r="F4">
        <f>C4*0.02*1000</f>
        <v>0.2</v>
      </c>
      <c r="H4" s="3">
        <f>H2/10000</f>
        <v>5.414285714285715E-5</v>
      </c>
      <c r="I4" s="3"/>
      <c r="K4">
        <f>2*C12*B11/H4</f>
        <v>26.697889182058049</v>
      </c>
      <c r="L4" s="1">
        <f t="shared" si="3"/>
        <v>0.1338425925925926</v>
      </c>
    </row>
    <row r="5" spans="1:12" x14ac:dyDescent="0.3">
      <c r="A5">
        <v>-2</v>
      </c>
      <c r="B5">
        <v>192</v>
      </c>
      <c r="C5">
        <f t="shared" si="0"/>
        <v>0.01</v>
      </c>
      <c r="D5">
        <f t="shared" si="1"/>
        <v>3.84</v>
      </c>
      <c r="E5">
        <f t="shared" si="2"/>
        <v>-1.1600000000000001</v>
      </c>
      <c r="F5">
        <f>C5*0.02*1000</f>
        <v>0.2</v>
      </c>
      <c r="L5" s="1">
        <f t="shared" si="3"/>
        <v>0.12461206896551724</v>
      </c>
    </row>
    <row r="6" spans="1:12" x14ac:dyDescent="0.3">
      <c r="A6">
        <v>3</v>
      </c>
      <c r="B6">
        <v>316</v>
      </c>
      <c r="C6">
        <f t="shared" si="0"/>
        <v>0.01</v>
      </c>
      <c r="D6">
        <f t="shared" si="1"/>
        <v>6.32</v>
      </c>
      <c r="E6">
        <f t="shared" si="2"/>
        <v>1.3200000000000003</v>
      </c>
      <c r="F6">
        <f>C6*0.02*1000</f>
        <v>0.2</v>
      </c>
      <c r="L6" s="1">
        <f t="shared" si="3"/>
        <v>0.16426136363636362</v>
      </c>
    </row>
    <row r="7" spans="1:12" x14ac:dyDescent="0.3">
      <c r="A7">
        <v>-3</v>
      </c>
      <c r="B7">
        <v>160</v>
      </c>
      <c r="C7">
        <f t="shared" si="0"/>
        <v>0.01</v>
      </c>
      <c r="D7">
        <f t="shared" si="1"/>
        <v>3.2</v>
      </c>
      <c r="E7">
        <f t="shared" si="2"/>
        <v>-1.7999999999999998</v>
      </c>
      <c r="F7">
        <f>C7*0.02*1000</f>
        <v>0.2</v>
      </c>
      <c r="L7" s="1">
        <f t="shared" si="3"/>
        <v>0.12045833333333336</v>
      </c>
    </row>
    <row r="8" spans="1:12" x14ac:dyDescent="0.3">
      <c r="A8">
        <v>0</v>
      </c>
      <c r="B8">
        <v>250</v>
      </c>
      <c r="C8">
        <f t="shared" si="0"/>
        <v>0.01</v>
      </c>
      <c r="D8">
        <f t="shared" si="1"/>
        <v>5</v>
      </c>
      <c r="E8">
        <f t="shared" si="2"/>
        <v>0</v>
      </c>
      <c r="F8">
        <f>C8*0.02*1000</f>
        <v>0.2</v>
      </c>
    </row>
    <row r="9" spans="1:12" x14ac:dyDescent="0.3">
      <c r="K9" s="1">
        <f>AVERAGE(L2:L7)</f>
        <v>0.12706513512228154</v>
      </c>
    </row>
    <row r="11" spans="1:12" x14ac:dyDescent="0.3">
      <c r="A11" t="s">
        <v>13</v>
      </c>
      <c r="B11">
        <v>12.5</v>
      </c>
      <c r="C11">
        <f>B11*10</f>
        <v>125</v>
      </c>
    </row>
    <row r="12" spans="1:12" x14ac:dyDescent="0.3">
      <c r="A12" t="s">
        <v>14</v>
      </c>
      <c r="B12">
        <f>A!E2*0.001</f>
        <v>0.57820000000000005</v>
      </c>
      <c r="C12">
        <f>B12/10000</f>
        <v>5.7820000000000005E-5</v>
      </c>
    </row>
    <row r="15" spans="1:12" x14ac:dyDescent="0.3">
      <c r="A15" t="s">
        <v>16</v>
      </c>
    </row>
    <row r="16" spans="1:12" x14ac:dyDescent="0.3">
      <c r="A16">
        <v>384</v>
      </c>
      <c r="B16">
        <f>A16-A!A2</f>
        <v>361</v>
      </c>
      <c r="D16">
        <f>C11*B12*A2/B16</f>
        <v>0.200207756232687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:L17"/>
  <sheetViews>
    <sheetView tabSelected="1" workbookViewId="0">
      <selection activeCell="F2" sqref="F2"/>
    </sheetView>
  </sheetViews>
  <sheetFormatPr defaultRowHeight="14.4" x14ac:dyDescent="0.3"/>
  <sheetData>
    <row r="1" spans="1:12" x14ac:dyDescent="0.3">
      <c r="A1" t="s">
        <v>23</v>
      </c>
      <c r="B1" t="s">
        <v>22</v>
      </c>
      <c r="C1" t="s">
        <v>24</v>
      </c>
      <c r="D1" t="s">
        <v>1</v>
      </c>
      <c r="E1" t="s">
        <v>25</v>
      </c>
      <c r="G1" t="s">
        <v>26</v>
      </c>
      <c r="H1" t="s">
        <v>27</v>
      </c>
    </row>
    <row r="2" spans="1:12" x14ac:dyDescent="0.3">
      <c r="A2">
        <v>36</v>
      </c>
      <c r="B2">
        <f>A2*0.02*1000</f>
        <v>720</v>
      </c>
      <c r="C2">
        <f>0.02*1000</f>
        <v>20</v>
      </c>
      <c r="D2">
        <v>11</v>
      </c>
      <c r="E2">
        <v>1</v>
      </c>
      <c r="G2">
        <f>B2/D2</f>
        <v>65.454545454545453</v>
      </c>
      <c r="H2">
        <f>SQRT(SUMSQ(C2/D2,B2*E2/D2^2))</f>
        <v>6.2219934627169291</v>
      </c>
      <c r="J2" t="s">
        <v>14</v>
      </c>
      <c r="K2" t="s">
        <v>13</v>
      </c>
      <c r="L2" t="s">
        <v>37</v>
      </c>
    </row>
    <row r="3" spans="1:12" x14ac:dyDescent="0.3">
      <c r="J3">
        <f>B!B12</f>
        <v>0.57820000000000005</v>
      </c>
      <c r="K3">
        <f>B!C11</f>
        <v>125</v>
      </c>
      <c r="L3">
        <v>160</v>
      </c>
    </row>
    <row r="4" spans="1:12" x14ac:dyDescent="0.3">
      <c r="A4" t="s">
        <v>28</v>
      </c>
      <c r="B4" t="s">
        <v>29</v>
      </c>
    </row>
    <row r="5" spans="1:12" x14ac:dyDescent="0.3">
      <c r="A5">
        <f>K3*J3/G2</f>
        <v>1.1042013888888891</v>
      </c>
      <c r="B5">
        <f>K3*J3*H2/G2^2</f>
        <v>0.10496343340984142</v>
      </c>
    </row>
    <row r="7" spans="1:12" x14ac:dyDescent="0.3">
      <c r="A7" t="s">
        <v>30</v>
      </c>
      <c r="D7" t="s">
        <v>32</v>
      </c>
    </row>
    <row r="8" spans="1:12" x14ac:dyDescent="0.3">
      <c r="A8" s="3">
        <f>A5/1000</f>
        <v>1.1042013888888892E-3</v>
      </c>
      <c r="B8" s="3">
        <f>B5/1000</f>
        <v>1.0496343340984141E-4</v>
      </c>
      <c r="D8" s="3"/>
      <c r="E8" s="3"/>
    </row>
    <row r="11" spans="1:12" x14ac:dyDescent="0.3">
      <c r="A11" t="s">
        <v>33</v>
      </c>
    </row>
    <row r="12" spans="1:12" x14ac:dyDescent="0.3">
      <c r="A12" t="s">
        <v>28</v>
      </c>
      <c r="B12" t="s">
        <v>29</v>
      </c>
      <c r="D12" t="s">
        <v>15</v>
      </c>
      <c r="E12" t="s">
        <v>31</v>
      </c>
      <c r="G12" t="s">
        <v>34</v>
      </c>
      <c r="H12" t="s">
        <v>25</v>
      </c>
      <c r="I12" t="s">
        <v>38</v>
      </c>
      <c r="J12" t="s">
        <v>39</v>
      </c>
    </row>
    <row r="13" spans="1:12" x14ac:dyDescent="0.3">
      <c r="A13">
        <v>1</v>
      </c>
      <c r="B13">
        <v>0.01</v>
      </c>
      <c r="D13">
        <v>0.2</v>
      </c>
      <c r="E13">
        <v>0.01</v>
      </c>
      <c r="G13">
        <f>2*A13/D13</f>
        <v>10</v>
      </c>
      <c r="I13">
        <f>J3*0.001*L3/A13</f>
        <v>9.2512000000000011E-2</v>
      </c>
      <c r="J13" s="4">
        <f>I13/A13*B13</f>
        <v>9.2512000000000009E-4</v>
      </c>
    </row>
    <row r="14" spans="1:12" x14ac:dyDescent="0.3">
      <c r="H14" t="s">
        <v>40</v>
      </c>
      <c r="I14" s="3">
        <f>I13*1000</f>
        <v>92.512000000000015</v>
      </c>
      <c r="J14" s="3">
        <f>J13*1000</f>
        <v>0.92512000000000005</v>
      </c>
    </row>
    <row r="16" spans="1:12" x14ac:dyDescent="0.3">
      <c r="A16" t="s">
        <v>36</v>
      </c>
      <c r="B16" t="s">
        <v>39</v>
      </c>
    </row>
    <row r="17" spans="1:2" x14ac:dyDescent="0.3">
      <c r="A17">
        <v>90</v>
      </c>
      <c r="B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76F5-8BD3-4FF6-AA01-BF2D5F7552EE}">
  <dimension ref="A1:B3"/>
  <sheetViews>
    <sheetView workbookViewId="0">
      <selection activeCell="M10" sqref="M10"/>
    </sheetView>
  </sheetViews>
  <sheetFormatPr defaultRowHeight="14.4" x14ac:dyDescent="0.3"/>
  <sheetData>
    <row r="1" spans="1:2" x14ac:dyDescent="0.3">
      <c r="A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>
        <v>128</v>
      </c>
      <c r="B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2021-03-10T12:18:14Z</dcterms:modified>
</cp:coreProperties>
</file>