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!MIPT\Labs\PhysLabs4\4.4.4\excel\"/>
    </mc:Choice>
  </mc:AlternateContent>
  <xr:revisionPtr revIDLastSave="0" documentId="13_ncr:1_{E8991B5B-4723-4174-8D56-10F5E7EA25D2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2" l="1"/>
  <c r="K39" i="2"/>
  <c r="G39" i="2"/>
  <c r="G41" i="2" s="1"/>
  <c r="G35" i="2"/>
  <c r="F35" i="2"/>
  <c r="N35" i="2"/>
  <c r="M35" i="2"/>
  <c r="L35" i="2"/>
  <c r="D36" i="2"/>
  <c r="D37" i="2"/>
  <c r="D38" i="2"/>
  <c r="D39" i="2"/>
  <c r="D40" i="2"/>
  <c r="D35" i="2"/>
  <c r="B36" i="2"/>
  <c r="B37" i="2"/>
  <c r="B38" i="2"/>
  <c r="B39" i="2"/>
  <c r="B40" i="2"/>
  <c r="B35" i="2"/>
  <c r="C36" i="2"/>
  <c r="C37" i="2"/>
  <c r="C38" i="2"/>
  <c r="C39" i="2"/>
  <c r="C40" i="2"/>
  <c r="C35" i="2"/>
  <c r="A36" i="2"/>
  <c r="A37" i="2"/>
  <c r="A38" i="2"/>
  <c r="A39" i="2"/>
  <c r="A40" i="2"/>
  <c r="A35" i="2"/>
  <c r="E29" i="2"/>
  <c r="D29" i="2"/>
  <c r="E28" i="2"/>
  <c r="D28" i="2"/>
  <c r="B28" i="2"/>
  <c r="A28" i="2"/>
  <c r="D20" i="2"/>
  <c r="D21" i="2"/>
  <c r="D22" i="2"/>
  <c r="D23" i="2"/>
  <c r="D24" i="2"/>
  <c r="D19" i="2"/>
  <c r="C20" i="2"/>
  <c r="C21" i="2"/>
  <c r="C22" i="2"/>
  <c r="C23" i="2"/>
  <c r="C24" i="2"/>
  <c r="C19" i="2"/>
  <c r="B20" i="2"/>
  <c r="B21" i="2"/>
  <c r="B22" i="2"/>
  <c r="B23" i="2"/>
  <c r="B24" i="2"/>
  <c r="B19" i="2"/>
  <c r="E3" i="2"/>
  <c r="E4" i="2"/>
  <c r="E5" i="2"/>
  <c r="E6" i="2"/>
  <c r="E7" i="2"/>
  <c r="E2" i="2"/>
  <c r="F3" i="2"/>
  <c r="G3" i="2" s="1"/>
  <c r="F4" i="2"/>
  <c r="G4" i="2" s="1"/>
  <c r="F5" i="2"/>
  <c r="G5" i="2" s="1"/>
  <c r="F6" i="2"/>
  <c r="G6" i="2" s="1"/>
  <c r="F7" i="2"/>
  <c r="G7" i="2" s="1"/>
  <c r="F2" i="2"/>
  <c r="G2" i="2" s="1"/>
  <c r="A11" i="2" s="1"/>
  <c r="B11" i="2" l="1"/>
  <c r="B15" i="2" s="1"/>
  <c r="A15" i="2"/>
</calcChain>
</file>

<file path=xl/sharedStrings.xml><?xml version="1.0" encoding="utf-8"?>
<sst xmlns="http://schemas.openxmlformats.org/spreadsheetml/2006/main" count="41" uniqueCount="34">
  <si>
    <t>d_i</t>
  </si>
  <si>
    <t>i</t>
  </si>
  <si>
    <t>d_i^2</t>
  </si>
  <si>
    <t>f, mm</t>
  </si>
  <si>
    <t>L, mm</t>
  </si>
  <si>
    <t>\lambda, A</t>
  </si>
  <si>
    <t>x_i+</t>
  </si>
  <si>
    <t>x_i-</t>
  </si>
  <si>
    <t>k</t>
  </si>
  <si>
    <t>\sigma_k</t>
  </si>
  <si>
    <t>L_{exp}</t>
  </si>
  <si>
    <t>\sigma_L</t>
  </si>
  <si>
    <t>av_d</t>
  </si>
  <si>
    <t>d_i2</t>
  </si>
  <si>
    <t>x_i'2</t>
  </si>
  <si>
    <t>x_i'-2</t>
  </si>
  <si>
    <t>\Delta_d</t>
  </si>
  <si>
    <t>\frac{1}{\Delta_d}</t>
  </si>
  <si>
    <t>\Delta_{\lambda}</t>
  </si>
  <si>
    <t>\sigma</t>
  </si>
  <si>
    <t>A</t>
  </si>
  <si>
    <t>D_{exp}</t>
  </si>
  <si>
    <t>D_{theor}</t>
  </si>
  <si>
    <t>R</t>
  </si>
  <si>
    <t>x_1</t>
  </si>
  <si>
    <t>x_2</t>
  </si>
  <si>
    <t>\delta r</t>
  </si>
  <si>
    <t>d</t>
  </si>
  <si>
    <t>\sigma_R</t>
  </si>
  <si>
    <t>m</t>
  </si>
  <si>
    <t>N</t>
  </si>
  <si>
    <t>r</t>
  </si>
  <si>
    <t>R_t</t>
  </si>
  <si>
    <t>N_t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</si>
</sst>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6" formatCode="0.000"/>
    <numFmt numFmtId="167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11" fontId="0" fillId="0" borderId="0" xfId="0" applyNumberFormat="1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743219597550301"/>
                  <c:y val="2.07494896471274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Лист2!$H$2:$H$7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Лист2!$G$2:$G$7</c:f>
              <c:numCache>
                <c:formatCode>General</c:formatCode>
                <c:ptCount val="6"/>
                <c:pt idx="0">
                  <c:v>1166.2225000000003</c:v>
                </c:pt>
                <c:pt idx="1">
                  <c:v>951.1055999999985</c:v>
                </c:pt>
                <c:pt idx="2">
                  <c:v>738.75239999999883</c:v>
                </c:pt>
                <c:pt idx="3">
                  <c:v>531.30250000000058</c:v>
                </c:pt>
                <c:pt idx="4">
                  <c:v>305.37562499999979</c:v>
                </c:pt>
                <c:pt idx="5">
                  <c:v>96.825600000000065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8-4A7C-9C1D-E5DB2AAF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040880"/>
        <c:axId val="1268041712"/>
      </c:scatterChart>
      <c:valAx>
        <c:axId val="126804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041712"/>
        <c:crosses val="autoZero"/>
        <c:crossBetween val="midCat"/>
      </c:valAx>
      <c:valAx>
        <c:axId val="12680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0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570384951881014"/>
                  <c:y val="-3.18310731991834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Лист2!$D$19:$D$24</c:f>
              <c:numCache>
                <c:formatCode>General</c:formatCode>
                <c:ptCount val="6"/>
                <c:pt idx="0">
                  <c:v>0.96618357487923023</c:v>
                </c:pt>
                <c:pt idx="1">
                  <c:v>0.9009009009009129</c:v>
                </c:pt>
                <c:pt idx="2">
                  <c:v>0.85836909871247313</c:v>
                </c:pt>
                <c:pt idx="3">
                  <c:v>0.64308681672025436</c:v>
                </c:pt>
                <c:pt idx="4">
                  <c:v>0.57306590257879508</c:v>
                </c:pt>
                <c:pt idx="5">
                  <c:v>0.19821605550049493</c:v>
                </c:pt>
              </c:numCache>
            </c:numRef>
          </c:xVal>
          <c:yVal>
            <c:numRef>
              <c:f>Лист2!$B$19:$B$24</c:f>
              <c:numCache>
                <c:formatCode>General</c:formatCode>
                <c:ptCount val="6"/>
                <c:pt idx="0">
                  <c:v>33.632500000000007</c:v>
                </c:pt>
                <c:pt idx="1">
                  <c:v>30.284999999999982</c:v>
                </c:pt>
                <c:pt idx="2">
                  <c:v>26.597499999999997</c:v>
                </c:pt>
                <c:pt idx="3">
                  <c:v>22.272500000000008</c:v>
                </c:pt>
                <c:pt idx="4">
                  <c:v>16.602499999999992</c:v>
                </c:pt>
                <c:pt idx="5">
                  <c:v>7.3174999999999955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3-4815-8A9D-DA3A421E5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478560"/>
        <c:axId val="1269480224"/>
      </c:scatterChart>
      <c:valAx>
        <c:axId val="12694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480224"/>
        <c:crosses val="autoZero"/>
        <c:crossBetween val="midCat"/>
      </c:valAx>
      <c:valAx>
        <c:axId val="12694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47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144780</xdr:colOff>
      <xdr:row>15</xdr:row>
      <xdr:rowOff>175260</xdr:rowOff>
    </xdr:from>
    <xdr:to>
      <xdr:col>22</xdr:col>
      <xdr:colOff>449580</xdr:colOff>
      <xdr:row>30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249723-723B-4421-97C1-2AE98C29F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281940</xdr:colOff>
      <xdr:row>17</xdr:row>
      <xdr:rowOff>0</xdr:rowOff>
    </xdr:from>
    <xdr:to>
      <xdr:col>14</xdr:col>
      <xdr:colOff>586740</xdr:colOff>
      <xdr:row>32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31ADD74-3F77-4661-8246-2E6DE59D7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7482D-3019-4FC1-B389-B17E3E7C8002}">
  <dimension ref="A1:O41"/>
  <sheetViews>
    <sheetView tabSelected="1" topLeftCell="A21" workbookViewId="0">
      <selection activeCell="K39" sqref="K39"/>
    </sheetView>
  </sheetViews>
  <sheetFormatPr defaultRowHeight="14.4" x14ac:dyDescent="0.3"/>
  <cols>
    <col min="2" max="2" width="9.88671875" bestFit="1" customWidth="1"/>
    <col min="4" max="4" width="12" bestFit="1" customWidth="1"/>
  </cols>
  <sheetData>
    <row r="1" spans="1:11" x14ac:dyDescent="0.3">
      <c r="A1" t="s">
        <v>14</v>
      </c>
      <c r="B1" t="s">
        <v>15</v>
      </c>
      <c r="C1" t="s">
        <v>6</v>
      </c>
      <c r="D1" t="s">
        <v>7</v>
      </c>
      <c r="E1" t="s">
        <v>13</v>
      </c>
      <c r="F1" t="s">
        <v>0</v>
      </c>
      <c r="G1" t="s">
        <v>2</v>
      </c>
      <c r="H1" t="s">
        <v>1</v>
      </c>
      <c r="I1" t="s">
        <v>3</v>
      </c>
      <c r="J1">
        <v>94</v>
      </c>
      <c r="K1">
        <v>0.5</v>
      </c>
    </row>
    <row r="2" spans="1:11" x14ac:dyDescent="0.3">
      <c r="A2">
        <v>163.59</v>
      </c>
      <c r="B2">
        <v>130.47499999999999</v>
      </c>
      <c r="C2">
        <v>164.03</v>
      </c>
      <c r="D2">
        <v>129.88</v>
      </c>
      <c r="E2">
        <f>A2-B2</f>
        <v>33.115000000000009</v>
      </c>
      <c r="F2">
        <f>C2-D2</f>
        <v>34.150000000000006</v>
      </c>
      <c r="G2">
        <f>F2*F2</f>
        <v>1166.2225000000003</v>
      </c>
      <c r="H2">
        <v>6</v>
      </c>
      <c r="I2" t="s">
        <v>4</v>
      </c>
      <c r="J2">
        <v>0.1</v>
      </c>
      <c r="K2">
        <v>0.05</v>
      </c>
    </row>
    <row r="3" spans="1:11" x14ac:dyDescent="0.3">
      <c r="A3">
        <v>162</v>
      </c>
      <c r="B3">
        <v>132.27000000000001</v>
      </c>
      <c r="C3">
        <v>162.51499999999999</v>
      </c>
      <c r="D3">
        <v>131.67500000000001</v>
      </c>
      <c r="E3">
        <f t="shared" ref="E3:E7" si="0">A3-B3</f>
        <v>29.72999999999999</v>
      </c>
      <c r="F3">
        <f>C3-D3</f>
        <v>30.839999999999975</v>
      </c>
      <c r="G3">
        <f>F3*F3</f>
        <v>951.1055999999985</v>
      </c>
      <c r="H3">
        <v>5</v>
      </c>
      <c r="I3" t="s">
        <v>5</v>
      </c>
      <c r="J3">
        <v>5893</v>
      </c>
      <c r="K3">
        <v>0.5</v>
      </c>
    </row>
    <row r="4" spans="1:11" x14ac:dyDescent="0.3">
      <c r="A4">
        <v>160.09</v>
      </c>
      <c r="B4">
        <v>134.07499999999999</v>
      </c>
      <c r="C4">
        <v>160.66499999999999</v>
      </c>
      <c r="D4">
        <v>133.48500000000001</v>
      </c>
      <c r="E4">
        <f t="shared" si="0"/>
        <v>26.015000000000015</v>
      </c>
      <c r="F4">
        <f>C4-D4</f>
        <v>27.179999999999978</v>
      </c>
      <c r="G4">
        <f>F4*F4</f>
        <v>738.75239999999883</v>
      </c>
      <c r="H4">
        <v>4</v>
      </c>
    </row>
    <row r="5" spans="1:11" x14ac:dyDescent="0.3">
      <c r="A5">
        <v>157.88</v>
      </c>
      <c r="B5">
        <v>136.38499999999999</v>
      </c>
      <c r="C5">
        <v>158.68</v>
      </c>
      <c r="D5">
        <v>135.63</v>
      </c>
      <c r="E5">
        <f t="shared" si="0"/>
        <v>21.495000000000005</v>
      </c>
      <c r="F5">
        <f>C5-D5</f>
        <v>23.050000000000011</v>
      </c>
      <c r="G5">
        <f>F5*F5</f>
        <v>531.30250000000058</v>
      </c>
      <c r="H5">
        <v>3</v>
      </c>
    </row>
    <row r="6" spans="1:11" x14ac:dyDescent="0.3">
      <c r="A6">
        <v>155.095</v>
      </c>
      <c r="B6">
        <v>139.36500000000001</v>
      </c>
      <c r="C6">
        <v>155.80500000000001</v>
      </c>
      <c r="D6">
        <v>138.33000000000001</v>
      </c>
      <c r="E6">
        <f t="shared" si="0"/>
        <v>15.72999999999999</v>
      </c>
      <c r="F6">
        <f>C6-D6</f>
        <v>17.474999999999994</v>
      </c>
      <c r="G6">
        <f>F6*F6</f>
        <v>305.37562499999979</v>
      </c>
      <c r="H6">
        <v>2</v>
      </c>
    </row>
    <row r="7" spans="1:11" x14ac:dyDescent="0.3">
      <c r="A7">
        <v>149.69499999999999</v>
      </c>
      <c r="B7">
        <v>144.9</v>
      </c>
      <c r="C7">
        <v>152.06</v>
      </c>
      <c r="D7">
        <v>142.22</v>
      </c>
      <c r="E7">
        <f t="shared" si="0"/>
        <v>4.7949999999999875</v>
      </c>
      <c r="F7">
        <f>C7-D7</f>
        <v>9.8400000000000034</v>
      </c>
      <c r="G7">
        <f>F7*F7</f>
        <v>96.825600000000065</v>
      </c>
      <c r="H7">
        <v>1</v>
      </c>
    </row>
    <row r="10" spans="1:11" x14ac:dyDescent="0.3">
      <c r="A10" t="s">
        <v>8</v>
      </c>
      <c r="B10" t="s">
        <v>9</v>
      </c>
    </row>
    <row r="11" spans="1:11" x14ac:dyDescent="0.3">
      <c r="A11" s="5">
        <f>_xlfn.COVARIANCE.P(H2:H7,G2:G7)/_xlfn.VAR.P(H2:H7)</f>
        <v>214.04640928571416</v>
      </c>
      <c r="B11" s="4">
        <f>1/SQRT(6) * SQRT(_xlfn.VAR.P(G2:G7)/_xlfn.VAR.P(H2:H7) - A11^2)</f>
        <v>0.84306541441839833</v>
      </c>
    </row>
    <row r="14" spans="1:11" x14ac:dyDescent="0.3">
      <c r="A14" t="s">
        <v>10</v>
      </c>
      <c r="B14" t="s">
        <v>11</v>
      </c>
    </row>
    <row r="15" spans="1:11" x14ac:dyDescent="0.3">
      <c r="A15" s="1">
        <f>4*J1^2*J3*0.0000001/A11</f>
        <v>9.7307024535029707E-2</v>
      </c>
      <c r="B15" s="1">
        <f>SQRT(SUMSQ(8*J1*K1*J3*0.0000001/A11,4*J1^2*K3*0.0000001/A11,4*J1^2*J3*0.0000001*B11/A11^2))</f>
        <v>1.1038836209581874E-3</v>
      </c>
    </row>
    <row r="18" spans="1:5" x14ac:dyDescent="0.3">
      <c r="A18" t="s">
        <v>1</v>
      </c>
      <c r="B18" t="s">
        <v>12</v>
      </c>
      <c r="C18" t="s">
        <v>16</v>
      </c>
      <c r="D18" t="s">
        <v>17</v>
      </c>
    </row>
    <row r="19" spans="1:5" x14ac:dyDescent="0.3">
      <c r="A19">
        <v>6</v>
      </c>
      <c r="B19">
        <f>AVERAGE(E2:F2)</f>
        <v>33.632500000000007</v>
      </c>
      <c r="C19">
        <f>F2-E2</f>
        <v>1.0349999999999966</v>
      </c>
      <c r="D19">
        <f>1/C19</f>
        <v>0.96618357487923023</v>
      </c>
    </row>
    <row r="20" spans="1:5" x14ac:dyDescent="0.3">
      <c r="A20">
        <v>5</v>
      </c>
      <c r="B20">
        <f t="shared" ref="B20:B24" si="1">AVERAGE(E3:F3)</f>
        <v>30.284999999999982</v>
      </c>
      <c r="C20">
        <f t="shared" ref="C20:C24" si="2">F3-E3</f>
        <v>1.1099999999999852</v>
      </c>
      <c r="D20">
        <f t="shared" ref="D20:D24" si="3">1/C20</f>
        <v>0.9009009009009129</v>
      </c>
    </row>
    <row r="21" spans="1:5" x14ac:dyDescent="0.3">
      <c r="A21">
        <v>4</v>
      </c>
      <c r="B21">
        <f t="shared" si="1"/>
        <v>26.597499999999997</v>
      </c>
      <c r="C21">
        <f t="shared" si="2"/>
        <v>1.1649999999999636</v>
      </c>
      <c r="D21">
        <f t="shared" si="3"/>
        <v>0.85836909871247313</v>
      </c>
    </row>
    <row r="22" spans="1:5" x14ac:dyDescent="0.3">
      <c r="A22">
        <v>3</v>
      </c>
      <c r="B22">
        <f t="shared" si="1"/>
        <v>22.272500000000008</v>
      </c>
      <c r="C22">
        <f t="shared" si="2"/>
        <v>1.5550000000000068</v>
      </c>
      <c r="D22">
        <f t="shared" si="3"/>
        <v>0.64308681672025436</v>
      </c>
    </row>
    <row r="23" spans="1:5" x14ac:dyDescent="0.3">
      <c r="A23">
        <v>2</v>
      </c>
      <c r="B23">
        <f t="shared" si="1"/>
        <v>16.602499999999992</v>
      </c>
      <c r="C23">
        <f t="shared" si="2"/>
        <v>1.7450000000000045</v>
      </c>
      <c r="D23">
        <f t="shared" si="3"/>
        <v>0.57306590257879508</v>
      </c>
    </row>
    <row r="24" spans="1:5" x14ac:dyDescent="0.3">
      <c r="A24">
        <v>1</v>
      </c>
      <c r="B24">
        <f t="shared" si="1"/>
        <v>7.3174999999999955</v>
      </c>
      <c r="C24">
        <f t="shared" si="2"/>
        <v>5.0450000000000159</v>
      </c>
      <c r="D24">
        <f t="shared" si="3"/>
        <v>0.19821605550049493</v>
      </c>
    </row>
    <row r="27" spans="1:5" x14ac:dyDescent="0.3">
      <c r="A27" t="s">
        <v>8</v>
      </c>
      <c r="B27" t="s">
        <v>9</v>
      </c>
      <c r="D27" t="s">
        <v>18</v>
      </c>
      <c r="E27" t="s">
        <v>19</v>
      </c>
    </row>
    <row r="28" spans="1:5" x14ac:dyDescent="0.3">
      <c r="A28" s="5">
        <f>_xlfn.COVARIANCE.P(D19:D24,B19:B24)/_xlfn.VAR.P(D19:D24)</f>
        <v>33.363326130354565</v>
      </c>
      <c r="B28" s="5">
        <f>1/SQRT(6) * SQRT(_xlfn.VAR.P(B19:B24)/_xlfn.VAR.P(D19:D24)-A28^2)</f>
        <v>2.3373082712830802</v>
      </c>
      <c r="D28">
        <f>J3*0.0000001*A28/(4*J1^2)</f>
        <v>5.5627569286492598E-7</v>
      </c>
      <c r="E28" s="6">
        <f>SQRT(SUMSQ(K3*0.0000001*A28/(4*J1^2),J3*0.0000001*B28/(4*J1^2),J3*0.0000001*A28*K1/(2*J1^3)))</f>
        <v>3.9417357701713274E-8</v>
      </c>
    </row>
    <row r="29" spans="1:5" x14ac:dyDescent="0.3">
      <c r="C29" t="s">
        <v>20</v>
      </c>
      <c r="D29" s="4">
        <f>D28*10000000</f>
        <v>5.56275692864926</v>
      </c>
      <c r="E29" s="4">
        <f>E28*10000000</f>
        <v>0.39417357701713274</v>
      </c>
    </row>
    <row r="34" spans="1:15" x14ac:dyDescent="0.3">
      <c r="A34" t="s">
        <v>21</v>
      </c>
      <c r="B34" t="s">
        <v>19</v>
      </c>
      <c r="C34" t="s">
        <v>22</v>
      </c>
      <c r="D34" t="s">
        <v>19</v>
      </c>
      <c r="F34" t="s">
        <v>23</v>
      </c>
      <c r="G34" t="s">
        <v>28</v>
      </c>
      <c r="I34" s="7"/>
      <c r="J34" t="s">
        <v>24</v>
      </c>
      <c r="K34" t="s">
        <v>25</v>
      </c>
      <c r="L34" t="s">
        <v>26</v>
      </c>
      <c r="M34" t="s">
        <v>19</v>
      </c>
      <c r="N34" t="s">
        <v>27</v>
      </c>
      <c r="O34" t="s">
        <v>19</v>
      </c>
    </row>
    <row r="35" spans="1:15" x14ac:dyDescent="0.3">
      <c r="A35" s="2">
        <f>C19/(2*$D$29)</f>
        <v>9.3029410890627717E-2</v>
      </c>
      <c r="B35" s="2">
        <f>SQRT(SUMSQ(0.005/(2*$D$29),C19*$E$29/(2*$D$29^2)))</f>
        <v>6.6073095542113708E-3</v>
      </c>
      <c r="C35" s="2">
        <f>2*$J$1^2/($J$3*B19)</f>
        <v>8.9164116554180745E-2</v>
      </c>
      <c r="D35" s="2">
        <f>SQRT(SUMSQ(2*2*$J$1*$K$1/($J$3*B19),2*$J$1^2*$K$3/($J$3^2*B19),2*$J$1^2*0.01/($J$3*B19^2)))</f>
        <v>9.4895499962381982E-4</v>
      </c>
      <c r="F35" s="5">
        <f>4*J1^2/(N35*L35)</f>
        <v>5058.9717164776703</v>
      </c>
      <c r="G35" s="5">
        <f>SQRT(SUMSQ(8*J1*K1/(N35*L35),4*J1^2*O35/(L35*N35^2),4*J1^2*M35/(L35^2*N35)))</f>
        <v>54.290909025548324</v>
      </c>
      <c r="J35">
        <v>142.52500000000001</v>
      </c>
      <c r="K35">
        <v>141.815</v>
      </c>
      <c r="L35">
        <f>J35-K35</f>
        <v>0.71000000000000796</v>
      </c>
      <c r="M35">
        <f>0.0005*2</f>
        <v>1E-3</v>
      </c>
      <c r="N35">
        <f>F7</f>
        <v>9.8400000000000034</v>
      </c>
      <c r="O35">
        <v>1E-3</v>
      </c>
    </row>
    <row r="36" spans="1:15" x14ac:dyDescent="0.3">
      <c r="A36" s="2">
        <f t="shared" ref="A36:A40" si="4">C20/(2*$D$29)</f>
        <v>9.9770672549367861E-2</v>
      </c>
      <c r="B36" s="2">
        <f t="shared" ref="B36:B40" si="5">SQRT(SUMSQ(0.005/(2*$D$29),C20*$E$29/(2*$D$29^2)))</f>
        <v>7.0839594990895335E-3</v>
      </c>
      <c r="C36" s="1">
        <f t="shared" ref="C36:C40" si="6">2*$J$1^2/($J$3*B20)</f>
        <v>9.9019717682301028E-2</v>
      </c>
      <c r="D36" s="1">
        <f t="shared" ref="D36:D40" si="7">SQRT(SUMSQ(2*2*$J$1*$K$1/($J$3*B20),2*$J$1^2*$K$3/($J$3^2*B20),2*$J$1^2*0.01/($J$3*B20^2)))</f>
        <v>1.0539420326260019E-3</v>
      </c>
    </row>
    <row r="37" spans="1:15" x14ac:dyDescent="0.3">
      <c r="A37" s="2">
        <f t="shared" si="4"/>
        <v>0.10471426443244278</v>
      </c>
      <c r="B37" s="2">
        <f t="shared" si="5"/>
        <v>7.4335869772841146E-3</v>
      </c>
      <c r="C37" s="1">
        <f t="shared" si="6"/>
        <v>0.11274789547921742</v>
      </c>
      <c r="D37" s="1">
        <f t="shared" si="7"/>
        <v>1.2002326604699126E-3</v>
      </c>
      <c r="F37">
        <v>5050</v>
      </c>
      <c r="G37">
        <v>50</v>
      </c>
    </row>
    <row r="38" spans="1:15" x14ac:dyDescent="0.3">
      <c r="A38" s="3">
        <f t="shared" si="4"/>
        <v>0.1397688250579007</v>
      </c>
      <c r="B38" s="3">
        <f t="shared" si="5"/>
        <v>9.9141255591451601E-3</v>
      </c>
      <c r="C38" s="1">
        <f t="shared" si="6"/>
        <v>0.13464191940772177</v>
      </c>
      <c r="D38" s="1">
        <f t="shared" si="7"/>
        <v>1.433681467436578E-3</v>
      </c>
      <c r="I38" t="s">
        <v>31</v>
      </c>
      <c r="K38" t="s">
        <v>32</v>
      </c>
    </row>
    <row r="39" spans="1:15" x14ac:dyDescent="0.3">
      <c r="A39" s="2">
        <f t="shared" si="4"/>
        <v>0.15684668792671144</v>
      </c>
      <c r="B39" s="2">
        <f t="shared" si="5"/>
        <v>1.1123143832143812E-2</v>
      </c>
      <c r="C39" s="2">
        <f t="shared" si="6"/>
        <v>0.18062413190835633</v>
      </c>
      <c r="D39" s="2">
        <f t="shared" si="7"/>
        <v>1.9246716986183144E-3</v>
      </c>
      <c r="F39" t="s">
        <v>29</v>
      </c>
      <c r="G39">
        <f>2*J2/J3*10000000</f>
        <v>339.38571186153064</v>
      </c>
      <c r="I39">
        <v>0.85</v>
      </c>
      <c r="K39">
        <f>PI()*SQRT(I39)/(1-I39) * G39</f>
        <v>6553.3238614120328</v>
      </c>
    </row>
    <row r="40" spans="1:15" x14ac:dyDescent="0.3">
      <c r="A40" s="3">
        <f t="shared" si="4"/>
        <v>0.45346220091132355</v>
      </c>
      <c r="B40" s="3">
        <f t="shared" si="5"/>
        <v>3.2135198865087838E-2</v>
      </c>
      <c r="C40" s="2">
        <f t="shared" si="6"/>
        <v>0.40981375469880238</v>
      </c>
      <c r="D40" s="2">
        <f t="shared" si="7"/>
        <v>4.3956826673939289E-3</v>
      </c>
    </row>
    <row r="41" spans="1:15" x14ac:dyDescent="0.3">
      <c r="F41" t="s">
        <v>30</v>
      </c>
      <c r="G41">
        <f>F35/G39</f>
        <v>14.906260162601455</v>
      </c>
      <c r="J41" t="s">
        <v>33</v>
      </c>
      <c r="K41">
        <f>K39/G39</f>
        <v>19.309368757650553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Державин</dc:creator>
  <cp:lastModifiedBy>Андрей Державин</cp:lastModifiedBy>
  <dcterms:created xsi:type="dcterms:W3CDTF">2015-06-05T18:19:34Z</dcterms:created>
  <dcterms:modified xsi:type="dcterms:W3CDTF">2021-04-06T23:15:35Z</dcterms:modified>
</cp:coreProperties>
</file>