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!MIPT\Labs\PhysLabs4\4.4.4\excel\"/>
    </mc:Choice>
  </mc:AlternateContent>
  <xr:revisionPtr revIDLastSave="0" documentId="13_ncr:1_{63284499-94E2-4411-8917-41D2073A48B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19" i="2"/>
  <c r="G19" i="2" s="1"/>
  <c r="L4" i="3"/>
  <c r="L5" i="3"/>
  <c r="L7" i="3"/>
  <c r="L3" i="3"/>
  <c r="K4" i="3"/>
  <c r="K5" i="3"/>
  <c r="K7" i="3"/>
  <c r="K3" i="3"/>
  <c r="J3" i="3"/>
  <c r="J4" i="3"/>
  <c r="J5" i="3"/>
  <c r="J7" i="3"/>
  <c r="J2" i="3"/>
  <c r="H2" i="3"/>
  <c r="G2" i="3"/>
  <c r="G7" i="3"/>
  <c r="H7" i="3" s="1"/>
  <c r="G6" i="3"/>
  <c r="H6" i="3" s="1"/>
  <c r="G5" i="3"/>
  <c r="H5" i="3" s="1"/>
  <c r="G4" i="3"/>
  <c r="H4" i="3" s="1"/>
  <c r="G3" i="3"/>
  <c r="H3" i="3" s="1"/>
  <c r="D3" i="3"/>
  <c r="D4" i="3"/>
  <c r="D5" i="3"/>
  <c r="D6" i="3"/>
  <c r="D7" i="3"/>
  <c r="D2" i="3"/>
  <c r="G39" i="1"/>
  <c r="K39" i="1" s="1"/>
  <c r="K41" i="1" s="1"/>
  <c r="M35" i="1"/>
  <c r="L35" i="1"/>
  <c r="E24" i="1"/>
  <c r="C24" i="1"/>
  <c r="E23" i="1"/>
  <c r="C23" i="1"/>
  <c r="E22" i="1"/>
  <c r="C22" i="1"/>
  <c r="E21" i="1"/>
  <c r="C21" i="1"/>
  <c r="E20" i="1"/>
  <c r="C20" i="1"/>
  <c r="E19" i="1"/>
  <c r="C19" i="1"/>
  <c r="I7" i="1"/>
  <c r="F7" i="1"/>
  <c r="E7" i="1"/>
  <c r="B24" i="1" s="1"/>
  <c r="I6" i="1"/>
  <c r="F6" i="1"/>
  <c r="G6" i="1" s="1"/>
  <c r="E6" i="1"/>
  <c r="I5" i="1"/>
  <c r="F5" i="1"/>
  <c r="E5" i="1"/>
  <c r="I4" i="1"/>
  <c r="F4" i="1"/>
  <c r="E4" i="1"/>
  <c r="I3" i="1"/>
  <c r="F3" i="1"/>
  <c r="E3" i="1"/>
  <c r="B20" i="1" s="1"/>
  <c r="D36" i="1" s="1"/>
  <c r="I2" i="1"/>
  <c r="F2" i="1"/>
  <c r="H2" i="1" s="1"/>
  <c r="E2" i="1"/>
  <c r="G20" i="2"/>
  <c r="G21" i="2"/>
  <c r="G22" i="2"/>
  <c r="G23" i="2"/>
  <c r="G24" i="2"/>
  <c r="I3" i="2"/>
  <c r="I4" i="2"/>
  <c r="I5" i="2"/>
  <c r="I6" i="2"/>
  <c r="I7" i="2"/>
  <c r="I2" i="2"/>
  <c r="H3" i="2"/>
  <c r="H4" i="2"/>
  <c r="H5" i="2"/>
  <c r="H6" i="2"/>
  <c r="H7" i="2"/>
  <c r="H2" i="2"/>
  <c r="G39" i="2"/>
  <c r="G35" i="2"/>
  <c r="F35" i="2"/>
  <c r="N35" i="2"/>
  <c r="M35" i="2"/>
  <c r="L35" i="2"/>
  <c r="D36" i="2"/>
  <c r="D37" i="2"/>
  <c r="D38" i="2"/>
  <c r="D39" i="2"/>
  <c r="D40" i="2"/>
  <c r="D35" i="2"/>
  <c r="C36" i="2"/>
  <c r="C37" i="2"/>
  <c r="C38" i="2"/>
  <c r="C39" i="2"/>
  <c r="C40" i="2"/>
  <c r="C35" i="2"/>
  <c r="A28" i="2"/>
  <c r="D28" i="2" s="1"/>
  <c r="D29" i="2" s="1"/>
  <c r="F20" i="2"/>
  <c r="F21" i="2"/>
  <c r="F22" i="2"/>
  <c r="F23" i="2"/>
  <c r="F24" i="2"/>
  <c r="F19" i="2"/>
  <c r="D20" i="2"/>
  <c r="D21" i="2"/>
  <c r="D22" i="2"/>
  <c r="D23" i="2"/>
  <c r="D24" i="2"/>
  <c r="D19" i="2"/>
  <c r="B20" i="2"/>
  <c r="B21" i="2"/>
  <c r="B22" i="2"/>
  <c r="B23" i="2"/>
  <c r="B24" i="2"/>
  <c r="B19" i="2"/>
  <c r="E3" i="2"/>
  <c r="E4" i="2"/>
  <c r="E5" i="2"/>
  <c r="E6" i="2"/>
  <c r="E7" i="2"/>
  <c r="E2" i="2"/>
  <c r="F3" i="2"/>
  <c r="G3" i="2" s="1"/>
  <c r="F4" i="2"/>
  <c r="G4" i="2" s="1"/>
  <c r="F5" i="2"/>
  <c r="G5" i="2" s="1"/>
  <c r="F6" i="2"/>
  <c r="G6" i="2" s="1"/>
  <c r="F7" i="2"/>
  <c r="G7" i="2" s="1"/>
  <c r="F2" i="2"/>
  <c r="G2" i="2" s="1"/>
  <c r="A11" i="2" s="1"/>
  <c r="J6" i="3" l="1"/>
  <c r="K6" i="3" s="1"/>
  <c r="L6" i="3" s="1"/>
  <c r="B21" i="1"/>
  <c r="C37" i="1" s="1"/>
  <c r="B19" i="1"/>
  <c r="C35" i="1" s="1"/>
  <c r="B23" i="1"/>
  <c r="D39" i="1" s="1"/>
  <c r="D22" i="1"/>
  <c r="G22" i="1" s="1"/>
  <c r="D20" i="1"/>
  <c r="G20" i="1" s="1"/>
  <c r="B22" i="1"/>
  <c r="C38" i="1" s="1"/>
  <c r="H3" i="1"/>
  <c r="D23" i="1"/>
  <c r="F23" i="1" s="1"/>
  <c r="D24" i="1"/>
  <c r="F24" i="1" s="1"/>
  <c r="G3" i="1"/>
  <c r="D21" i="1"/>
  <c r="F21" i="1" s="1"/>
  <c r="N35" i="1"/>
  <c r="G35" i="1" s="1"/>
  <c r="C36" i="1"/>
  <c r="H6" i="1"/>
  <c r="D40" i="1"/>
  <c r="C40" i="1"/>
  <c r="F22" i="1"/>
  <c r="F20" i="1"/>
  <c r="H4" i="1"/>
  <c r="G2" i="1"/>
  <c r="G7" i="1"/>
  <c r="H7" i="1"/>
  <c r="G5" i="1"/>
  <c r="H5" i="1"/>
  <c r="G4" i="1"/>
  <c r="D19" i="1"/>
  <c r="G19" i="1" s="1"/>
  <c r="B28" i="2"/>
  <c r="E28" i="2" s="1"/>
  <c r="E29" i="2" s="1"/>
  <c r="A37" i="2"/>
  <c r="A36" i="2"/>
  <c r="A38" i="2"/>
  <c r="A39" i="2"/>
  <c r="A40" i="2"/>
  <c r="A35" i="2"/>
  <c r="G41" i="2"/>
  <c r="K39" i="2"/>
  <c r="K41" i="2" s="1"/>
  <c r="B11" i="2"/>
  <c r="B15" i="2" s="1"/>
  <c r="A15" i="2"/>
  <c r="D37" i="1" l="1"/>
  <c r="A11" i="1"/>
  <c r="B11" i="1" s="1"/>
  <c r="C39" i="1"/>
  <c r="D38" i="1"/>
  <c r="D35" i="1"/>
  <c r="G24" i="1"/>
  <c r="G23" i="1"/>
  <c r="G21" i="1"/>
  <c r="F35" i="1"/>
  <c r="G41" i="1" s="1"/>
  <c r="F19" i="1"/>
  <c r="A28" i="1" s="1"/>
  <c r="B40" i="2"/>
  <c r="B35" i="2"/>
  <c r="B36" i="2"/>
  <c r="B37" i="2"/>
  <c r="B38" i="2"/>
  <c r="B39" i="2"/>
  <c r="A15" i="1" l="1"/>
  <c r="B15" i="1"/>
  <c r="D28" i="1"/>
  <c r="D29" i="1" s="1"/>
  <c r="B28" i="1"/>
  <c r="E28" i="1" s="1"/>
  <c r="E29" i="1" s="1"/>
  <c r="B38" i="1" l="1"/>
  <c r="B40" i="1"/>
  <c r="B36" i="1"/>
  <c r="B37" i="1"/>
  <c r="B35" i="1"/>
  <c r="B39" i="1"/>
  <c r="A37" i="1"/>
  <c r="A36" i="1"/>
  <c r="A39" i="1"/>
  <c r="A40" i="1"/>
  <c r="A38" i="1"/>
  <c r="A35" i="1"/>
</calcChain>
</file>

<file path=xl/sharedStrings.xml><?xml version="1.0" encoding="utf-8"?>
<sst xmlns="http://schemas.openxmlformats.org/spreadsheetml/2006/main" count="104" uniqueCount="39">
  <si>
    <t>d_i</t>
  </si>
  <si>
    <t>i</t>
  </si>
  <si>
    <t>d_i^2</t>
  </si>
  <si>
    <t>f, mm</t>
  </si>
  <si>
    <t>L, mm</t>
  </si>
  <si>
    <t>\lambda, A</t>
  </si>
  <si>
    <t>x_i+</t>
  </si>
  <si>
    <t>x_i-</t>
  </si>
  <si>
    <t>k</t>
  </si>
  <si>
    <t>\sigma_k</t>
  </si>
  <si>
    <t>L_{exp}</t>
  </si>
  <si>
    <t>\sigma_L</t>
  </si>
  <si>
    <t>av_d</t>
  </si>
  <si>
    <t>d_i2</t>
  </si>
  <si>
    <t>x_i'2</t>
  </si>
  <si>
    <t>x_i'-2</t>
  </si>
  <si>
    <t>\Delta_d</t>
  </si>
  <si>
    <t>\frac{1}{\Delta_d}</t>
  </si>
  <si>
    <t>\Delta_{\lambda}</t>
  </si>
  <si>
    <t>\sigma</t>
  </si>
  <si>
    <t>A</t>
  </si>
  <si>
    <t>D_{exp}</t>
  </si>
  <si>
    <t>D_{theor}</t>
  </si>
  <si>
    <t>R</t>
  </si>
  <si>
    <t>x_1</t>
  </si>
  <si>
    <t>x_2</t>
  </si>
  <si>
    <t>\delta r</t>
  </si>
  <si>
    <t>d</t>
  </si>
  <si>
    <t>\sigma_R</t>
  </si>
  <si>
    <t>m</t>
  </si>
  <si>
    <t>N</t>
  </si>
  <si>
    <t>r</t>
  </si>
  <si>
    <t>R_t</t>
  </si>
  <si>
    <t>N_t</t>
  </si>
  <si>
    <t>\sigma_{d_i^2}</t>
  </si>
  <si>
    <t>\sigma_d</t>
  </si>
  <si>
    <t>avd</t>
  </si>
  <si>
    <t>\Delta D</t>
  </si>
  <si>
    <t>1/\Delta_d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</si>
</sst>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0" borderId="0" xfId="1"/>
    <xf numFmtId="167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Лист2!$J$2:$J$7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1166.2225000000003</c:v>
                </c:pt>
                <c:pt idx="1">
                  <c:v>951.1055999999985</c:v>
                </c:pt>
                <c:pt idx="2">
                  <c:v>738.75239999999883</c:v>
                </c:pt>
                <c:pt idx="3">
                  <c:v>531.30250000000058</c:v>
                </c:pt>
                <c:pt idx="4">
                  <c:v>305.37562499999979</c:v>
                </c:pt>
                <c:pt idx="5">
                  <c:v>96.825600000000065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F-484D-898D-8446BBD5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40880"/>
        <c:axId val="1268041712"/>
      </c:scatterChart>
      <c:valAx>
        <c:axId val="12680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1712"/>
        <c:crosses val="autoZero"/>
        <c:crossBetween val="midCat"/>
      </c:valAx>
      <c:valAx>
        <c:axId val="126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Лист2!$F$19:$F$24</c:f>
              <c:numCache>
                <c:formatCode>0.00</c:formatCode>
                <c:ptCount val="6"/>
                <c:pt idx="0">
                  <c:v>0.96618357487923023</c:v>
                </c:pt>
                <c:pt idx="1">
                  <c:v>0.9009009009009129</c:v>
                </c:pt>
                <c:pt idx="2">
                  <c:v>0.85836909871247313</c:v>
                </c:pt>
                <c:pt idx="3">
                  <c:v>0.64308681672025436</c:v>
                </c:pt>
                <c:pt idx="4">
                  <c:v>0.57306590257879508</c:v>
                </c:pt>
                <c:pt idx="5">
                  <c:v>0.19821605550049493</c:v>
                </c:pt>
              </c:numCache>
            </c:numRef>
          </c:xVal>
          <c:yVal>
            <c:numRef>
              <c:f>Лист2!$B$19:$B$24</c:f>
              <c:numCache>
                <c:formatCode>0.00</c:formatCode>
                <c:ptCount val="6"/>
                <c:pt idx="0">
                  <c:v>33.632500000000007</c:v>
                </c:pt>
                <c:pt idx="1">
                  <c:v>30.284999999999982</c:v>
                </c:pt>
                <c:pt idx="2">
                  <c:v>26.597499999999997</c:v>
                </c:pt>
                <c:pt idx="3">
                  <c:v>22.272500000000008</c:v>
                </c:pt>
                <c:pt idx="4">
                  <c:v>16.602499999999992</c:v>
                </c:pt>
                <c:pt idx="5">
                  <c:v>7.3174999999999955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B-471E-866A-4DFC1B7D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8560"/>
        <c:axId val="1269480224"/>
      </c:scatterChart>
      <c:valAx>
        <c:axId val="1269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80224"/>
        <c:crosses val="autoZero"/>
        <c:crossBetween val="midCat"/>
      </c:valAx>
      <c:valAx>
        <c:axId val="1269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Лист3!$I$2:$I$7</c:f>
                <c:numCache>
                  <c:formatCode>General</c:formatCode>
                  <c:ptCount val="6"/>
                  <c:pt idx="0">
                    <c:v>0.42</c:v>
                  </c:pt>
                  <c:pt idx="1">
                    <c:v>0.42</c:v>
                  </c:pt>
                  <c:pt idx="2">
                    <c:v>0.42</c:v>
                  </c:pt>
                  <c:pt idx="3">
                    <c:v>0.42</c:v>
                  </c:pt>
                  <c:pt idx="4">
                    <c:v>0.42</c:v>
                  </c:pt>
                  <c:pt idx="5">
                    <c:v>0.42</c:v>
                  </c:pt>
                </c:numCache>
              </c:numRef>
            </c:plus>
            <c:minus>
              <c:numRef>
                <c:f>Лист3!$I$2:$I$7</c:f>
                <c:numCache>
                  <c:formatCode>General</c:formatCode>
                  <c:ptCount val="6"/>
                  <c:pt idx="0">
                    <c:v>0.42</c:v>
                  </c:pt>
                  <c:pt idx="1">
                    <c:v>0.42</c:v>
                  </c:pt>
                  <c:pt idx="2">
                    <c:v>0.42</c:v>
                  </c:pt>
                  <c:pt idx="3">
                    <c:v>0.42</c:v>
                  </c:pt>
                  <c:pt idx="4">
                    <c:v>0.42</c:v>
                  </c:pt>
                  <c:pt idx="5">
                    <c:v>0.42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Лист3!$L$2:$L$7</c:f>
                <c:numCache>
                  <c:formatCode>General</c:formatCode>
                  <c:ptCount val="6"/>
                  <c:pt idx="1">
                    <c:v>3.0917555761099863E-2</c:v>
                  </c:pt>
                  <c:pt idx="2">
                    <c:v>7.7301656832180432E-2</c:v>
                  </c:pt>
                  <c:pt idx="3">
                    <c:v>0.10756929255261725</c:v>
                  </c:pt>
                  <c:pt idx="4">
                    <c:v>0.16460905349793684</c:v>
                  </c:pt>
                  <c:pt idx="5">
                    <c:v>0.24348672997321047</c:v>
                  </c:pt>
                </c:numCache>
              </c:numRef>
            </c:plus>
            <c:minus>
              <c:numRef>
                <c:f>Лист3!$L$2:$L$7</c:f>
                <c:numCache>
                  <c:formatCode>General</c:formatCode>
                  <c:ptCount val="6"/>
                  <c:pt idx="1">
                    <c:v>3.0917555761099863E-2</c:v>
                  </c:pt>
                  <c:pt idx="2">
                    <c:v>7.7301656832180432E-2</c:v>
                  </c:pt>
                  <c:pt idx="3">
                    <c:v>0.10756929255261725</c:v>
                  </c:pt>
                  <c:pt idx="4">
                    <c:v>0.16460905349793684</c:v>
                  </c:pt>
                  <c:pt idx="5">
                    <c:v>0.24348672997321047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Лист3!$K$2:$K$7</c:f>
              <c:numCache>
                <c:formatCode>0.00</c:formatCode>
                <c:ptCount val="6"/>
                <c:pt idx="1">
                  <c:v>0.32102728731942121</c:v>
                </c:pt>
                <c:pt idx="2">
                  <c:v>0.50761421319797717</c:v>
                </c:pt>
                <c:pt idx="3">
                  <c:v>0.59880239520957512</c:v>
                </c:pt>
                <c:pt idx="4">
                  <c:v>0.74074074074072827</c:v>
                </c:pt>
                <c:pt idx="5" formatCode="0.0">
                  <c:v>0.90090090090088981</c:v>
                </c:pt>
              </c:numCache>
            </c:numRef>
          </c:xVal>
          <c:yVal>
            <c:numRef>
              <c:f>Лист3!$H$2:$H$7</c:f>
              <c:numCache>
                <c:formatCode>0.00</c:formatCode>
                <c:ptCount val="6"/>
                <c:pt idx="0">
                  <c:v>6.5500000000000114</c:v>
                </c:pt>
                <c:pt idx="1">
                  <c:v>15.777500000000003</c:v>
                </c:pt>
                <c:pt idx="2">
                  <c:v>22.314999999999998</c:v>
                </c:pt>
                <c:pt idx="3">
                  <c:v>27.155000000000001</c:v>
                </c:pt>
                <c:pt idx="4">
                  <c:v>31.264999999999986</c:v>
                </c:pt>
                <c:pt idx="5">
                  <c:v>34.594999999999999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F-4C11-A12E-28B3CAAF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88031"/>
        <c:axId val="2098386783"/>
      </c:scatterChart>
      <c:valAx>
        <c:axId val="20983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386783"/>
        <c:crosses val="autoZero"/>
        <c:crossBetween val="midCat"/>
      </c:valAx>
      <c:valAx>
        <c:axId val="20983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3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Лист2!$J$2:$J$7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1166.2225000000003</c:v>
                </c:pt>
                <c:pt idx="1">
                  <c:v>951.1055999999985</c:v>
                </c:pt>
                <c:pt idx="2">
                  <c:v>738.75239999999883</c:v>
                </c:pt>
                <c:pt idx="3">
                  <c:v>531.30250000000058</c:v>
                </c:pt>
                <c:pt idx="4">
                  <c:v>305.37562499999979</c:v>
                </c:pt>
                <c:pt idx="5">
                  <c:v>96.825600000000065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8-4A7C-9C1D-E5DB2AAF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40880"/>
        <c:axId val="1268041712"/>
      </c:scatterChart>
      <c:valAx>
        <c:axId val="12680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1712"/>
        <c:crosses val="autoZero"/>
        <c:crossBetween val="midCat"/>
      </c:valAx>
      <c:valAx>
        <c:axId val="126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Лист2!$C$19:$C$24</c:f>
                <c:numCache>
                  <c:formatCode>General</c:formatCode>
                  <c:ptCount val="6"/>
                  <c:pt idx="0">
                    <c:v>0.03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</c:v>
                  </c:pt>
                </c:numCache>
              </c:numRef>
            </c:plus>
            <c:minus>
              <c:numRef>
                <c:f>Лист2!$C$19:$C$24</c:f>
                <c:numCache>
                  <c:formatCode>General</c:formatCode>
                  <c:ptCount val="6"/>
                  <c:pt idx="0">
                    <c:v>0.03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Лист2!$G$19:$G$24</c:f>
                <c:numCache>
                  <c:formatCode>General</c:formatCode>
                  <c:ptCount val="6"/>
                  <c:pt idx="0">
                    <c:v>5.6010642021984539E-2</c:v>
                  </c:pt>
                  <c:pt idx="1">
                    <c:v>4.8697345994644592E-2</c:v>
                  </c:pt>
                  <c:pt idx="2">
                    <c:v>4.4207850577467803E-2</c:v>
                  </c:pt>
                  <c:pt idx="3">
                    <c:v>2.4813639230363404E-2</c:v>
                  </c:pt>
                  <c:pt idx="4">
                    <c:v>1.9704271721906943E-2</c:v>
                  </c:pt>
                  <c:pt idx="5">
                    <c:v>2.3573762794905171E-3</c:v>
                  </c:pt>
                </c:numCache>
              </c:numRef>
            </c:plus>
            <c:minus>
              <c:numRef>
                <c:f>Лист2!$G$19:$G$24</c:f>
                <c:numCache>
                  <c:formatCode>General</c:formatCode>
                  <c:ptCount val="6"/>
                  <c:pt idx="0">
                    <c:v>5.6010642021984539E-2</c:v>
                  </c:pt>
                  <c:pt idx="1">
                    <c:v>4.8697345994644592E-2</c:v>
                  </c:pt>
                  <c:pt idx="2">
                    <c:v>4.4207850577467803E-2</c:v>
                  </c:pt>
                  <c:pt idx="3">
                    <c:v>2.4813639230363404E-2</c:v>
                  </c:pt>
                  <c:pt idx="4">
                    <c:v>1.9704271721906943E-2</c:v>
                  </c:pt>
                  <c:pt idx="5">
                    <c:v>2.3573762794905171E-3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Лист2!$F$19:$F$24</c:f>
              <c:numCache>
                <c:formatCode>0.00</c:formatCode>
                <c:ptCount val="6"/>
                <c:pt idx="0">
                  <c:v>0.96618357487923023</c:v>
                </c:pt>
                <c:pt idx="1">
                  <c:v>0.9009009009009129</c:v>
                </c:pt>
                <c:pt idx="2">
                  <c:v>0.85836909871247313</c:v>
                </c:pt>
                <c:pt idx="3">
                  <c:v>0.64308681672025436</c:v>
                </c:pt>
                <c:pt idx="4">
                  <c:v>0.57306590257879508</c:v>
                </c:pt>
                <c:pt idx="5">
                  <c:v>0.19821605550049493</c:v>
                </c:pt>
              </c:numCache>
            </c:numRef>
          </c:xVal>
          <c:yVal>
            <c:numRef>
              <c:f>Лист2!$B$19:$B$24</c:f>
              <c:numCache>
                <c:formatCode>0.00</c:formatCode>
                <c:ptCount val="6"/>
                <c:pt idx="0">
                  <c:v>33.632500000000007</c:v>
                </c:pt>
                <c:pt idx="1">
                  <c:v>30.284999999999982</c:v>
                </c:pt>
                <c:pt idx="2">
                  <c:v>26.597499999999997</c:v>
                </c:pt>
                <c:pt idx="3">
                  <c:v>22.272500000000008</c:v>
                </c:pt>
                <c:pt idx="4">
                  <c:v>16.602499999999992</c:v>
                </c:pt>
                <c:pt idx="5">
                  <c:v>7.3174999999999955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3-4815-8A9D-DA3A421E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8560"/>
        <c:axId val="1269480224"/>
      </c:scatterChart>
      <c:valAx>
        <c:axId val="1269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80224"/>
        <c:crosses val="autoZero"/>
        <c:crossBetween val="midCat"/>
      </c:valAx>
      <c:valAx>
        <c:axId val="1269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164659</xdr:colOff>
      <xdr:row>7</xdr:row>
      <xdr:rowOff>175259</xdr:rowOff>
    </xdr:from>
    <xdr:to>
      <xdr:col>17</xdr:col>
      <xdr:colOff>410817</xdr:colOff>
      <xdr:row>26</xdr:row>
      <xdr:rowOff>59634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E93B03-1100-44AC-A477-8D9470162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126799</xdr:colOff>
      <xdr:row>34</xdr:row>
      <xdr:rowOff>5940</xdr:rowOff>
    </xdr:from>
    <xdr:to>
      <xdr:col>24</xdr:col>
      <xdr:colOff>390939</xdr:colOff>
      <xdr:row>52</xdr:row>
      <xdr:rowOff>13251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F63D92-FE3A-435D-BA56-586B20A4C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0.08431</cdr:x>
      <cdr:y>0.05436</cdr:y>
    </cdr:from>
    <cdr:to>
      <cdr:x>0.19404</cdr:x>
      <cdr:y>0.19697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𝑑^2,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0.91917</cdr:x>
      <cdr:y>0.82994</cdr:y>
    </cdr:from>
    <cdr:to>
      <cdr:x>0.97051</cdr:x>
      <cdr:y>0.9077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0.10621</cdr:x>
      <cdr:y>0.07595</cdr:y>
    </cdr:from>
    <cdr:to>
      <cdr:x>0.26522</cdr:x>
      <cdr:y>0.35154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929A1D-2755-43D6-90C4-982202D50256}"/>
            </a:ext>
          </a:extLst>
        </cdr:cNvPr>
        <cdr:cNvSpPr txBox="1"/>
      </cdr:nvSpPr>
      <cdr:spPr>
        <a:xfrm xmlns:a="http://schemas.openxmlformats.org/drawingml/2006/main">
          <a:off x="610754" y="252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0.09341</cdr:x>
      <cdr:y>0.03319</cdr:y>
    </cdr:from>
    <cdr:to>
      <cdr:x>0.20765</cdr:x>
      <cdr:y>0.13614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bar>
                    <m:r>
                      <a:rPr lang="en-US" sz="12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200" b="0" i="1">
                        <a:latin typeface="Cambria Math" panose="02040503050406030204" pitchFamily="18" charset="0"/>
                      </a:rPr>
                      <m:t>мм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200" i="1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200" b="0" i="0">
                  <a:latin typeface="Cambria Math" panose="02040503050406030204" pitchFamily="18" charset="0"/>
                </a:rPr>
                <a:t>¯𝑑, </a:t>
              </a:r>
              <a:r>
                <a:rPr lang="ru-RU" sz="1200" b="0" i="0">
                  <a:latin typeface="Cambria Math" panose="02040503050406030204" pitchFamily="18" charset="0"/>
                </a:rPr>
                <a:t>мм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ru-RU" sz="1200" i="1"/>
            </a:p>
          </cdr:txBody>
        </cdr:sp>
      </mc:Fallback>
    </mc:AlternateContent>
  </cdr:relSizeAnchor>
  <cdr:relSizeAnchor xmlns:cdr="http://schemas.openxmlformats.org/drawingml/2006/chartDrawing">
    <cdr:from>
      <cdr:x>0.81814</cdr:x>
      <cdr:y>0.78302</cdr:y>
    </cdr:from>
    <cdr:to>
      <cdr:x>0.9698</cdr:x>
      <cdr:y>0.92804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1/Δ𝑑,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^(−1)</a:t>
              </a:r>
              <a:endParaRPr lang="ru-RU" sz="1100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9</xdr:row>
      <xdr:rowOff>38100</xdr:rowOff>
    </xdr:from>
    <xdr:to>
      <xdr:col>10</xdr:col>
      <xdr:colOff>30480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123E50-ED34-4609-A4F2-DCA6C361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0.01402</cdr:x>
      <cdr:y>0.03571</cdr:y>
    </cdr:from>
    <cdr:to>
      <cdr:x>0.21402</cdr:x>
      <cdr:y>0.36714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2C18930-777F-495C-8678-1EB777879C11}"/>
                </a:ext>
              </a:extLst>
            </cdr:cNvPr>
            <cdr:cNvSpPr txBox="1"/>
          </cdr:nvSpPr>
          <cdr:spPr>
            <a:xfrm xmlns:a="http://schemas.openxmlformats.org/drawingml/2006/main">
              <a:off x="64114" y="98535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bar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мм</m:t>
                    </m:r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2C18930-777F-495C-8678-1EB777879C11}"/>
                </a:ext>
              </a:extLst>
            </cdr:cNvPr>
            <cdr:cNvSpPr txBox="1"/>
          </cdr:nvSpPr>
          <cdr:spPr>
            <a:xfrm xmlns:a="http://schemas.openxmlformats.org/drawingml/2006/main">
              <a:off x="64114" y="98535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¯𝑑,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0.80368</cdr:x>
      <cdr:y>0.74429</cdr:y>
    </cdr:from>
    <cdr:to>
      <cdr:x>0.96</cdr:x>
      <cdr:y>0.89857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613212DF-1E2A-4EA1-A481-16667A49E9DC}"/>
                </a:ext>
              </a:extLst>
            </cdr:cNvPr>
            <cdr:cNvSpPr txBox="1"/>
          </cdr:nvSpPr>
          <cdr:spPr>
            <a:xfrm xmlns:a="http://schemas.openxmlformats.org/drawingml/2006/main">
              <a:off x="3674417" y="2053459"/>
              <a:ext cx="714703" cy="42566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ru-RU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613212DF-1E2A-4EA1-A481-16667A49E9DC}"/>
                </a:ext>
              </a:extLst>
            </cdr:cNvPr>
            <cdr:cNvSpPr txBox="1"/>
          </cdr:nvSpPr>
          <cdr:spPr>
            <a:xfrm xmlns:a="http://schemas.openxmlformats.org/drawingml/2006/main">
              <a:off x="3674417" y="2053459"/>
              <a:ext cx="714703" cy="42566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100" b="0" i="0">
                  <a:latin typeface="Cambria Math" panose="02040503050406030204" pitchFamily="18" charset="0"/>
                </a:rPr>
                <a:t>1/Δ</a:t>
              </a:r>
              <a:r>
                <a:rPr lang="en-US" sz="1100" b="0" i="0">
                  <a:latin typeface="Cambria Math" panose="02040503050406030204" pitchFamily="18" charset="0"/>
                </a:rPr>
                <a:t>𝑑,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^(−1)</a:t>
              </a:r>
              <a:endParaRPr lang="ru-RU" sz="1100"/>
            </a:p>
          </cdr:txBody>
        </cdr:sp>
      </mc:Fallback>
    </mc:AlternateContent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164659</xdr:colOff>
      <xdr:row>7</xdr:row>
      <xdr:rowOff>175259</xdr:rowOff>
    </xdr:from>
    <xdr:to>
      <xdr:col>17</xdr:col>
      <xdr:colOff>410817</xdr:colOff>
      <xdr:row>26</xdr:row>
      <xdr:rowOff>59634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249723-723B-4421-97C1-2AE98C29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126799</xdr:colOff>
      <xdr:row>34</xdr:row>
      <xdr:rowOff>5940</xdr:rowOff>
    </xdr:from>
    <xdr:to>
      <xdr:col>24</xdr:col>
      <xdr:colOff>390939</xdr:colOff>
      <xdr:row>52</xdr:row>
      <xdr:rowOff>13251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1ADD74-3F77-4661-8246-2E6DE59D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0.08431</cdr:x>
      <cdr:y>0.05436</cdr:y>
    </cdr:from>
    <cdr:to>
      <cdr:x>0.19404</cdr:x>
      <cdr:y>0.19697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𝑑^2,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0.91917</cdr:x>
      <cdr:y>0.82994</cdr:y>
    </cdr:from>
    <cdr:to>
      <cdr:x>0.97051</cdr:x>
      <cdr:y>0.9077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0.10621</cdr:x>
      <cdr:y>0.07595</cdr:y>
    </cdr:from>
    <cdr:to>
      <cdr:x>0.26522</cdr:x>
      <cdr:y>0.35154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929A1D-2755-43D6-90C4-982202D50256}"/>
            </a:ext>
          </a:extLst>
        </cdr:cNvPr>
        <cdr:cNvSpPr txBox="1"/>
      </cdr:nvSpPr>
      <cdr:spPr>
        <a:xfrm xmlns:a="http://schemas.openxmlformats.org/drawingml/2006/main">
          <a:off x="610754" y="252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0.09341</cdr:x>
      <cdr:y>0.03319</cdr:y>
    </cdr:from>
    <cdr:to>
      <cdr:x>0.20765</cdr:x>
      <cdr:y>0.13614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bar>
                    <m:r>
                      <a:rPr lang="en-US" sz="12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200" b="0" i="1">
                        <a:latin typeface="Cambria Math" panose="02040503050406030204" pitchFamily="18" charset="0"/>
                      </a:rPr>
                      <m:t>мм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200" i="1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200" b="0" i="0">
                  <a:latin typeface="Cambria Math" panose="02040503050406030204" pitchFamily="18" charset="0"/>
                </a:rPr>
                <a:t>¯𝑑, </a:t>
              </a:r>
              <a:r>
                <a:rPr lang="ru-RU" sz="1200" b="0" i="0">
                  <a:latin typeface="Cambria Math" panose="02040503050406030204" pitchFamily="18" charset="0"/>
                </a:rPr>
                <a:t>мм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ru-RU" sz="1200" i="1"/>
            </a:p>
          </cdr:txBody>
        </cdr:sp>
      </mc:Fallback>
    </mc:AlternateContent>
  </cdr:relSizeAnchor>
  <cdr:relSizeAnchor xmlns:cdr="http://schemas.openxmlformats.org/drawingml/2006/chartDrawing">
    <cdr:from>
      <cdr:x>0.81814</cdr:x>
      <cdr:y>0.78302</cdr:y>
    </cdr:from>
    <cdr:to>
      <cdr:x>0.9698</cdr:x>
      <cdr:y>0.92804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1/Δ𝑑,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^(−1)</a:t>
              </a:r>
              <a:endParaRPr lang="ru-RU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zoomScaleNormal="100" workbookViewId="0">
      <selection activeCell="G5" sqref="G5"/>
    </sheetView>
  </sheetViews>
  <sheetFormatPr defaultRowHeight="14.4" x14ac:dyDescent="0.3"/>
  <cols>
    <col min="2" max="2" width="9.88671875" bestFit="1" customWidth="1"/>
    <col min="4" max="4" width="12" bestFit="1" customWidth="1"/>
  </cols>
  <sheetData>
    <row r="1" spans="1:13" x14ac:dyDescent="0.3">
      <c r="A1" t="s">
        <v>14</v>
      </c>
      <c r="B1" t="s">
        <v>15</v>
      </c>
      <c r="C1" t="s">
        <v>6</v>
      </c>
      <c r="D1" t="s">
        <v>7</v>
      </c>
      <c r="E1" t="s">
        <v>13</v>
      </c>
      <c r="F1" t="s">
        <v>0</v>
      </c>
      <c r="G1" t="s">
        <v>2</v>
      </c>
      <c r="H1" t="s">
        <v>34</v>
      </c>
      <c r="I1" t="s">
        <v>35</v>
      </c>
      <c r="J1" t="s">
        <v>1</v>
      </c>
      <c r="K1" t="s">
        <v>3</v>
      </c>
      <c r="L1">
        <v>94</v>
      </c>
      <c r="M1">
        <v>0.5</v>
      </c>
    </row>
    <row r="2" spans="1:13" x14ac:dyDescent="0.3">
      <c r="A2">
        <v>163.59</v>
      </c>
      <c r="B2">
        <v>130.47499999999999</v>
      </c>
      <c r="C2">
        <v>191.55</v>
      </c>
      <c r="D2">
        <v>155.82</v>
      </c>
      <c r="E2">
        <f t="shared" ref="E2:E7" si="0">A2-B2</f>
        <v>33.115000000000009</v>
      </c>
      <c r="F2">
        <f t="shared" ref="F2:F7" si="1">C2-D2</f>
        <v>35.730000000000018</v>
      </c>
      <c r="G2">
        <f t="shared" ref="G2:G7" si="2">F2*F2</f>
        <v>1276.6329000000012</v>
      </c>
      <c r="H2" s="3">
        <f t="shared" ref="H2:H7" si="3">2*F2*I2</f>
        <v>7.1460000000000037E-2</v>
      </c>
      <c r="I2">
        <f>2*0.0005</f>
        <v>1E-3</v>
      </c>
      <c r="J2">
        <v>6</v>
      </c>
      <c r="K2" t="s">
        <v>4</v>
      </c>
      <c r="L2">
        <v>0.1</v>
      </c>
      <c r="M2">
        <v>0.05</v>
      </c>
    </row>
    <row r="3" spans="1:13" x14ac:dyDescent="0.3">
      <c r="A3">
        <v>162</v>
      </c>
      <c r="B3">
        <v>132.27000000000001</v>
      </c>
      <c r="C3">
        <v>189.96</v>
      </c>
      <c r="D3">
        <v>157.38999999999999</v>
      </c>
      <c r="E3">
        <f t="shared" si="0"/>
        <v>29.72999999999999</v>
      </c>
      <c r="F3">
        <f t="shared" si="1"/>
        <v>32.570000000000022</v>
      </c>
      <c r="G3">
        <f t="shared" si="2"/>
        <v>1060.8049000000015</v>
      </c>
      <c r="H3" s="3">
        <f t="shared" si="3"/>
        <v>6.5140000000000045E-2</v>
      </c>
      <c r="I3">
        <f t="shared" ref="I3:I7" si="4">2*0.0005</f>
        <v>1E-3</v>
      </c>
      <c r="J3">
        <v>5</v>
      </c>
      <c r="K3" t="s">
        <v>5</v>
      </c>
      <c r="L3">
        <v>5893</v>
      </c>
      <c r="M3">
        <v>0.5</v>
      </c>
    </row>
    <row r="4" spans="1:13" x14ac:dyDescent="0.3">
      <c r="A4">
        <v>160.09</v>
      </c>
      <c r="B4">
        <v>134.07499999999999</v>
      </c>
      <c r="C4">
        <v>188.15</v>
      </c>
      <c r="D4">
        <v>159.16</v>
      </c>
      <c r="E4">
        <f t="shared" si="0"/>
        <v>26.015000000000015</v>
      </c>
      <c r="F4">
        <f t="shared" si="1"/>
        <v>28.990000000000009</v>
      </c>
      <c r="G4">
        <f t="shared" si="2"/>
        <v>840.4201000000005</v>
      </c>
      <c r="H4" s="3">
        <f t="shared" si="3"/>
        <v>5.7980000000000018E-2</v>
      </c>
      <c r="I4">
        <f t="shared" si="4"/>
        <v>1E-3</v>
      </c>
      <c r="J4">
        <v>4</v>
      </c>
    </row>
    <row r="5" spans="1:13" x14ac:dyDescent="0.3">
      <c r="A5">
        <v>157.88</v>
      </c>
      <c r="B5">
        <v>136.38499999999999</v>
      </c>
      <c r="C5">
        <v>186.11</v>
      </c>
      <c r="D5">
        <v>161.19</v>
      </c>
      <c r="E5">
        <f t="shared" si="0"/>
        <v>21.495000000000005</v>
      </c>
      <c r="F5">
        <f t="shared" si="1"/>
        <v>24.920000000000016</v>
      </c>
      <c r="G5">
        <f t="shared" si="2"/>
        <v>621.00640000000078</v>
      </c>
      <c r="H5" s="3">
        <f t="shared" si="3"/>
        <v>4.984000000000003E-2</v>
      </c>
      <c r="I5">
        <f t="shared" si="4"/>
        <v>1E-3</v>
      </c>
      <c r="J5">
        <v>3</v>
      </c>
    </row>
    <row r="6" spans="1:13" x14ac:dyDescent="0.3">
      <c r="A6">
        <v>155.095</v>
      </c>
      <c r="B6">
        <v>139.36500000000001</v>
      </c>
      <c r="C6">
        <v>183.55</v>
      </c>
      <c r="D6">
        <v>163.87</v>
      </c>
      <c r="E6">
        <f t="shared" si="0"/>
        <v>15.72999999999999</v>
      </c>
      <c r="F6">
        <f t="shared" si="1"/>
        <v>19.680000000000007</v>
      </c>
      <c r="G6">
        <f t="shared" si="2"/>
        <v>387.30240000000026</v>
      </c>
      <c r="H6" s="3">
        <f t="shared" si="3"/>
        <v>3.9360000000000013E-2</v>
      </c>
      <c r="I6">
        <f t="shared" si="4"/>
        <v>1E-3</v>
      </c>
      <c r="J6">
        <v>2</v>
      </c>
    </row>
    <row r="7" spans="1:13" x14ac:dyDescent="0.3">
      <c r="A7">
        <v>149.69499999999999</v>
      </c>
      <c r="B7">
        <v>144.9</v>
      </c>
      <c r="C7">
        <v>179.85</v>
      </c>
      <c r="D7">
        <v>167.61</v>
      </c>
      <c r="E7">
        <f t="shared" si="0"/>
        <v>4.7949999999999875</v>
      </c>
      <c r="F7">
        <f t="shared" si="1"/>
        <v>12.239999999999981</v>
      </c>
      <c r="G7">
        <f t="shared" si="2"/>
        <v>149.81759999999952</v>
      </c>
      <c r="H7" s="3">
        <f t="shared" si="3"/>
        <v>2.447999999999996E-2</v>
      </c>
      <c r="I7">
        <f t="shared" si="4"/>
        <v>1E-3</v>
      </c>
      <c r="J7">
        <v>1</v>
      </c>
    </row>
    <row r="10" spans="1:13" x14ac:dyDescent="0.3">
      <c r="A10" t="s">
        <v>8</v>
      </c>
      <c r="B10" t="s">
        <v>9</v>
      </c>
    </row>
    <row r="11" spans="1:13" x14ac:dyDescent="0.3">
      <c r="A11" s="5">
        <f>_xlfn.COVARIANCE.P(J2:J7,G2:G7)/_xlfn.VAR.P(J2:J7)</f>
        <v>224.97136285714322</v>
      </c>
      <c r="B11" s="4">
        <f>1/SQRT(6) * SQRT(_xlfn.VAR.P(G2:G7)/_xlfn.VAR.P(J2:J7) - A11^2)</f>
        <v>1.7727595947771222</v>
      </c>
    </row>
    <row r="14" spans="1:13" x14ac:dyDescent="0.3">
      <c r="A14" t="s">
        <v>10</v>
      </c>
      <c r="B14" t="s">
        <v>11</v>
      </c>
    </row>
    <row r="15" spans="1:13" x14ac:dyDescent="0.3">
      <c r="A15" s="1">
        <f>4*L1^2*L3*0.0000001/A11</f>
        <v>9.2581646550391902E-2</v>
      </c>
      <c r="B15" s="1">
        <f>SQRT(SUMSQ(8*L1*M1*L3*0.0000001/A11,4*L1^2*M3*0.0000001/A11,4*L1^2*L3*0.0000001*B11/A11^2))</f>
        <v>1.2256983021175726E-3</v>
      </c>
    </row>
    <row r="18" spans="1:7" x14ac:dyDescent="0.3">
      <c r="A18" t="s">
        <v>1</v>
      </c>
      <c r="B18" t="s">
        <v>12</v>
      </c>
      <c r="C18" t="s">
        <v>19</v>
      </c>
      <c r="D18" t="s">
        <v>16</v>
      </c>
      <c r="E18" t="s">
        <v>19</v>
      </c>
      <c r="F18" t="s">
        <v>17</v>
      </c>
      <c r="G18" t="s">
        <v>19</v>
      </c>
    </row>
    <row r="19" spans="1:7" x14ac:dyDescent="0.3">
      <c r="A19">
        <v>6</v>
      </c>
      <c r="B19" s="1">
        <f t="shared" ref="B19:B24" si="5">AVERAGE(E2:F2)</f>
        <v>34.422500000000014</v>
      </c>
      <c r="C19">
        <f>0.0005</f>
        <v>5.0000000000000001E-4</v>
      </c>
      <c r="D19">
        <f t="shared" ref="D19:D24" si="6">F2-E2</f>
        <v>2.6150000000000091</v>
      </c>
      <c r="E19">
        <f>2*0.0005</f>
        <v>1E-3</v>
      </c>
      <c r="F19" s="1">
        <f t="shared" ref="F19:F24" si="7">1/D19</f>
        <v>0.38240917782026634</v>
      </c>
      <c r="G19" s="1">
        <f>E19/D19^2</f>
        <v>1.4623677928117209E-4</v>
      </c>
    </row>
    <row r="20" spans="1:7" x14ac:dyDescent="0.3">
      <c r="A20">
        <v>5</v>
      </c>
      <c r="B20" s="1">
        <f t="shared" si="5"/>
        <v>31.150000000000006</v>
      </c>
      <c r="C20">
        <f t="shared" ref="C20:C24" si="8">0.0005</f>
        <v>5.0000000000000001E-4</v>
      </c>
      <c r="D20">
        <f t="shared" si="6"/>
        <v>2.8400000000000318</v>
      </c>
      <c r="E20">
        <f t="shared" ref="E20:E24" si="9">2*0.0005</f>
        <v>1E-3</v>
      </c>
      <c r="F20" s="1">
        <f t="shared" si="7"/>
        <v>0.35211267605633406</v>
      </c>
      <c r="G20" s="1">
        <f t="shared" ref="G20:G24" si="10">E20/D20^2</f>
        <v>1.2398333663955286E-4</v>
      </c>
    </row>
    <row r="21" spans="1:7" x14ac:dyDescent="0.3">
      <c r="A21">
        <v>4</v>
      </c>
      <c r="B21" s="1">
        <f t="shared" si="5"/>
        <v>27.502500000000012</v>
      </c>
      <c r="C21">
        <f t="shared" si="8"/>
        <v>5.0000000000000001E-4</v>
      </c>
      <c r="D21">
        <f t="shared" si="6"/>
        <v>2.9749999999999943</v>
      </c>
      <c r="E21">
        <f t="shared" si="9"/>
        <v>1E-3</v>
      </c>
      <c r="F21" s="1">
        <f t="shared" si="7"/>
        <v>0.33613445378151324</v>
      </c>
      <c r="G21" s="1">
        <f t="shared" si="10"/>
        <v>1.1298637101899628E-4</v>
      </c>
    </row>
    <row r="22" spans="1:7" x14ac:dyDescent="0.3">
      <c r="A22">
        <v>3</v>
      </c>
      <c r="B22" s="1">
        <f t="shared" si="5"/>
        <v>23.20750000000001</v>
      </c>
      <c r="C22">
        <f t="shared" si="8"/>
        <v>5.0000000000000001E-4</v>
      </c>
      <c r="D22">
        <f t="shared" si="6"/>
        <v>3.4250000000000114</v>
      </c>
      <c r="E22">
        <f t="shared" si="9"/>
        <v>1E-3</v>
      </c>
      <c r="F22" s="1">
        <f t="shared" si="7"/>
        <v>0.29197080291970706</v>
      </c>
      <c r="G22" s="1">
        <f t="shared" si="10"/>
        <v>8.5246949757578427E-5</v>
      </c>
    </row>
    <row r="23" spans="1:7" x14ac:dyDescent="0.3">
      <c r="A23">
        <v>2</v>
      </c>
      <c r="B23" s="1">
        <f t="shared" si="5"/>
        <v>17.704999999999998</v>
      </c>
      <c r="C23">
        <f t="shared" si="8"/>
        <v>5.0000000000000001E-4</v>
      </c>
      <c r="D23">
        <f t="shared" si="6"/>
        <v>3.9500000000000171</v>
      </c>
      <c r="E23">
        <f t="shared" si="9"/>
        <v>1E-3</v>
      </c>
      <c r="F23" s="1">
        <f t="shared" si="7"/>
        <v>0.25316455696202422</v>
      </c>
      <c r="G23" s="1">
        <f t="shared" si="10"/>
        <v>6.4092292901778009E-5</v>
      </c>
    </row>
    <row r="24" spans="1:7" x14ac:dyDescent="0.3">
      <c r="A24">
        <v>1</v>
      </c>
      <c r="B24" s="1">
        <f t="shared" si="5"/>
        <v>8.5174999999999841</v>
      </c>
      <c r="C24">
        <f t="shared" si="8"/>
        <v>5.0000000000000001E-4</v>
      </c>
      <c r="D24">
        <f t="shared" si="6"/>
        <v>7.4449999999999932</v>
      </c>
      <c r="E24">
        <f t="shared" si="9"/>
        <v>1E-3</v>
      </c>
      <c r="F24" s="8">
        <f t="shared" si="7"/>
        <v>0.1343183344526529</v>
      </c>
      <c r="G24" s="8">
        <f t="shared" si="10"/>
        <v>1.8041414970134727E-5</v>
      </c>
    </row>
    <row r="27" spans="1:7" x14ac:dyDescent="0.3">
      <c r="A27" t="s">
        <v>8</v>
      </c>
      <c r="B27" t="s">
        <v>9</v>
      </c>
      <c r="D27" t="s">
        <v>18</v>
      </c>
      <c r="E27" t="s">
        <v>19</v>
      </c>
    </row>
    <row r="28" spans="1:7" x14ac:dyDescent="0.3">
      <c r="A28" s="5">
        <f>_xlfn.COVARIANCE.P(F19:F24,B19:B24)/_xlfn.VAR.P(F19:F24)</f>
        <v>105.02098380577435</v>
      </c>
      <c r="B28" s="5">
        <f>1/SQRT(6) * SQRT(_xlfn.VAR.P(B19:B24)/_xlfn.VAR.P(F19:F24)-A28^2)</f>
        <v>6.203343881952927</v>
      </c>
      <c r="D28">
        <f>L3*0.0000001*A28/(4*L1^2)</f>
        <v>1.7510430555891473E-6</v>
      </c>
      <c r="E28" s="6">
        <f>SQRT(SUMSQ(M3*0.0000001*A28/(4*L1^2),L3*0.0000001*B28/(4*L1^2),L3*0.0000001*A28*M1/(2*L1^3)))</f>
        <v>1.050942311635793E-7</v>
      </c>
    </row>
    <row r="29" spans="1:7" x14ac:dyDescent="0.3">
      <c r="C29" t="s">
        <v>20</v>
      </c>
      <c r="D29" s="4">
        <f>D28*10000000</f>
        <v>17.510430555891471</v>
      </c>
      <c r="E29" s="4">
        <f>E28*10000000</f>
        <v>1.050942311635793</v>
      </c>
    </row>
    <row r="34" spans="1:15" x14ac:dyDescent="0.3">
      <c r="A34" t="s">
        <v>21</v>
      </c>
      <c r="B34" t="s">
        <v>19</v>
      </c>
      <c r="C34" t="s">
        <v>22</v>
      </c>
      <c r="D34" t="s">
        <v>19</v>
      </c>
      <c r="F34" t="s">
        <v>23</v>
      </c>
      <c r="G34" t="s">
        <v>28</v>
      </c>
      <c r="I34" s="7"/>
      <c r="J34" t="s">
        <v>24</v>
      </c>
      <c r="K34" t="s">
        <v>25</v>
      </c>
      <c r="L34" t="s">
        <v>26</v>
      </c>
      <c r="M34" t="s">
        <v>19</v>
      </c>
      <c r="N34" t="s">
        <v>27</v>
      </c>
      <c r="O34" t="s">
        <v>19</v>
      </c>
    </row>
    <row r="35" spans="1:15" x14ac:dyDescent="0.3">
      <c r="A35" s="2">
        <f t="shared" ref="A35:A40" si="11">D19/(2*$D$29)</f>
        <v>7.4669780153412024E-2</v>
      </c>
      <c r="B35" s="2">
        <f t="shared" ref="B35:B40" si="12">SQRT(SUMSQ(0.005/(2*$D$29),D19*$E$29/(2*$D$29^2)))</f>
        <v>4.483809995871107E-3</v>
      </c>
      <c r="C35" s="2">
        <f t="shared" ref="C35:C40" si="13">2*$L$1^2/($L$3*B19)</f>
        <v>8.711779068947588E-2</v>
      </c>
      <c r="D35" s="2">
        <f t="shared" ref="D35:D40" si="14">SQRT(SUMSQ(2*2*$L$1*$M$1/($L$3*B19),2*$L$1^2*$M$3/($L$3^2*B19),2*$L$1^2*0.01/($L$3*B19^2)))</f>
        <v>9.2715996486647989E-4</v>
      </c>
      <c r="F35" s="5">
        <f>4*L1^2/(N35*L35)</f>
        <v>4067.016477952644</v>
      </c>
      <c r="G35" s="5">
        <f>SQRT(SUMSQ(8*L1*M1/(N35*L35),4*L1^2*O35/(L35*N35^2),4*L1^2*M35/(L35^2*N35)))</f>
        <v>43.644940529769087</v>
      </c>
      <c r="J35">
        <v>142.52500000000001</v>
      </c>
      <c r="K35">
        <v>141.815</v>
      </c>
      <c r="L35">
        <f>J35-K35</f>
        <v>0.71000000000000796</v>
      </c>
      <c r="M35">
        <f>0.0005*2</f>
        <v>1E-3</v>
      </c>
      <c r="N35">
        <f>F7</f>
        <v>12.239999999999981</v>
      </c>
      <c r="O35">
        <v>1E-3</v>
      </c>
    </row>
    <row r="36" spans="1:15" x14ac:dyDescent="0.3">
      <c r="A36" s="2">
        <f t="shared" si="11"/>
        <v>8.1094522231622099E-2</v>
      </c>
      <c r="B36" s="2">
        <f t="shared" si="12"/>
        <v>4.8692305912752245E-3</v>
      </c>
      <c r="C36" s="1">
        <f t="shared" si="13"/>
        <v>9.6270052969774769E-2</v>
      </c>
      <c r="D36" s="1">
        <f t="shared" si="14"/>
        <v>1.0246482592213316E-3</v>
      </c>
    </row>
    <row r="37" spans="1:15" x14ac:dyDescent="0.3">
      <c r="A37" s="2">
        <f t="shared" si="11"/>
        <v>8.4949367478546686E-2</v>
      </c>
      <c r="B37" s="2">
        <f t="shared" si="12"/>
        <v>5.1004960127650203E-3</v>
      </c>
      <c r="C37" s="1">
        <f t="shared" si="13"/>
        <v>0.10903780201830682</v>
      </c>
      <c r="D37" s="1">
        <f t="shared" si="14"/>
        <v>1.1606908234126883E-3</v>
      </c>
      <c r="F37">
        <v>5050</v>
      </c>
      <c r="G37">
        <v>50</v>
      </c>
    </row>
    <row r="38" spans="1:15" x14ac:dyDescent="0.3">
      <c r="A38" s="3">
        <f t="shared" si="11"/>
        <v>9.779885163496603E-2</v>
      </c>
      <c r="B38" s="3">
        <f t="shared" si="12"/>
        <v>5.8714347916954341E-3</v>
      </c>
      <c r="C38" s="1">
        <f t="shared" si="13"/>
        <v>0.12921737153973858</v>
      </c>
      <c r="D38" s="1">
        <f t="shared" si="14"/>
        <v>1.3758237287854066E-3</v>
      </c>
      <c r="I38" t="s">
        <v>31</v>
      </c>
      <c r="K38" t="s">
        <v>32</v>
      </c>
    </row>
    <row r="39" spans="1:15" x14ac:dyDescent="0.3">
      <c r="A39" s="2">
        <f t="shared" si="11"/>
        <v>0.11278991648412151</v>
      </c>
      <c r="B39" s="2">
        <f t="shared" si="12"/>
        <v>6.7709389335771997E-3</v>
      </c>
      <c r="C39" s="2">
        <f t="shared" si="13"/>
        <v>0.16937656876636459</v>
      </c>
      <c r="D39" s="2">
        <f t="shared" si="14"/>
        <v>1.8044733958776274E-3</v>
      </c>
      <c r="F39" t="s">
        <v>29</v>
      </c>
      <c r="G39">
        <f>2*L2/L3*10000000</f>
        <v>339.38571186153064</v>
      </c>
      <c r="I39">
        <v>0.85</v>
      </c>
      <c r="K39">
        <f>PI()*SQRT(I39)/(1-I39) * G39</f>
        <v>6553.3238614120328</v>
      </c>
    </row>
    <row r="40" spans="1:15" x14ac:dyDescent="0.3">
      <c r="A40" s="3">
        <f t="shared" si="11"/>
        <v>0.21258757676564058</v>
      </c>
      <c r="B40" s="3">
        <f t="shared" si="12"/>
        <v>1.275989562220955E-2</v>
      </c>
      <c r="C40" s="2">
        <f t="shared" si="13"/>
        <v>0.35207656589474495</v>
      </c>
      <c r="D40" s="2">
        <f t="shared" si="14"/>
        <v>3.7683539876636513E-3</v>
      </c>
    </row>
    <row r="41" spans="1:15" x14ac:dyDescent="0.3">
      <c r="F41" t="s">
        <v>30</v>
      </c>
      <c r="G41">
        <f>F35/G39</f>
        <v>11.983464052287465</v>
      </c>
      <c r="J41" t="s">
        <v>33</v>
      </c>
      <c r="K41">
        <f>K39/G39</f>
        <v>19.309368757650553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01A1-45AB-4725-A5DC-56569E8C0634}">
  <dimension ref="A1:L7"/>
  <sheetViews>
    <sheetView zoomScale="115" zoomScaleNormal="115" workbookViewId="0">
      <selection activeCell="L17" sqref="L17"/>
    </sheetView>
  </sheetViews>
  <sheetFormatPr defaultRowHeight="14.4" x14ac:dyDescent="0.3"/>
  <sheetData>
    <row r="1" spans="1:12" x14ac:dyDescent="0.3">
      <c r="A1" t="s">
        <v>30</v>
      </c>
      <c r="B1" t="s">
        <v>24</v>
      </c>
      <c r="C1" t="s">
        <v>25</v>
      </c>
      <c r="D1" t="s">
        <v>27</v>
      </c>
      <c r="E1" t="s">
        <v>24</v>
      </c>
      <c r="F1" t="s">
        <v>25</v>
      </c>
      <c r="G1" t="s">
        <v>27</v>
      </c>
      <c r="H1" t="s">
        <v>36</v>
      </c>
      <c r="I1" t="s">
        <v>19</v>
      </c>
      <c r="J1" t="s">
        <v>37</v>
      </c>
      <c r="K1" t="s">
        <v>38</v>
      </c>
      <c r="L1" t="s">
        <v>19</v>
      </c>
    </row>
    <row r="2" spans="1:12" x14ac:dyDescent="0.3">
      <c r="A2">
        <v>1</v>
      </c>
      <c r="B2">
        <v>170.38</v>
      </c>
      <c r="C2">
        <v>176.93</v>
      </c>
      <c r="D2">
        <f>C2-B2</f>
        <v>6.5500000000000114</v>
      </c>
      <c r="G2">
        <f>D2</f>
        <v>6.5500000000000114</v>
      </c>
      <c r="H2" s="3">
        <f t="shared" ref="H2:H7" si="0">AVERAGE(D2,G2)</f>
        <v>6.5500000000000114</v>
      </c>
      <c r="I2">
        <v>0.42</v>
      </c>
      <c r="J2">
        <f>G2-D2</f>
        <v>0</v>
      </c>
    </row>
    <row r="3" spans="1:12" x14ac:dyDescent="0.3">
      <c r="A3">
        <v>2</v>
      </c>
      <c r="B3">
        <v>166.66</v>
      </c>
      <c r="C3">
        <v>180.88</v>
      </c>
      <c r="D3">
        <f t="shared" ref="D3:D7" si="1">C3-B3</f>
        <v>14.219999999999999</v>
      </c>
      <c r="E3">
        <v>164.94</v>
      </c>
      <c r="F3">
        <v>182.27500000000001</v>
      </c>
      <c r="G3">
        <f t="shared" ref="G3:G7" si="2">F3-E3</f>
        <v>17.335000000000008</v>
      </c>
      <c r="H3" s="3">
        <f t="shared" si="0"/>
        <v>15.777500000000003</v>
      </c>
      <c r="I3">
        <v>0.42</v>
      </c>
      <c r="J3" s="3">
        <f t="shared" ref="J3:J7" si="3">G3-D3</f>
        <v>3.1150000000000091</v>
      </c>
      <c r="K3" s="3">
        <f>1/J3</f>
        <v>0.32102728731942121</v>
      </c>
      <c r="L3" s="3">
        <f>0.3*K3*K3</f>
        <v>3.0917555761099863E-2</v>
      </c>
    </row>
    <row r="4" spans="1:12" x14ac:dyDescent="0.3">
      <c r="A4">
        <v>3</v>
      </c>
      <c r="B4">
        <v>162.94</v>
      </c>
      <c r="C4">
        <v>184.27</v>
      </c>
      <c r="D4">
        <f t="shared" si="1"/>
        <v>21.330000000000013</v>
      </c>
      <c r="E4">
        <v>161.995</v>
      </c>
      <c r="F4">
        <v>185.29499999999999</v>
      </c>
      <c r="G4">
        <f t="shared" si="2"/>
        <v>23.299999999999983</v>
      </c>
      <c r="H4" s="3">
        <f t="shared" si="0"/>
        <v>22.314999999999998</v>
      </c>
      <c r="I4">
        <v>0.42</v>
      </c>
      <c r="J4">
        <f t="shared" si="3"/>
        <v>1.9699999999999704</v>
      </c>
      <c r="K4" s="3">
        <f t="shared" ref="K4:K7" si="4">1/J4</f>
        <v>0.50761421319797717</v>
      </c>
      <c r="L4" s="3">
        <f t="shared" ref="L4:L7" si="5">0.3*K4*K4</f>
        <v>7.7301656832180432E-2</v>
      </c>
    </row>
    <row r="5" spans="1:12" x14ac:dyDescent="0.3">
      <c r="A5">
        <v>4</v>
      </c>
      <c r="B5">
        <v>160.53</v>
      </c>
      <c r="C5">
        <v>186.85</v>
      </c>
      <c r="D5">
        <f t="shared" si="1"/>
        <v>26.319999999999993</v>
      </c>
      <c r="E5">
        <v>159.69999999999999</v>
      </c>
      <c r="F5">
        <v>187.69</v>
      </c>
      <c r="G5">
        <f t="shared" si="2"/>
        <v>27.990000000000009</v>
      </c>
      <c r="H5" s="3">
        <f t="shared" si="0"/>
        <v>27.155000000000001</v>
      </c>
      <c r="I5">
        <v>0.42</v>
      </c>
      <c r="J5">
        <f t="shared" si="3"/>
        <v>1.6700000000000159</v>
      </c>
      <c r="K5" s="3">
        <f t="shared" si="4"/>
        <v>0.59880239520957512</v>
      </c>
      <c r="L5" s="3">
        <f t="shared" si="5"/>
        <v>0.10756929255261725</v>
      </c>
    </row>
    <row r="6" spans="1:12" x14ac:dyDescent="0.3">
      <c r="A6">
        <v>5</v>
      </c>
      <c r="B6">
        <v>158.36000000000001</v>
      </c>
      <c r="C6">
        <v>188.95</v>
      </c>
      <c r="D6">
        <f t="shared" si="1"/>
        <v>30.589999999999975</v>
      </c>
      <c r="E6">
        <v>157.69</v>
      </c>
      <c r="F6">
        <v>189.63</v>
      </c>
      <c r="G6">
        <f t="shared" si="2"/>
        <v>31.939999999999998</v>
      </c>
      <c r="H6" s="3">
        <f t="shared" si="0"/>
        <v>31.264999999999986</v>
      </c>
      <c r="I6">
        <v>0.42</v>
      </c>
      <c r="J6">
        <f t="shared" si="3"/>
        <v>1.3500000000000227</v>
      </c>
      <c r="K6" s="3">
        <f t="shared" si="4"/>
        <v>0.74074074074072827</v>
      </c>
      <c r="L6" s="3">
        <f t="shared" si="5"/>
        <v>0.16460905349793684</v>
      </c>
    </row>
    <row r="7" spans="1:12" x14ac:dyDescent="0.3">
      <c r="A7">
        <v>6</v>
      </c>
      <c r="B7">
        <v>156.62</v>
      </c>
      <c r="C7">
        <v>190.66</v>
      </c>
      <c r="D7">
        <f t="shared" si="1"/>
        <v>34.039999999999992</v>
      </c>
      <c r="E7">
        <v>156.09</v>
      </c>
      <c r="F7">
        <v>191.24</v>
      </c>
      <c r="G7">
        <f t="shared" si="2"/>
        <v>35.150000000000006</v>
      </c>
      <c r="H7" s="3">
        <f t="shared" si="0"/>
        <v>34.594999999999999</v>
      </c>
      <c r="I7">
        <v>0.42</v>
      </c>
      <c r="J7">
        <f t="shared" si="3"/>
        <v>1.1100000000000136</v>
      </c>
      <c r="K7" s="4">
        <f t="shared" si="4"/>
        <v>0.90090090090088981</v>
      </c>
      <c r="L7" s="4">
        <f t="shared" si="5"/>
        <v>0.24348672997321047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482D-3019-4FC1-B389-B17E3E7C8002}">
  <dimension ref="A1:O41"/>
  <sheetViews>
    <sheetView tabSelected="1" topLeftCell="A7" zoomScale="160" zoomScaleNormal="160" workbookViewId="0">
      <selection activeCell="G16" sqref="G16"/>
    </sheetView>
  </sheetViews>
  <sheetFormatPr defaultRowHeight="14.4" x14ac:dyDescent="0.3"/>
  <cols>
    <col min="2" max="2" width="9.88671875" bestFit="1" customWidth="1"/>
    <col min="4" max="4" width="12" bestFit="1" customWidth="1"/>
  </cols>
  <sheetData>
    <row r="1" spans="1:13" x14ac:dyDescent="0.3">
      <c r="A1" t="s">
        <v>14</v>
      </c>
      <c r="B1" t="s">
        <v>15</v>
      </c>
      <c r="C1" t="s">
        <v>6</v>
      </c>
      <c r="D1" t="s">
        <v>7</v>
      </c>
      <c r="E1" t="s">
        <v>13</v>
      </c>
      <c r="F1" t="s">
        <v>0</v>
      </c>
      <c r="G1" t="s">
        <v>2</v>
      </c>
      <c r="H1" t="s">
        <v>34</v>
      </c>
      <c r="I1" t="s">
        <v>35</v>
      </c>
      <c r="J1" t="s">
        <v>1</v>
      </c>
      <c r="K1" t="s">
        <v>3</v>
      </c>
      <c r="L1">
        <v>94</v>
      </c>
      <c r="M1">
        <v>0.5</v>
      </c>
    </row>
    <row r="2" spans="1:13" x14ac:dyDescent="0.3">
      <c r="A2">
        <v>163.59</v>
      </c>
      <c r="B2">
        <v>130.47499999999999</v>
      </c>
      <c r="C2">
        <v>164.03</v>
      </c>
      <c r="D2">
        <v>129.88</v>
      </c>
      <c r="E2">
        <f>A2-B2</f>
        <v>33.115000000000009</v>
      </c>
      <c r="F2">
        <f t="shared" ref="F2:F7" si="0">C2-D2</f>
        <v>34.150000000000006</v>
      </c>
      <c r="G2">
        <f t="shared" ref="G2:G7" si="1">F2*F2</f>
        <v>1166.2225000000003</v>
      </c>
      <c r="H2" s="3">
        <f>2*F2*I2</f>
        <v>6.8300000000000013E-2</v>
      </c>
      <c r="I2">
        <f>2*0.0005</f>
        <v>1E-3</v>
      </c>
      <c r="J2">
        <v>6</v>
      </c>
      <c r="K2" t="s">
        <v>4</v>
      </c>
      <c r="L2">
        <v>0.1</v>
      </c>
      <c r="M2">
        <v>0.05</v>
      </c>
    </row>
    <row r="3" spans="1:13" x14ac:dyDescent="0.3">
      <c r="A3">
        <v>162</v>
      </c>
      <c r="B3">
        <v>132.27000000000001</v>
      </c>
      <c r="C3">
        <v>162.51499999999999</v>
      </c>
      <c r="D3">
        <v>131.67500000000001</v>
      </c>
      <c r="E3">
        <f t="shared" ref="E3:E7" si="2">A3-B3</f>
        <v>29.72999999999999</v>
      </c>
      <c r="F3">
        <f t="shared" si="0"/>
        <v>30.839999999999975</v>
      </c>
      <c r="G3">
        <f t="shared" si="1"/>
        <v>951.1055999999985</v>
      </c>
      <c r="H3" s="3">
        <f t="shared" ref="H3:H7" si="3">2*F3*I3</f>
        <v>6.167999999999995E-2</v>
      </c>
      <c r="I3">
        <f t="shared" ref="I3:I7" si="4">2*0.0005</f>
        <v>1E-3</v>
      </c>
      <c r="J3">
        <v>5</v>
      </c>
      <c r="K3" t="s">
        <v>5</v>
      </c>
      <c r="L3">
        <v>5893</v>
      </c>
      <c r="M3">
        <v>0.5</v>
      </c>
    </row>
    <row r="4" spans="1:13" x14ac:dyDescent="0.3">
      <c r="A4">
        <v>160.09</v>
      </c>
      <c r="B4">
        <v>134.07499999999999</v>
      </c>
      <c r="C4">
        <v>160.66499999999999</v>
      </c>
      <c r="D4">
        <v>133.48500000000001</v>
      </c>
      <c r="E4">
        <f t="shared" si="2"/>
        <v>26.015000000000015</v>
      </c>
      <c r="F4">
        <f t="shared" si="0"/>
        <v>27.179999999999978</v>
      </c>
      <c r="G4">
        <f t="shared" si="1"/>
        <v>738.75239999999883</v>
      </c>
      <c r="H4" s="3">
        <f t="shared" si="3"/>
        <v>5.4359999999999957E-2</v>
      </c>
      <c r="I4">
        <f t="shared" si="4"/>
        <v>1E-3</v>
      </c>
      <c r="J4">
        <v>4</v>
      </c>
    </row>
    <row r="5" spans="1:13" x14ac:dyDescent="0.3">
      <c r="A5">
        <v>157.88</v>
      </c>
      <c r="B5">
        <v>136.38499999999999</v>
      </c>
      <c r="C5">
        <v>158.68</v>
      </c>
      <c r="D5">
        <v>135.63</v>
      </c>
      <c r="E5">
        <f t="shared" si="2"/>
        <v>21.495000000000005</v>
      </c>
      <c r="F5">
        <f t="shared" si="0"/>
        <v>23.050000000000011</v>
      </c>
      <c r="G5">
        <f t="shared" si="1"/>
        <v>531.30250000000058</v>
      </c>
      <c r="H5" s="3">
        <f t="shared" si="3"/>
        <v>4.6100000000000023E-2</v>
      </c>
      <c r="I5">
        <f t="shared" si="4"/>
        <v>1E-3</v>
      </c>
      <c r="J5">
        <v>3</v>
      </c>
    </row>
    <row r="6" spans="1:13" x14ac:dyDescent="0.3">
      <c r="A6">
        <v>155.095</v>
      </c>
      <c r="B6">
        <v>139.36500000000001</v>
      </c>
      <c r="C6">
        <v>155.80500000000001</v>
      </c>
      <c r="D6">
        <v>138.33000000000001</v>
      </c>
      <c r="E6">
        <f t="shared" si="2"/>
        <v>15.72999999999999</v>
      </c>
      <c r="F6">
        <f t="shared" si="0"/>
        <v>17.474999999999994</v>
      </c>
      <c r="G6">
        <f t="shared" si="1"/>
        <v>305.37562499999979</v>
      </c>
      <c r="H6" s="3">
        <f t="shared" si="3"/>
        <v>3.4949999999999988E-2</v>
      </c>
      <c r="I6">
        <f t="shared" si="4"/>
        <v>1E-3</v>
      </c>
      <c r="J6">
        <v>2</v>
      </c>
    </row>
    <row r="7" spans="1:13" x14ac:dyDescent="0.3">
      <c r="A7">
        <v>149.69499999999999</v>
      </c>
      <c r="B7">
        <v>144.9</v>
      </c>
      <c r="C7">
        <v>152.06</v>
      </c>
      <c r="D7">
        <v>142.22</v>
      </c>
      <c r="E7">
        <f t="shared" si="2"/>
        <v>4.7949999999999875</v>
      </c>
      <c r="F7">
        <f t="shared" si="0"/>
        <v>9.8400000000000034</v>
      </c>
      <c r="G7">
        <f t="shared" si="1"/>
        <v>96.825600000000065</v>
      </c>
      <c r="H7" s="3">
        <f t="shared" si="3"/>
        <v>1.9680000000000007E-2</v>
      </c>
      <c r="I7">
        <f t="shared" si="4"/>
        <v>1E-3</v>
      </c>
      <c r="J7">
        <v>1</v>
      </c>
    </row>
    <row r="10" spans="1:13" x14ac:dyDescent="0.3">
      <c r="A10" t="s">
        <v>8</v>
      </c>
      <c r="B10" t="s">
        <v>9</v>
      </c>
    </row>
    <row r="11" spans="1:13" x14ac:dyDescent="0.3">
      <c r="A11" s="5">
        <f>_xlfn.COVARIANCE.P(J2:J7,G2:G7)/_xlfn.VAR.P(J2:J7)</f>
        <v>214.04640928571416</v>
      </c>
      <c r="B11" s="4">
        <f>1/SQRT(6) * SQRT(_xlfn.VAR.P(G2:G7)/_xlfn.VAR.P(J2:J7) - A11^2)</f>
        <v>0.84306541441839833</v>
      </c>
    </row>
    <row r="14" spans="1:13" x14ac:dyDescent="0.3">
      <c r="A14" t="s">
        <v>10</v>
      </c>
      <c r="B14" t="s">
        <v>11</v>
      </c>
    </row>
    <row r="15" spans="1:13" x14ac:dyDescent="0.3">
      <c r="A15" s="1">
        <f>4*L1^2*L3*0.0000001/A11</f>
        <v>9.7307024535029707E-2</v>
      </c>
      <c r="B15" s="1">
        <f>SQRT(SUMSQ(8*L1*M1*L3*0.0000001/A11,4*L1^2*M3*0.0000001/A11,4*L1^2*L3*0.0000001*B11/A11^2))</f>
        <v>1.1038836209581874E-3</v>
      </c>
    </row>
    <row r="18" spans="1:7" x14ac:dyDescent="0.3">
      <c r="A18" t="s">
        <v>1</v>
      </c>
      <c r="B18" t="s">
        <v>12</v>
      </c>
      <c r="C18" t="s">
        <v>19</v>
      </c>
      <c r="D18" t="s">
        <v>16</v>
      </c>
      <c r="E18" t="s">
        <v>19</v>
      </c>
      <c r="F18" t="s">
        <v>17</v>
      </c>
      <c r="G18" t="s">
        <v>19</v>
      </c>
    </row>
    <row r="19" spans="1:7" x14ac:dyDescent="0.3">
      <c r="A19">
        <v>6</v>
      </c>
      <c r="B19" s="3">
        <f>AVERAGE(E2:F2)</f>
        <v>33.632500000000007</v>
      </c>
      <c r="C19">
        <v>0.03</v>
      </c>
      <c r="D19" s="3">
        <f t="shared" ref="D19:D24" si="5">F2-E2</f>
        <v>1.0349999999999966</v>
      </c>
      <c r="E19">
        <f>2*0.03</f>
        <v>0.06</v>
      </c>
      <c r="F19" s="3">
        <f t="shared" ref="F19:F24" si="6">1/D19</f>
        <v>0.96618357487923023</v>
      </c>
      <c r="G19" s="3">
        <f>E19/D19^2</f>
        <v>5.6010642021984539E-2</v>
      </c>
    </row>
    <row r="20" spans="1:7" x14ac:dyDescent="0.3">
      <c r="A20">
        <v>5</v>
      </c>
      <c r="B20" s="3">
        <f t="shared" ref="B20:B24" si="7">AVERAGE(E3:F3)</f>
        <v>30.284999999999982</v>
      </c>
      <c r="C20">
        <v>0.03</v>
      </c>
      <c r="D20" s="3">
        <f t="shared" si="5"/>
        <v>1.1099999999999852</v>
      </c>
      <c r="E20">
        <f t="shared" ref="E20:E24" si="8">2*0.03</f>
        <v>0.06</v>
      </c>
      <c r="F20" s="3">
        <f t="shared" si="6"/>
        <v>0.9009009009009129</v>
      </c>
      <c r="G20" s="3">
        <f t="shared" ref="G20:G24" si="9">E20/D20^2</f>
        <v>4.8697345994644592E-2</v>
      </c>
    </row>
    <row r="21" spans="1:7" x14ac:dyDescent="0.3">
      <c r="A21">
        <v>4</v>
      </c>
      <c r="B21" s="3">
        <f t="shared" si="7"/>
        <v>26.597499999999997</v>
      </c>
      <c r="C21">
        <v>0.03</v>
      </c>
      <c r="D21" s="3">
        <f t="shared" si="5"/>
        <v>1.1649999999999636</v>
      </c>
      <c r="E21">
        <f t="shared" si="8"/>
        <v>0.06</v>
      </c>
      <c r="F21" s="3">
        <f t="shared" si="6"/>
        <v>0.85836909871247313</v>
      </c>
      <c r="G21" s="3">
        <f t="shared" si="9"/>
        <v>4.4207850577467803E-2</v>
      </c>
    </row>
    <row r="22" spans="1:7" x14ac:dyDescent="0.3">
      <c r="A22">
        <v>3</v>
      </c>
      <c r="B22" s="3">
        <f t="shared" si="7"/>
        <v>22.272500000000008</v>
      </c>
      <c r="C22">
        <v>0.03</v>
      </c>
      <c r="D22" s="3">
        <f t="shared" si="5"/>
        <v>1.5550000000000068</v>
      </c>
      <c r="E22">
        <f t="shared" si="8"/>
        <v>0.06</v>
      </c>
      <c r="F22" s="3">
        <f t="shared" si="6"/>
        <v>0.64308681672025436</v>
      </c>
      <c r="G22" s="3">
        <f t="shared" si="9"/>
        <v>2.4813639230363404E-2</v>
      </c>
    </row>
    <row r="23" spans="1:7" x14ac:dyDescent="0.3">
      <c r="A23">
        <v>2</v>
      </c>
      <c r="B23" s="3">
        <f t="shared" si="7"/>
        <v>16.602499999999992</v>
      </c>
      <c r="C23">
        <v>0.03</v>
      </c>
      <c r="D23" s="3">
        <f t="shared" si="5"/>
        <v>1.7450000000000045</v>
      </c>
      <c r="E23">
        <f t="shared" si="8"/>
        <v>0.06</v>
      </c>
      <c r="F23" s="3">
        <f t="shared" si="6"/>
        <v>0.57306590257879508</v>
      </c>
      <c r="G23" s="3">
        <f t="shared" si="9"/>
        <v>1.9704271721906943E-2</v>
      </c>
    </row>
    <row r="24" spans="1:7" x14ac:dyDescent="0.3">
      <c r="A24">
        <v>1</v>
      </c>
      <c r="B24" s="3">
        <f t="shared" si="7"/>
        <v>7.3174999999999955</v>
      </c>
      <c r="C24">
        <v>0.03</v>
      </c>
      <c r="D24" s="3">
        <f t="shared" si="5"/>
        <v>5.0450000000000159</v>
      </c>
      <c r="E24">
        <f t="shared" si="8"/>
        <v>0.06</v>
      </c>
      <c r="F24" s="3">
        <f t="shared" si="6"/>
        <v>0.19821605550049493</v>
      </c>
      <c r="G24" s="2">
        <f t="shared" si="9"/>
        <v>2.3573762794905171E-3</v>
      </c>
    </row>
    <row r="27" spans="1:7" x14ac:dyDescent="0.3">
      <c r="A27" t="s">
        <v>8</v>
      </c>
      <c r="B27" t="s">
        <v>9</v>
      </c>
      <c r="D27" t="s">
        <v>18</v>
      </c>
      <c r="E27" t="s">
        <v>19</v>
      </c>
    </row>
    <row r="28" spans="1:7" x14ac:dyDescent="0.3">
      <c r="A28" s="5">
        <f>_xlfn.COVARIANCE.P(F19:F24,B19:B24)/_xlfn.VAR.P(F19:F24)</f>
        <v>33.363326130354565</v>
      </c>
      <c r="B28" s="5">
        <f>1/SQRT(6) * SQRT(_xlfn.VAR.P(B19:B24)/_xlfn.VAR.P(F19:F24)-A28^2)</f>
        <v>2.3373082712830802</v>
      </c>
      <c r="D28">
        <f>L3*0.0000001*A28/(4*L1^2)</f>
        <v>5.5627569286492598E-7</v>
      </c>
      <c r="E28" s="6">
        <f>SQRT(SUMSQ(M3*0.0000001*A28/(4*L1^2),L3*0.0000001*B28/(4*L1^2),L3*0.0000001*A28*M1/(2*L1^3)))</f>
        <v>3.9417357701713274E-8</v>
      </c>
    </row>
    <row r="29" spans="1:7" x14ac:dyDescent="0.3">
      <c r="C29" t="s">
        <v>20</v>
      </c>
      <c r="D29" s="4">
        <f>D28*10000000</f>
        <v>5.56275692864926</v>
      </c>
      <c r="E29" s="4">
        <f>E28*10000000</f>
        <v>0.39417357701713274</v>
      </c>
    </row>
    <row r="34" spans="1:15" x14ac:dyDescent="0.3">
      <c r="A34" t="s">
        <v>21</v>
      </c>
      <c r="B34" t="s">
        <v>19</v>
      </c>
      <c r="C34" t="s">
        <v>22</v>
      </c>
      <c r="D34" t="s">
        <v>19</v>
      </c>
      <c r="F34" t="s">
        <v>23</v>
      </c>
      <c r="G34" t="s">
        <v>28</v>
      </c>
      <c r="I34" s="7"/>
      <c r="J34" t="s">
        <v>24</v>
      </c>
      <c r="K34" t="s">
        <v>25</v>
      </c>
      <c r="L34" t="s">
        <v>26</v>
      </c>
      <c r="M34" t="s">
        <v>19</v>
      </c>
      <c r="N34" t="s">
        <v>27</v>
      </c>
      <c r="O34" t="s">
        <v>19</v>
      </c>
    </row>
    <row r="35" spans="1:15" x14ac:dyDescent="0.3">
      <c r="A35" s="2">
        <f t="shared" ref="A35:A40" si="10">D19/(2*$D$29)</f>
        <v>9.3029410890627717E-2</v>
      </c>
      <c r="B35" s="2">
        <f t="shared" ref="B35:B40" si="11">SQRT(SUMSQ(0.005/(2*$D$29),D19*$E$29/(2*$D$29^2)))</f>
        <v>6.6073095542113708E-3</v>
      </c>
      <c r="C35" s="2">
        <f t="shared" ref="C35:C40" si="12">2*$L$1^2/($L$3*B19)</f>
        <v>8.9164116554180745E-2</v>
      </c>
      <c r="D35" s="2">
        <f t="shared" ref="D35:D40" si="13">SQRT(SUMSQ(2*2*$L$1*$M$1/($L$3*B19),2*$L$1^2*$M$3/($L$3^2*B19),2*$L$1^2*0.01/($L$3*B19^2)))</f>
        <v>9.4895499962381982E-4</v>
      </c>
      <c r="F35" s="5">
        <f>4*L1^2/(N35*L35)</f>
        <v>5058.9717164776703</v>
      </c>
      <c r="G35" s="5">
        <f>SQRT(SUMSQ(8*L1*M1/(N35*L35),4*L1^2*O35/(L35*N35^2),4*L1^2*M35/(L35^2*N35)))</f>
        <v>54.290909025548324</v>
      </c>
      <c r="J35">
        <v>142.52500000000001</v>
      </c>
      <c r="K35">
        <v>141.815</v>
      </c>
      <c r="L35">
        <f>J35-K35</f>
        <v>0.71000000000000796</v>
      </c>
      <c r="M35">
        <f>0.0005*2</f>
        <v>1E-3</v>
      </c>
      <c r="N35">
        <f>F7</f>
        <v>9.8400000000000034</v>
      </c>
      <c r="O35">
        <v>1E-3</v>
      </c>
    </row>
    <row r="36" spans="1:15" x14ac:dyDescent="0.3">
      <c r="A36" s="2">
        <f t="shared" si="10"/>
        <v>9.9770672549367861E-2</v>
      </c>
      <c r="B36" s="2">
        <f t="shared" si="11"/>
        <v>7.0839594990895335E-3</v>
      </c>
      <c r="C36" s="1">
        <f t="shared" si="12"/>
        <v>9.9019717682301028E-2</v>
      </c>
      <c r="D36" s="1">
        <f t="shared" si="13"/>
        <v>1.0539420326260019E-3</v>
      </c>
    </row>
    <row r="37" spans="1:15" x14ac:dyDescent="0.3">
      <c r="A37" s="2">
        <f t="shared" si="10"/>
        <v>0.10471426443244278</v>
      </c>
      <c r="B37" s="2">
        <f t="shared" si="11"/>
        <v>7.4335869772841146E-3</v>
      </c>
      <c r="C37" s="1">
        <f t="shared" si="12"/>
        <v>0.11274789547921742</v>
      </c>
      <c r="D37" s="1">
        <f t="shared" si="13"/>
        <v>1.2002326604699126E-3</v>
      </c>
      <c r="F37">
        <v>5050</v>
      </c>
      <c r="G37">
        <v>50</v>
      </c>
    </row>
    <row r="38" spans="1:15" x14ac:dyDescent="0.3">
      <c r="A38" s="3">
        <f t="shared" si="10"/>
        <v>0.1397688250579007</v>
      </c>
      <c r="B38" s="3">
        <f t="shared" si="11"/>
        <v>9.9141255591451601E-3</v>
      </c>
      <c r="C38" s="1">
        <f t="shared" si="12"/>
        <v>0.13464191940772177</v>
      </c>
      <c r="D38" s="1">
        <f t="shared" si="13"/>
        <v>1.433681467436578E-3</v>
      </c>
      <c r="I38" t="s">
        <v>31</v>
      </c>
      <c r="K38" t="s">
        <v>32</v>
      </c>
    </row>
    <row r="39" spans="1:15" x14ac:dyDescent="0.3">
      <c r="A39" s="2">
        <f t="shared" si="10"/>
        <v>0.15684668792671144</v>
      </c>
      <c r="B39" s="2">
        <f t="shared" si="11"/>
        <v>1.1123143832143812E-2</v>
      </c>
      <c r="C39" s="2">
        <f t="shared" si="12"/>
        <v>0.18062413190835633</v>
      </c>
      <c r="D39" s="2">
        <f t="shared" si="13"/>
        <v>1.9246716986183144E-3</v>
      </c>
      <c r="F39" t="s">
        <v>29</v>
      </c>
      <c r="G39">
        <f>2*L2/L3*10000000</f>
        <v>339.38571186153064</v>
      </c>
      <c r="I39">
        <v>0.85</v>
      </c>
      <c r="K39">
        <f>PI()*SQRT(I39)/(1-I39) * G39</f>
        <v>6553.3238614120328</v>
      </c>
    </row>
    <row r="40" spans="1:15" x14ac:dyDescent="0.3">
      <c r="A40" s="3">
        <f t="shared" si="10"/>
        <v>0.45346220091132355</v>
      </c>
      <c r="B40" s="3">
        <f t="shared" si="11"/>
        <v>3.2135198865087838E-2</v>
      </c>
      <c r="C40" s="2">
        <f t="shared" si="12"/>
        <v>0.40981375469880238</v>
      </c>
      <c r="D40" s="2">
        <f t="shared" si="13"/>
        <v>4.3956826673939289E-3</v>
      </c>
    </row>
    <row r="41" spans="1:15" x14ac:dyDescent="0.3">
      <c r="F41" t="s">
        <v>30</v>
      </c>
      <c r="G41">
        <f>F35/G39</f>
        <v>14.906260162601455</v>
      </c>
      <c r="J41" t="s">
        <v>33</v>
      </c>
      <c r="K41">
        <f>K39/G39</f>
        <v>19.309368757650553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2021-04-12T23:54:05Z</dcterms:modified>
</cp:coreProperties>
</file>