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810" windowHeight="9795" firstSheet="1" activeTab="7"/>
  </bookViews>
  <sheets>
    <sheet name="居家環境受測者名單" sheetId="1" r:id="rId1"/>
    <sheet name="20200420" sheetId="2" r:id="rId2"/>
    <sheet name="20200421" sheetId="4" r:id="rId3"/>
    <sheet name="20200430" sheetId="8" r:id="rId4"/>
    <sheet name="20200418" sheetId="5" r:id="rId5"/>
    <sheet name="20200422" sheetId="6" r:id="rId6"/>
    <sheet name="20200429" sheetId="7" r:id="rId7"/>
    <sheet name="工作表1" sheetId="9" r:id="rId8"/>
    <sheet name="工作表2" sheetId="10" r:id="rId9"/>
  </sheets>
  <definedNames>
    <definedName name="_xlchart.0" hidden="1">工作表1!$B$3:$B$29</definedName>
    <definedName name="_xlchart.1" hidden="1">工作表1!$F$3:$F$15</definedName>
    <definedName name="_xlchart.10" hidden="1">工作表2!$B$2:$B$82</definedName>
    <definedName name="_xlchart.11" hidden="1">工作表2!$A$1</definedName>
    <definedName name="_xlchart.12" hidden="1">工作表2!$A$2:$A$82</definedName>
    <definedName name="_xlchart.2" hidden="1">工作表1!$E$3:$E$14</definedName>
    <definedName name="_xlchart.3" hidden="1">工作表1!$B$3:$B$29</definedName>
    <definedName name="_xlchart.4" hidden="1">工作表1!$D$3:$D$30</definedName>
    <definedName name="_xlchart.5" hidden="1">工作表1!$G$3:$G$16</definedName>
    <definedName name="_xlchart.6" hidden="1">工作表1!$C$3:$C$28</definedName>
    <definedName name="_xlchart.7" hidden="1">工作表2!$A$1</definedName>
    <definedName name="_xlchart.8" hidden="1">工作表2!$A$2:$A$82</definedName>
    <definedName name="_xlchart.9" hidden="1">工作表2!$B$1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0" l="1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0" i="10"/>
  <c r="A9" i="10"/>
  <c r="A8" i="10"/>
  <c r="A7" i="10"/>
  <c r="A6" i="10"/>
  <c r="A5" i="10"/>
  <c r="A4" i="10"/>
  <c r="A3" i="10"/>
  <c r="A2" i="10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E35" i="7"/>
  <c r="E33" i="7"/>
  <c r="E32" i="7"/>
  <c r="E31" i="7"/>
  <c r="E30" i="7"/>
  <c r="E29" i="7"/>
  <c r="E28" i="7"/>
  <c r="E27" i="7"/>
  <c r="E22" i="7"/>
  <c r="E18" i="7"/>
  <c r="E19" i="7"/>
  <c r="E14" i="7"/>
  <c r="E13" i="7"/>
  <c r="E9" i="7"/>
  <c r="F15" i="9"/>
  <c r="F14" i="9"/>
  <c r="F13" i="9"/>
  <c r="F12" i="9"/>
  <c r="F11" i="9"/>
  <c r="F10" i="9"/>
  <c r="F9" i="9"/>
  <c r="F8" i="9"/>
  <c r="F7" i="9"/>
  <c r="F6" i="9"/>
  <c r="F5" i="9"/>
  <c r="F4" i="9"/>
  <c r="F3" i="9"/>
  <c r="D28" i="6"/>
  <c r="D27" i="6"/>
  <c r="D26" i="6"/>
  <c r="D25" i="6"/>
  <c r="D24" i="6"/>
  <c r="D23" i="6"/>
  <c r="D22" i="6"/>
  <c r="D21" i="6"/>
  <c r="D17" i="6"/>
  <c r="D16" i="6"/>
  <c r="D12" i="6"/>
  <c r="D11" i="6"/>
  <c r="D9" i="6"/>
  <c r="E14" i="9"/>
  <c r="E13" i="9"/>
  <c r="E12" i="9"/>
  <c r="E11" i="9"/>
  <c r="E10" i="9"/>
  <c r="E9" i="9"/>
  <c r="E8" i="9"/>
  <c r="E7" i="9"/>
  <c r="E6" i="9"/>
  <c r="E5" i="9"/>
  <c r="E4" i="9"/>
  <c r="E3" i="9"/>
  <c r="D29" i="5"/>
  <c r="D28" i="5"/>
  <c r="D27" i="5"/>
  <c r="D25" i="5"/>
  <c r="D24" i="5"/>
  <c r="D23" i="5"/>
  <c r="D22" i="5"/>
  <c r="D19" i="5"/>
  <c r="D18" i="5"/>
  <c r="D14" i="5"/>
  <c r="D13" i="5"/>
  <c r="D9" i="5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43" i="8"/>
  <c r="D42" i="8"/>
  <c r="D41" i="8"/>
  <c r="D40" i="8"/>
  <c r="D39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5" i="8"/>
  <c r="D14" i="8"/>
  <c r="D13" i="8"/>
  <c r="D12" i="8"/>
  <c r="D11" i="8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5" i="4"/>
  <c r="D14" i="4"/>
  <c r="D13" i="4"/>
  <c r="D12" i="4"/>
  <c r="D10" i="4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1" i="9"/>
  <c r="B10" i="9"/>
  <c r="B9" i="9"/>
  <c r="B8" i="9"/>
  <c r="B7" i="9"/>
  <c r="B6" i="9"/>
  <c r="B5" i="9"/>
  <c r="B4" i="9"/>
  <c r="B3" i="9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4" i="2"/>
  <c r="D23" i="2"/>
  <c r="D22" i="2"/>
  <c r="D21" i="2"/>
  <c r="D17" i="2"/>
  <c r="D16" i="2"/>
  <c r="D15" i="2"/>
  <c r="D14" i="2"/>
  <c r="D10" i="2"/>
</calcChain>
</file>

<file path=xl/sharedStrings.xml><?xml version="1.0" encoding="utf-8"?>
<sst xmlns="http://schemas.openxmlformats.org/spreadsheetml/2006/main" count="380" uniqueCount="243">
  <si>
    <t>居家環境受測者名單</t>
    <phoneticPr fontId="1" type="noConversion"/>
  </si>
  <si>
    <t>受測者編號</t>
    <phoneticPr fontId="1" type="noConversion"/>
  </si>
  <si>
    <t>年齡</t>
    <phoneticPr fontId="1" type="noConversion"/>
  </si>
  <si>
    <t>性別</t>
    <phoneticPr fontId="1" type="noConversion"/>
  </si>
  <si>
    <t>男</t>
    <phoneticPr fontId="1" type="noConversion"/>
  </si>
  <si>
    <t>女</t>
    <phoneticPr fontId="1" type="noConversion"/>
  </si>
  <si>
    <t>身高（m）</t>
    <phoneticPr fontId="1" type="noConversion"/>
  </si>
  <si>
    <t>體重（kg）</t>
    <phoneticPr fontId="1" type="noConversion"/>
  </si>
  <si>
    <t>BMI</t>
    <phoneticPr fontId="1" type="noConversion"/>
  </si>
  <si>
    <t>實驗日期</t>
    <phoneticPr fontId="1" type="noConversion"/>
  </si>
  <si>
    <t>實驗地點</t>
    <phoneticPr fontId="1" type="noConversion"/>
  </si>
  <si>
    <t>實驗編號</t>
    <phoneticPr fontId="1" type="noConversion"/>
  </si>
  <si>
    <t>居家環境</t>
    <phoneticPr fontId="1" type="noConversion"/>
  </si>
  <si>
    <t>受測者編號</t>
    <phoneticPr fontId="1" type="noConversion"/>
  </si>
  <si>
    <t>實驗內容</t>
    <phoneticPr fontId="1" type="noConversion"/>
  </si>
  <si>
    <t>居家環境整晚睡眠資料記錄表</t>
    <phoneticPr fontId="1" type="noConversion"/>
  </si>
  <si>
    <t>居家環境整晚睡眠</t>
    <phoneticPr fontId="1" type="noConversion"/>
  </si>
  <si>
    <t>實驗名稱</t>
    <phoneticPr fontId="1" type="noConversion"/>
  </si>
  <si>
    <t>實驗目的</t>
    <phoneticPr fontId="1" type="noConversion"/>
  </si>
  <si>
    <t>實驗床墊</t>
    <phoneticPr fontId="1" type="noConversion"/>
  </si>
  <si>
    <t>實驗環境</t>
    <phoneticPr fontId="1" type="noConversion"/>
  </si>
  <si>
    <t>實驗過程</t>
    <phoneticPr fontId="1" type="noConversion"/>
  </si>
  <si>
    <t>時間</t>
    <phoneticPr fontId="1" type="noConversion"/>
  </si>
  <si>
    <t>實驗內容</t>
    <phoneticPr fontId="1" type="noConversion"/>
  </si>
  <si>
    <t>實驗受測者編號</t>
    <phoneticPr fontId="1" type="noConversion"/>
  </si>
  <si>
    <t>實驗結果</t>
    <phoneticPr fontId="1" type="noConversion"/>
  </si>
  <si>
    <t>受測者正躺，持續9分52秒</t>
    <phoneticPr fontId="1" type="noConversion"/>
  </si>
  <si>
    <t>實驗開始，受測者坐姿，持續52秒</t>
    <phoneticPr fontId="1" type="noConversion"/>
  </si>
  <si>
    <t>受測者離床，離床1分10秒</t>
    <phoneticPr fontId="1" type="noConversion"/>
  </si>
  <si>
    <t>受測者正躺，持續3分7秒</t>
    <phoneticPr fontId="1" type="noConversion"/>
  </si>
  <si>
    <t>受測者向右側翻身，右側躺持續12分58秒</t>
    <phoneticPr fontId="1" type="noConversion"/>
  </si>
  <si>
    <t>受測者坐姿，持續17秒</t>
    <phoneticPr fontId="1" type="noConversion"/>
  </si>
  <si>
    <t>受測者起身，坐姿持續7秒</t>
    <phoneticPr fontId="1" type="noConversion"/>
  </si>
  <si>
    <t>受測者離床，離床5分7秒</t>
    <phoneticPr fontId="1" type="noConversion"/>
  </si>
  <si>
    <t>受測者回床，坐姿，持續3秒</t>
    <phoneticPr fontId="1" type="noConversion"/>
  </si>
  <si>
    <t>受測者正躺，持續13分34秒</t>
    <phoneticPr fontId="1" type="noConversion"/>
  </si>
  <si>
    <t>受測者向左側翻身，左側躺持續15分9秒</t>
    <phoneticPr fontId="1" type="noConversion"/>
  </si>
  <si>
    <t>受測者向正面翻身，正躺持續32分38秒</t>
    <phoneticPr fontId="1" type="noConversion"/>
  </si>
  <si>
    <t>受測者向正面翻身，正躺持續50秒</t>
    <phoneticPr fontId="1" type="noConversion"/>
  </si>
  <si>
    <t>受測者離床，離床1分27秒</t>
    <phoneticPr fontId="1" type="noConversion"/>
  </si>
  <si>
    <t>受測者回床，左側躺持續7秒</t>
    <phoneticPr fontId="1" type="noConversion"/>
  </si>
  <si>
    <t>受測者向正面翻身，正躺持續5分20秒</t>
    <phoneticPr fontId="1" type="noConversion"/>
  </si>
  <si>
    <t>受測者向左側翻身，左側躺持續23分56秒</t>
    <phoneticPr fontId="1" type="noConversion"/>
  </si>
  <si>
    <t>受測者向正面翻身，正躺持續10分48秒</t>
    <phoneticPr fontId="1" type="noConversion"/>
  </si>
  <si>
    <t>受測者向正面翻身，正躺持續31分47秒</t>
    <phoneticPr fontId="1" type="noConversion"/>
  </si>
  <si>
    <t>受測者向右側翻身，右側躺持續3分47秒</t>
    <phoneticPr fontId="1" type="noConversion"/>
  </si>
  <si>
    <t>受測者向右側翻身，右側躺持續11分15秒</t>
    <phoneticPr fontId="1" type="noConversion"/>
  </si>
  <si>
    <t>受測者向左側翻身，左側躺持續12分5秒</t>
    <phoneticPr fontId="1" type="noConversion"/>
  </si>
  <si>
    <t>受測者向左側翻身，左側躺持續18分15秒</t>
    <phoneticPr fontId="1" type="noConversion"/>
  </si>
  <si>
    <t>受測者向正面翻身，正躺持續47分39秒</t>
    <phoneticPr fontId="1" type="noConversion"/>
  </si>
  <si>
    <t>受測者向正面翻身，正躺持續10分32秒</t>
    <phoneticPr fontId="1" type="noConversion"/>
  </si>
  <si>
    <t>受測者向左側翻身，左側躺持續10分51秒</t>
    <phoneticPr fontId="1" type="noConversion"/>
  </si>
  <si>
    <t>受測者向正面翻身，正躺持續7分17秒</t>
    <phoneticPr fontId="1" type="noConversion"/>
  </si>
  <si>
    <t>受測者向右側翻身，右側躺持續4分20秒</t>
    <phoneticPr fontId="1" type="noConversion"/>
  </si>
  <si>
    <t>受測者向右側翻身，右側躺持續8分8秒</t>
    <phoneticPr fontId="1" type="noConversion"/>
  </si>
  <si>
    <t>受測者向正面翻身，正躺持續1小時6分53秒</t>
    <phoneticPr fontId="1" type="noConversion"/>
  </si>
  <si>
    <t>受測者向正面翻身，正躺持續8分55秒</t>
    <phoneticPr fontId="1" type="noConversion"/>
  </si>
  <si>
    <t>受測者向右側翻身，右側躺持續47分22秒</t>
    <phoneticPr fontId="1" type="noConversion"/>
  </si>
  <si>
    <t>受測者向正面翻身，正躺持續15分8秒</t>
    <phoneticPr fontId="1" type="noConversion"/>
  </si>
  <si>
    <t>受測者起身，坐姿持續10秒</t>
    <phoneticPr fontId="1" type="noConversion"/>
  </si>
  <si>
    <t>受測者起床</t>
    <phoneticPr fontId="1" type="noConversion"/>
  </si>
  <si>
    <t>居家環境</t>
    <phoneticPr fontId="1" type="noConversion"/>
  </si>
  <si>
    <t>自製壓力感應床墊</t>
    <phoneticPr fontId="1" type="noConversion"/>
  </si>
  <si>
    <t>1號</t>
    <phoneticPr fontId="1" type="noConversion"/>
  </si>
  <si>
    <t>臥床時間</t>
    <phoneticPr fontId="1" type="noConversion"/>
  </si>
  <si>
    <t>離床次數</t>
    <phoneticPr fontId="1" type="noConversion"/>
  </si>
  <si>
    <t>7小時18分7秒</t>
    <phoneticPr fontId="1" type="noConversion"/>
  </si>
  <si>
    <t>整晚翻身次数</t>
    <phoneticPr fontId="1" type="noConversion"/>
  </si>
  <si>
    <t>翻身时间间隔</t>
    <phoneticPr fontId="1" type="noConversion"/>
  </si>
  <si>
    <t>任意时间段的翻身次数</t>
    <phoneticPr fontId="1" type="noConversion"/>
  </si>
  <si>
    <t>壓力分佈</t>
    <phoneticPr fontId="1" type="noConversion"/>
  </si>
  <si>
    <r>
      <t>如上實驗內容所述，</t>
    </r>
    <r>
      <rPr>
        <sz val="11"/>
        <color rgb="FFFF0000"/>
        <rFont val="標楷體"/>
        <family val="4"/>
        <charset val="136"/>
      </rPr>
      <t>有4段睡姿超過30分鐘的記錄</t>
    </r>
    <phoneticPr fontId="1" type="noConversion"/>
  </si>
  <si>
    <r>
      <t>如上實驗內容所述，</t>
    </r>
    <r>
      <rPr>
        <sz val="11"/>
        <color rgb="FFFF0000"/>
        <rFont val="標楷體"/>
        <family val="4"/>
        <charset val="136"/>
      </rPr>
      <t>有4段睡姿超過30分鐘的記錄</t>
    </r>
    <phoneticPr fontId="1" type="noConversion"/>
  </si>
  <si>
    <t>記錄整晚睡眠壓力感應床墊的資料</t>
    <phoneticPr fontId="1" type="noConversion"/>
  </si>
  <si>
    <t>蒐集並記錄整晚睡眠壓力感應床墊的資料</t>
    <phoneticPr fontId="1" type="noConversion"/>
  </si>
  <si>
    <t>基於壓力感應床墊的睡眠品質評估系統資料蒐集表</t>
    <phoneticPr fontId="1" type="noConversion"/>
  </si>
  <si>
    <t>備註</t>
    <phoneticPr fontId="1" type="noConversion"/>
  </si>
  <si>
    <t>備註</t>
    <phoneticPr fontId="1" type="noConversion"/>
  </si>
  <si>
    <t>實驗開始，受測者坐姿，持續76秒</t>
    <phoneticPr fontId="1" type="noConversion"/>
  </si>
  <si>
    <t>受測者正躺，持續3分11秒</t>
    <phoneticPr fontId="1" type="noConversion"/>
  </si>
  <si>
    <t>受測者正躺，持續27分50秒</t>
    <phoneticPr fontId="1" type="noConversion"/>
  </si>
  <si>
    <t>受測者向左側翻身，左側躺持續8分5秒</t>
    <phoneticPr fontId="1" type="noConversion"/>
  </si>
  <si>
    <t>受測者向左側翻身，左側躺持續19分35秒</t>
    <phoneticPr fontId="1" type="noConversion"/>
  </si>
  <si>
    <t>受測者向正面翻身，正躺持續6分28秒</t>
    <phoneticPr fontId="1" type="noConversion"/>
  </si>
  <si>
    <t>受測者向正面翻身，正躺持續46分2秒</t>
    <phoneticPr fontId="1" type="noConversion"/>
  </si>
  <si>
    <t>受測者向左側翻身，左側躺持續23分50秒</t>
    <phoneticPr fontId="1" type="noConversion"/>
  </si>
  <si>
    <t>受測者向正面翻身，正躺持續3秒</t>
    <phoneticPr fontId="1" type="noConversion"/>
  </si>
  <si>
    <t>受測者向右側翻身，右側躺持續3秒</t>
    <phoneticPr fontId="1" type="noConversion"/>
  </si>
  <si>
    <t>受測者向正面翻身，正躺持續42分18秒</t>
    <phoneticPr fontId="1" type="noConversion"/>
  </si>
  <si>
    <t>受測者向左側翻身，左側躺持續13分29秒</t>
    <phoneticPr fontId="1" type="noConversion"/>
  </si>
  <si>
    <t>受測者向正面翻身，正躺持續11分41秒</t>
    <phoneticPr fontId="1" type="noConversion"/>
  </si>
  <si>
    <t>受測者向左側翻身，左側躺持續6分14秒</t>
    <phoneticPr fontId="1" type="noConversion"/>
  </si>
  <si>
    <t>受測者向正面翻身，正躺持續6分31秒</t>
    <phoneticPr fontId="1" type="noConversion"/>
  </si>
  <si>
    <t>受測者向左側翻身，左側躺持續3分24秒</t>
    <phoneticPr fontId="1" type="noConversion"/>
  </si>
  <si>
    <t>受測者向正面翻身，正躺持續4分50秒</t>
    <phoneticPr fontId="1" type="noConversion"/>
  </si>
  <si>
    <t>受測者向左側翻身，左側躺持續13分15秒</t>
    <phoneticPr fontId="1" type="noConversion"/>
  </si>
  <si>
    <t>受測者向正面翻身，正躺持續12分22秒</t>
    <phoneticPr fontId="1" type="noConversion"/>
  </si>
  <si>
    <t>受測者向左側翻身，左側躺持續4分20秒</t>
    <phoneticPr fontId="1" type="noConversion"/>
  </si>
  <si>
    <t>受測者向正面翻身，正躺持續46分46秒</t>
    <phoneticPr fontId="1" type="noConversion"/>
  </si>
  <si>
    <t>受測者向左側翻身，左側躺持續12分35秒</t>
    <phoneticPr fontId="1" type="noConversion"/>
  </si>
  <si>
    <t>受測者向正面翻身，正躺持續3分54秒</t>
    <phoneticPr fontId="1" type="noConversion"/>
  </si>
  <si>
    <t>受測者向左側翻身，左側躺持續7分17秒</t>
    <phoneticPr fontId="1" type="noConversion"/>
  </si>
  <si>
    <t>受測者向正面翻身，正躺持續6分24秒</t>
    <phoneticPr fontId="1" type="noConversion"/>
  </si>
  <si>
    <t>受測者向左側翻身，左側躺持續8分5秒</t>
    <phoneticPr fontId="1" type="noConversion"/>
  </si>
  <si>
    <t>受測者向正面翻身，正躺持續18分12秒</t>
    <phoneticPr fontId="1" type="noConversion"/>
  </si>
  <si>
    <t>受測者向左側翻身，左側躺持續25分49秒</t>
    <phoneticPr fontId="1" type="noConversion"/>
  </si>
  <si>
    <t>受測者向正面翻身，正躺持續11分52秒</t>
    <phoneticPr fontId="1" type="noConversion"/>
  </si>
  <si>
    <t>受測者向左側翻身，左側躺持續27分36秒</t>
    <phoneticPr fontId="1" type="noConversion"/>
  </si>
  <si>
    <t>受測者向正面翻身，正躺持續4分41秒</t>
    <phoneticPr fontId="1" type="noConversion"/>
  </si>
  <si>
    <t>受測者起身，坐姿持續23秒</t>
    <phoneticPr fontId="1" type="noConversion"/>
  </si>
  <si>
    <t>6小时52分15秒</t>
    <phoneticPr fontId="1" type="noConversion"/>
  </si>
  <si>
    <r>
      <t>如上實驗內容所述，</t>
    </r>
    <r>
      <rPr>
        <sz val="11"/>
        <color rgb="FFFF0000"/>
        <rFont val="標楷體"/>
        <family val="4"/>
        <charset val="136"/>
      </rPr>
      <t>有3段睡姿超過30分鐘的記錄</t>
    </r>
    <phoneticPr fontId="1" type="noConversion"/>
  </si>
  <si>
    <r>
      <t>如上實驗內容所述，</t>
    </r>
    <r>
      <rPr>
        <sz val="11"/>
        <color rgb="FFFF0000"/>
        <rFont val="標楷體"/>
        <family val="4"/>
        <charset val="136"/>
      </rPr>
      <t>有3段睡姿超過30分鐘的記錄</t>
    </r>
    <phoneticPr fontId="1" type="noConversion"/>
  </si>
  <si>
    <t>2號</t>
    <phoneticPr fontId="1" type="noConversion"/>
  </si>
  <si>
    <t>受測者起身，坐姿持續20秒</t>
    <phoneticPr fontId="1" type="noConversion"/>
  </si>
  <si>
    <t>受測者回床，坐姿，持續13秒</t>
    <phoneticPr fontId="1" type="noConversion"/>
  </si>
  <si>
    <t>受測者回床，坐姿，持續3秒</t>
    <phoneticPr fontId="1" type="noConversion"/>
  </si>
  <si>
    <t>受測者右侧躺，持續11分35秒</t>
    <phoneticPr fontId="1" type="noConversion"/>
  </si>
  <si>
    <t>受測者向正面翻身，正躺持續35分19秒</t>
    <phoneticPr fontId="1" type="noConversion"/>
  </si>
  <si>
    <t>受測者起身，坐姿持續17秒</t>
    <phoneticPr fontId="1" type="noConversion"/>
  </si>
  <si>
    <t>受測者離床，離床2分27秒</t>
    <phoneticPr fontId="1" type="noConversion"/>
  </si>
  <si>
    <t>受測者正躺，持續2分1秒</t>
    <phoneticPr fontId="1" type="noConversion"/>
  </si>
  <si>
    <t>受測者向右侧翻身，右侧躺持續1小时26分1秒</t>
    <phoneticPr fontId="1" type="noConversion"/>
  </si>
  <si>
    <t>受測者起身，坐姿持續13秒</t>
    <phoneticPr fontId="1" type="noConversion"/>
  </si>
  <si>
    <t>受測者離床，離床2分4秒</t>
    <phoneticPr fontId="1" type="noConversion"/>
  </si>
  <si>
    <t>受測者回床，正躺持續13分12秒</t>
    <phoneticPr fontId="1" type="noConversion"/>
  </si>
  <si>
    <t>受測者向右侧翻身，右侧躺持續6分4秒</t>
    <phoneticPr fontId="1" type="noConversion"/>
  </si>
  <si>
    <t>受測者向右侧翻身，右侧躺持續3分34秒</t>
    <phoneticPr fontId="1" type="noConversion"/>
  </si>
  <si>
    <t>受測者起身，坐姿持續10秒</t>
    <phoneticPr fontId="1" type="noConversion"/>
  </si>
  <si>
    <t>受测者右侧躺，持续10分15秒</t>
    <phoneticPr fontId="1" type="noConversion"/>
  </si>
  <si>
    <t>受測者向正面翻身，正躺持續25分44秒</t>
    <phoneticPr fontId="1" type="noConversion"/>
  </si>
  <si>
    <t>受測者向右侧翻身，右侧躺持續2小时19分48秒</t>
    <phoneticPr fontId="1" type="noConversion"/>
  </si>
  <si>
    <t>受測者起身，坐姿持續20秒</t>
    <phoneticPr fontId="1" type="noConversion"/>
  </si>
  <si>
    <t>6小时53分58秒</t>
    <phoneticPr fontId="1" type="noConversion"/>
  </si>
  <si>
    <r>
      <t>如上實驗內容所述，</t>
    </r>
    <r>
      <rPr>
        <sz val="11"/>
        <color rgb="FFFF0000"/>
        <rFont val="標楷體"/>
        <family val="4"/>
        <charset val="136"/>
      </rPr>
      <t>有1段睡姿超过30分钟，有2段睡姿超過1小时的記錄</t>
    </r>
    <phoneticPr fontId="1" type="noConversion"/>
  </si>
  <si>
    <t>有3段睡姿超過30分鐘的記錄，其中睡姿為正躺的有3段，處於正躺的睡姿時，壓力影像顯示臀部和背部的壓力值壓力較其他處來的大，且持續時間超過30分鐘，故對臀部與背部的肌肉產生較大的負擔，醒來後這些部位易感到酸疼；</t>
    <phoneticPr fontId="1" type="noConversion"/>
  </si>
  <si>
    <t>實驗開始，受測者正躺，持續56分13秒</t>
    <phoneticPr fontId="1" type="noConversion"/>
  </si>
  <si>
    <t>實驗開始，受測者正躺，持續34分18秒</t>
    <phoneticPr fontId="1" type="noConversion"/>
  </si>
  <si>
    <t>受測者起身，坐姿持續20秒</t>
    <phoneticPr fontId="1" type="noConversion"/>
  </si>
  <si>
    <t>受測者起身，坐姿持續27秒</t>
    <phoneticPr fontId="1" type="noConversion"/>
  </si>
  <si>
    <t>受测者右侧躺，持续11分48秒</t>
    <phoneticPr fontId="1" type="noConversion"/>
  </si>
  <si>
    <t>受測者向正面翻身，正躺持續23分44秒</t>
    <phoneticPr fontId="1" type="noConversion"/>
  </si>
  <si>
    <t>受測者向正面翻身，正躺持續43分56秒</t>
    <phoneticPr fontId="1" type="noConversion"/>
  </si>
  <si>
    <t>受测者起身，坐姿持续13秒</t>
    <phoneticPr fontId="1" type="noConversion"/>
  </si>
  <si>
    <t>受測者離床，離床1分47秒</t>
    <phoneticPr fontId="1" type="noConversion"/>
  </si>
  <si>
    <t>受測者離床，離床3分40秒</t>
    <phoneticPr fontId="1" type="noConversion"/>
  </si>
  <si>
    <t>受测者回床，坐姿持续4秒</t>
    <phoneticPr fontId="1" type="noConversion"/>
  </si>
  <si>
    <t>受测者右侧躺，持续56分40秒</t>
    <phoneticPr fontId="1" type="noConversion"/>
  </si>
  <si>
    <t>受測者向正面翻身，正躺持續2小时25分7秒</t>
    <phoneticPr fontId="1" type="noConversion"/>
  </si>
  <si>
    <t>受測者離床，離床4分37秒</t>
    <phoneticPr fontId="1" type="noConversion"/>
  </si>
  <si>
    <t>受测者回床，坐姿持续7秒</t>
    <phoneticPr fontId="1" type="noConversion"/>
  </si>
  <si>
    <t>受测者正躺，持续2分3秒</t>
    <phoneticPr fontId="1" type="noConversion"/>
  </si>
  <si>
    <t>受测者向右侧翻身，右侧躺8分25秒</t>
    <phoneticPr fontId="1" type="noConversion"/>
  </si>
  <si>
    <t>受測者向正面翻身，正躺持續13分58秒</t>
    <phoneticPr fontId="1" type="noConversion"/>
  </si>
  <si>
    <t>受测者向右侧翻身，右侧躺33分11秒</t>
    <phoneticPr fontId="1" type="noConversion"/>
  </si>
  <si>
    <t>受測者向正面翻身，正躺持續11分58秒</t>
    <phoneticPr fontId="1" type="noConversion"/>
  </si>
  <si>
    <t>受测者向右侧翻身，右侧躺45分45秒</t>
    <phoneticPr fontId="1" type="noConversion"/>
  </si>
  <si>
    <t>受測者向正面翻身，正躺持續31分57秒</t>
    <phoneticPr fontId="1" type="noConversion"/>
  </si>
  <si>
    <t>受测者向右侧翻身，右侧躺34分48秒</t>
    <phoneticPr fontId="1" type="noConversion"/>
  </si>
  <si>
    <t>受測者向正面翻身，正躺持續1分20秒</t>
    <phoneticPr fontId="1" type="noConversion"/>
  </si>
  <si>
    <t>受测者起身，坐姿持续10秒</t>
    <phoneticPr fontId="1" type="noConversion"/>
  </si>
  <si>
    <t>受测者起床</t>
    <phoneticPr fontId="1" type="noConversion"/>
  </si>
  <si>
    <t>7小时59分6秒</t>
    <phoneticPr fontId="1" type="noConversion"/>
  </si>
  <si>
    <r>
      <t>如上實驗內容所述，</t>
    </r>
    <r>
      <rPr>
        <sz val="11"/>
        <color rgb="FFFF0000"/>
        <rFont val="標楷體"/>
        <family val="4"/>
        <charset val="136"/>
      </rPr>
      <t>有1段睡姿超过30分钟，有2段睡姿超過1小时的記錄</t>
    </r>
    <phoneticPr fontId="1" type="noConversion"/>
  </si>
  <si>
    <r>
      <t>如上實驗內容所述，</t>
    </r>
    <r>
      <rPr>
        <sz val="11"/>
        <color rgb="FFFF0000"/>
        <rFont val="標楷體"/>
        <family val="4"/>
        <charset val="136"/>
      </rPr>
      <t>有8段睡姿超过30分钟，有1段睡姿超過2小时的記錄</t>
    </r>
    <phoneticPr fontId="1" type="noConversion"/>
  </si>
  <si>
    <r>
      <t>如上實驗內容所述，</t>
    </r>
    <r>
      <rPr>
        <sz val="11"/>
        <color rgb="FFFF0000"/>
        <rFont val="標楷體"/>
        <family val="4"/>
        <charset val="136"/>
      </rPr>
      <t>有8段睡姿超过30分钟，有1段睡姿超過2小时的記錄</t>
    </r>
    <phoneticPr fontId="1" type="noConversion"/>
  </si>
  <si>
    <t>有3段睡姿超過30分鐘的記錄，其中睡姿為正躺的有1段，處於正躺的睡姿時，壓力影像顯示臀部和背部的壓力值壓力較其他處來的大，且持續時間超過30分鐘，故對臀部與背部的肌肉產生較大的負擔，醒來後這些部位易感到酸疼；另外2段時間的睡姿為右側躺，處於右側躺時，相較其他部分來說，臀部和右肩膀處壓力值較大，且持續時間超過1个小时，對臀部和右肩膀處的肌肉產生較大的負擔。</t>
    <phoneticPr fontId="1" type="noConversion"/>
  </si>
  <si>
    <r>
      <t>有8段睡姿超過30分鐘的記錄，其中睡姿為正躺的有4段，處於正躺的睡姿時，壓力影像顯示臀部和背部的壓力值壓力較其他處來的大，且持續時間超過30分鐘（</t>
    </r>
    <r>
      <rPr>
        <sz val="11"/>
        <color rgb="FFFF0000"/>
        <rFont val="標楷體"/>
        <family val="4"/>
        <charset val="136"/>
      </rPr>
      <t>其中又一段更是超过2个小时</t>
    </r>
    <r>
      <rPr>
        <sz val="11"/>
        <color theme="1"/>
        <rFont val="標楷體"/>
        <family val="4"/>
        <charset val="136"/>
      </rPr>
      <t>），故對臀部與背部的肌肉產生較大的負擔，醒來後這些部位易感到酸疼；另外4段時間的睡姿為右側躺，處於右側躺時，相較其他部分來說，臀部和右肩膀處壓力值較大，且持續時間超過30分钟，對臀部和右肩膀處的肌肉產生較大的負擔。</t>
    </r>
    <phoneticPr fontId="1" type="noConversion"/>
  </si>
  <si>
    <t>實驗開始，受測者正躺，持續9分38秒</t>
    <phoneticPr fontId="1" type="noConversion"/>
  </si>
  <si>
    <t>受測者起身，坐姿持續50秒</t>
    <phoneticPr fontId="1" type="noConversion"/>
  </si>
  <si>
    <t>受測者離床，離床3分57秒</t>
    <phoneticPr fontId="1" type="noConversion"/>
  </si>
  <si>
    <t>受測者回床，坐姿持續17秒</t>
    <phoneticPr fontId="1" type="noConversion"/>
  </si>
  <si>
    <t>受測者正躺，持續6分54秒</t>
    <phoneticPr fontId="1" type="noConversion"/>
  </si>
  <si>
    <t>受测者向右侧翻身，右侧躺持續45分8秒</t>
    <phoneticPr fontId="1" type="noConversion"/>
  </si>
  <si>
    <t>受測者離床，離床2分4秒</t>
    <phoneticPr fontId="1" type="noConversion"/>
  </si>
  <si>
    <t>受測者回床，坐姿持續7秒</t>
    <phoneticPr fontId="1" type="noConversion"/>
  </si>
  <si>
    <t>受測者正躺，持續2分33秒</t>
    <phoneticPr fontId="1" type="noConversion"/>
  </si>
  <si>
    <t>受测者向右侧翻身，右侧躺持續35分35秒</t>
    <phoneticPr fontId="1" type="noConversion"/>
  </si>
  <si>
    <t>受測者向正面翻身，正躺持續1分</t>
    <phoneticPr fontId="1" type="noConversion"/>
  </si>
  <si>
    <t>受测者起身，坐姿持续4秒</t>
    <phoneticPr fontId="1" type="noConversion"/>
  </si>
  <si>
    <t>受測者躺下來，正躺持續1小時40分4秒</t>
    <phoneticPr fontId="1" type="noConversion"/>
  </si>
  <si>
    <t>受测者起身，坐姿持续10秒</t>
    <phoneticPr fontId="1" type="noConversion"/>
  </si>
  <si>
    <t>受測者離床，離床2分24秒</t>
    <phoneticPr fontId="1" type="noConversion"/>
  </si>
  <si>
    <t>受測者回床，坐姿持續6秒</t>
    <phoneticPr fontId="1" type="noConversion"/>
  </si>
  <si>
    <t>受測者正躺，持續4秒</t>
    <phoneticPr fontId="1" type="noConversion"/>
  </si>
  <si>
    <t>受测者向右侧翻身，右侧躺持續1分3秒</t>
    <phoneticPr fontId="1" type="noConversion"/>
  </si>
  <si>
    <t>受測者頭朝下，俯臥持續8分45秒</t>
    <phoneticPr fontId="1" type="noConversion"/>
  </si>
  <si>
    <t>受测者向右侧翻身，右侧躺持續50分34秒</t>
    <phoneticPr fontId="1" type="noConversion"/>
  </si>
  <si>
    <t>受测者向正面翻身，正躺持續8分4秒</t>
    <phoneticPr fontId="1" type="noConversion"/>
  </si>
  <si>
    <t>受测者向右侧翻身，右侧躺持續53分31秒</t>
    <phoneticPr fontId="1" type="noConversion"/>
  </si>
  <si>
    <t>受测者向正面翻身，正躺持續6分24秒</t>
    <phoneticPr fontId="1" type="noConversion"/>
  </si>
  <si>
    <t>受测者向右侧翻身，右侧躺持續47分37秒</t>
    <phoneticPr fontId="1" type="noConversion"/>
  </si>
  <si>
    <t>受测者起身，坐姿持续3秒</t>
    <phoneticPr fontId="1" type="noConversion"/>
  </si>
  <si>
    <t>受測者躺下來，正躺持續4分24秒</t>
    <phoneticPr fontId="1" type="noConversion"/>
  </si>
  <si>
    <t>受测者起身，坐姿持续11秒</t>
    <phoneticPr fontId="1" type="noConversion"/>
  </si>
  <si>
    <t>受測者起床</t>
    <phoneticPr fontId="1" type="noConversion"/>
  </si>
  <si>
    <t>6小時20分18秒</t>
    <phoneticPr fontId="1" type="noConversion"/>
  </si>
  <si>
    <r>
      <t>如上實驗內容所述，</t>
    </r>
    <r>
      <rPr>
        <sz val="11"/>
        <color rgb="FFFF0000"/>
        <rFont val="標楷體"/>
        <family val="4"/>
        <charset val="136"/>
      </rPr>
      <t>有6段睡姿超过30分钟，有1段睡姿超過1小时的記錄</t>
    </r>
    <phoneticPr fontId="1" type="noConversion"/>
  </si>
  <si>
    <t>實驗開始，受測者離床，持續3分31秒</t>
    <phoneticPr fontId="1" type="noConversion"/>
  </si>
  <si>
    <t>受測者坐姿，持續23秒</t>
    <phoneticPr fontId="1" type="noConversion"/>
  </si>
  <si>
    <t>受測者正躺，持續9分32秒</t>
    <phoneticPr fontId="1" type="noConversion"/>
  </si>
  <si>
    <t>受測者向正面翻身，正躺持續18分17秒</t>
    <phoneticPr fontId="1" type="noConversion"/>
  </si>
  <si>
    <t>受測者向右側翻身，右側躺持續7分17秒</t>
    <phoneticPr fontId="1" type="noConversion"/>
  </si>
  <si>
    <t>受測者向正面翻身，正躺持續5分1秒</t>
    <phoneticPr fontId="1" type="noConversion"/>
  </si>
  <si>
    <t>受測者起身，坐姿持續7秒</t>
    <phoneticPr fontId="1" type="noConversion"/>
  </si>
  <si>
    <t>受測者正躺，持續3秒</t>
    <phoneticPr fontId="1" type="noConversion"/>
  </si>
  <si>
    <t>受測者向左側翻身，左側躺持續6分8秒</t>
    <phoneticPr fontId="1" type="noConversion"/>
  </si>
  <si>
    <t>受測者向正面翻身，正躺持續48分14秒</t>
    <phoneticPr fontId="1" type="noConversion"/>
  </si>
  <si>
    <t>受測者向左側翻身，左側躺持續4分55秒</t>
    <phoneticPr fontId="1" type="noConversion"/>
  </si>
  <si>
    <t>受測者向正面翻身，正躺持續13分45秒</t>
    <phoneticPr fontId="1" type="noConversion"/>
  </si>
  <si>
    <t>受測者向右側翻身，右側躺持續3分11秒</t>
    <phoneticPr fontId="1" type="noConversion"/>
  </si>
  <si>
    <t>受測者向正面翻身，正躺持續4分30秒</t>
    <phoneticPr fontId="1" type="noConversion"/>
  </si>
  <si>
    <t>受測者向左側翻身，左側躺持續7分5秒</t>
    <phoneticPr fontId="1" type="noConversion"/>
  </si>
  <si>
    <t>受測者向正面翻身，正躺持續9分1秒</t>
    <phoneticPr fontId="1" type="noConversion"/>
  </si>
  <si>
    <t>受測者向右側翻身，右側躺持續6分55秒</t>
    <phoneticPr fontId="1" type="noConversion"/>
  </si>
  <si>
    <t>受測者向正面翻身，正躺持續1小時40分29秒</t>
    <phoneticPr fontId="1" type="noConversion"/>
  </si>
  <si>
    <t>受測者向右側翻身，右側躺持續30分48秒</t>
    <phoneticPr fontId="1" type="noConversion"/>
  </si>
  <si>
    <t>受測者向正面翻身，正躺持續33分10秒</t>
    <phoneticPr fontId="1" type="noConversion"/>
  </si>
  <si>
    <t>受測者向右側翻身，右側躺持續8分20秒</t>
    <phoneticPr fontId="1" type="noConversion"/>
  </si>
  <si>
    <t>受測者向正面翻身，正躺持續20分54秒</t>
    <phoneticPr fontId="1" type="noConversion"/>
  </si>
  <si>
    <t>受測者向右側翻身，右側躺持續2分40秒</t>
    <phoneticPr fontId="1" type="noConversion"/>
  </si>
  <si>
    <t>受測者向正面翻身，正躺持續11分59秒</t>
    <phoneticPr fontId="1" type="noConversion"/>
  </si>
  <si>
    <t>受測者向左側翻身，左側躺持續6分44秒</t>
    <phoneticPr fontId="1" type="noConversion"/>
  </si>
  <si>
    <t>受測者向正面翻身，正躺持續3分14秒</t>
    <phoneticPr fontId="1" type="noConversion"/>
  </si>
  <si>
    <t>受測者起身，坐姿持續27秒</t>
    <phoneticPr fontId="1" type="noConversion"/>
  </si>
  <si>
    <t>受測者離床，持續2分23秒</t>
    <phoneticPr fontId="1" type="noConversion"/>
  </si>
  <si>
    <t>受測者回床，坐姿持續7秒</t>
    <phoneticPr fontId="1" type="noConversion"/>
  </si>
  <si>
    <t>受測者正躺，持續6分21秒</t>
    <phoneticPr fontId="1" type="noConversion"/>
  </si>
  <si>
    <t>受測者向左側翻身，左側躺持續17分30秒</t>
    <phoneticPr fontId="1" type="noConversion"/>
  </si>
  <si>
    <t>受測者向正面翻身，正躺持續52分48秒</t>
    <phoneticPr fontId="1" type="noConversion"/>
  </si>
  <si>
    <t>受測者向左側翻身，左側躺持續8分48秒</t>
    <phoneticPr fontId="1" type="noConversion"/>
  </si>
  <si>
    <t>受測者向正面翻身，正躺持續2分44秒</t>
    <phoneticPr fontId="1" type="noConversion"/>
  </si>
  <si>
    <t>7小時12分7秒</t>
    <phoneticPr fontId="1" type="noConversion"/>
  </si>
  <si>
    <t>離床間隔翻身次数</t>
    <phoneticPr fontId="1" type="noConversion"/>
  </si>
  <si>
    <t>受測者向左側翻身，左側躺持續2分13秒</t>
    <phoneticPr fontId="1" type="noConversion"/>
  </si>
  <si>
    <t>第一次：21</t>
    <phoneticPr fontId="1" type="noConversion"/>
  </si>
  <si>
    <t>第二次：4</t>
    <phoneticPr fontId="1" type="noConversion"/>
  </si>
  <si>
    <t>如上面所述</t>
    <phoneticPr fontId="1" type="noConversion"/>
  </si>
  <si>
    <r>
      <t>有5段睡姿超過30分鐘的記錄，其中睡姿為正躺的有3段，處於正躺的睡姿時，壓力影像顯示臀部和背部的壓力值壓力較其他處來的大，且持續時間超過30分鐘（</t>
    </r>
    <r>
      <rPr>
        <sz val="11"/>
        <color rgb="FFFF0000"/>
        <rFont val="標楷體"/>
        <family val="4"/>
        <charset val="136"/>
      </rPr>
      <t>其中更有超過1個小時</t>
    </r>
    <r>
      <rPr>
        <sz val="11"/>
        <color theme="1"/>
        <rFont val="標楷體"/>
        <family val="4"/>
        <charset val="136"/>
      </rPr>
      <t>），故對臀部與背部的肌肉產生較大的負擔，醒來後這些部位易感到酸疼；另外一段時間的睡姿為右側躺，處於右側躺時，相較其他部分來說，臀部和右肩膀處壓力值較大，且持續時間超過30分鐘，對臀部和右肩膀處的肌肉產生較大的負擔。</t>
    </r>
    <phoneticPr fontId="1" type="noConversion"/>
  </si>
  <si>
    <t>time interval</t>
    <phoneticPr fontId="1" type="noConversion"/>
  </si>
  <si>
    <t>日期</t>
    <phoneticPr fontId="1" type="noConversion"/>
  </si>
  <si>
    <t>Jones</t>
    <phoneticPr fontId="1" type="noConversion"/>
  </si>
  <si>
    <t>Jane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</si>
</sst>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400]h:mm:ss\ AM/PM"/>
    <numFmt numFmtId="177" formatCode="h:mm:ss;@"/>
    <numFmt numFmtId="178" formatCode="m&quot;月&quot;d&quot;日&quot;"/>
  </numFmts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1"/>
      <color rgb="FF00B050"/>
      <name val="標楷體"/>
      <family val="4"/>
      <charset val="136"/>
    </font>
    <font>
      <sz val="11"/>
      <color rgb="FFFF0000"/>
      <name val="標楷體"/>
      <family val="4"/>
      <charset val="136"/>
    </font>
    <font>
      <sz val="1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/>
    <xf numFmtId="176" fontId="0" fillId="0" borderId="0" xfId="0" applyNumberFormat="1"/>
    <xf numFmtId="0" fontId="3" fillId="0" borderId="1" xfId="0" applyFont="1" applyBorder="1"/>
    <xf numFmtId="176" fontId="3" fillId="0" borderId="1" xfId="0" applyNumberFormat="1" applyFont="1" applyBorder="1"/>
    <xf numFmtId="176" fontId="3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Border="1" applyAlignment="1">
      <alignment horizontal="left"/>
    </xf>
    <xf numFmtId="177" fontId="4" fillId="0" borderId="1" xfId="0" applyNumberFormat="1" applyFont="1" applyBorder="1" applyAlignment="1">
      <alignment horizontal="left"/>
    </xf>
    <xf numFmtId="177" fontId="5" fillId="0" borderId="1" xfId="0" applyNumberFormat="1" applyFont="1" applyBorder="1" applyAlignment="1">
      <alignment horizontal="left"/>
    </xf>
    <xf numFmtId="0" fontId="5" fillId="0" borderId="1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horizontal="left"/>
    </xf>
    <xf numFmtId="0" fontId="3" fillId="0" borderId="1" xfId="0" applyFont="1" applyFill="1" applyBorder="1"/>
    <xf numFmtId="176" fontId="3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177" fontId="4" fillId="0" borderId="1" xfId="0" applyNumberFormat="1" applyFont="1" applyFill="1" applyBorder="1" applyAlignment="1">
      <alignment horizontal="left"/>
    </xf>
    <xf numFmtId="177" fontId="3" fillId="0" borderId="1" xfId="0" applyNumberFormat="1" applyFont="1" applyFill="1" applyBorder="1" applyAlignment="1">
      <alignment horizontal="left"/>
    </xf>
    <xf numFmtId="177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/>
    <xf numFmtId="177" fontId="6" fillId="0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wrapText="1"/>
    </xf>
    <xf numFmtId="0" fontId="6" fillId="0" borderId="1" xfId="0" applyFont="1" applyFill="1" applyBorder="1"/>
    <xf numFmtId="0" fontId="6" fillId="2" borderId="1" xfId="0" applyFont="1" applyFill="1" applyBorder="1"/>
    <xf numFmtId="176" fontId="3" fillId="0" borderId="1" xfId="0" applyNumberFormat="1" applyFont="1" applyBorder="1" applyAlignment="1">
      <alignment horizontal="left" vertical="center"/>
    </xf>
    <xf numFmtId="177" fontId="6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/>
    <xf numFmtId="0" fontId="0" fillId="0" borderId="1" xfId="0" applyBorder="1" applyAlignment="1"/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176" fontId="0" fillId="0" borderId="6" xfId="0" applyNumberFormat="1" applyBorder="1" applyAlignment="1"/>
    <xf numFmtId="0" fontId="0" fillId="0" borderId="7" xfId="0" applyBorder="1" applyAlignment="1"/>
    <xf numFmtId="14" fontId="3" fillId="0" borderId="1" xfId="0" applyNumberFormat="1" applyFont="1" applyBorder="1" applyAlignment="1">
      <alignment horizontal="left"/>
    </xf>
    <xf numFmtId="176" fontId="3" fillId="0" borderId="1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76" fontId="0" fillId="0" borderId="1" xfId="0" applyNumberFormat="1" applyBorder="1" applyAlignment="1"/>
    <xf numFmtId="178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TW" sz="1200"/>
              <a:t>4</a:t>
            </a:r>
            <a:r>
              <a:rPr lang="zh-CN" altLang="en-US" sz="1200"/>
              <a:t>月</a:t>
            </a:r>
            <a:r>
              <a:rPr lang="en-US" altLang="zh-CN" sz="1200"/>
              <a:t>21</a:t>
            </a:r>
            <a:r>
              <a:rPr lang="zh-CN" altLang="en-US" sz="1200"/>
              <a:t>號整晚睡眠睡姿時間間隔表</a:t>
            </a:r>
            <a:endParaRPr lang="zh-TW" sz="1200"/>
          </a:p>
        </cx:rich>
      </cx:tx>
    </cx:title>
    <cx:plotArea>
      <cx:plotAreaRegion>
        <cx:series layoutId="clusteredColumn" uniqueId="{4AA85794-0ECE-4884-B911-377A4BE6C7D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_xlchart.6</cx:f>
      </cx:numDim>
    </cx:data>
  </cx:chartData>
  <cx:chart>
    <cx:title pos="t" align="ctr" overlay="0"/>
    <cx:plotArea>
      <cx:plotAreaRegion>
        <cx:series layoutId="clusteredColumn" uniqueId="{B4D07E8F-6B27-4A4D-8784-1EC27A155064}"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_xlchart.4</cx:f>
      </cx:numDim>
    </cx:data>
  </cx:chartData>
  <cx:chart>
    <cx:title pos="t" align="ctr" overlay="0"/>
    <cx:plotArea>
      <cx:plotAreaRegion>
        <cx:series layoutId="clusteredColumn" uniqueId="{1F3E681E-3956-48F8-90C8-2DA54492831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</cx:f>
      </cx:numDim>
    </cx:data>
  </cx:chartData>
  <cx:chart>
    <cx:title pos="t" align="ctr" overlay="0"/>
    <cx:plotArea>
      <cx:plotAreaRegion>
        <cx:series layoutId="clusteredColumn" uniqueId="{91C2F8CE-BFFF-4DB2-BDB0-1E8372F59698}"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D1478DDC-45ED-4BA5-A4CE-04E40F89B2CD}"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/>
    <cx:plotArea>
      <cx:plotAreaRegion>
        <cx:series layoutId="clusteredColumn" uniqueId="{8130F03E-00E7-45C4-9E35-15DC2D546FD4}"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_xlchart.12</cx:f>
      </cx:numDim>
    </cx:data>
  </cx:chartData>
  <cx:chart>
    <cx:title pos="t" align="ctr" overlay="0"/>
    <cx:plotArea>
      <cx:plotAreaRegion>
        <cx:series layoutId="clusteredColumn" uniqueId="{422016B5-FCB5-4931-8FE5-F23FFD8977D9}">
          <cx:tx>
            <cx:txData>
              <cx:f>_xlchart.11</cx:f>
              <cx:v>Jones</cx:v>
            </cx:txData>
          </cx:tx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_xlchart.10</cx:f>
      </cx:numDim>
    </cx:data>
  </cx:chartData>
  <cx:chart>
    <cx:title pos="t" align="ctr" overlay="0"/>
    <cx:plotArea>
      <cx:plotAreaRegion>
        <cx:series layoutId="clusteredColumn" uniqueId="{9C773A7E-3238-44B3-921A-5FEC87532E8E}">
          <cx:tx>
            <cx:txData>
              <cx:f>_xlchart.9</cx:f>
              <cx:v>Jane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4</xdr:row>
      <xdr:rowOff>52387</xdr:rowOff>
    </xdr:from>
    <xdr:to>
      <xdr:col>15</xdr:col>
      <xdr:colOff>247650</xdr:colOff>
      <xdr:row>17</xdr:row>
      <xdr:rowOff>195262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圖表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7</xdr:col>
      <xdr:colOff>571500</xdr:colOff>
      <xdr:row>19</xdr:row>
      <xdr:rowOff>109537</xdr:rowOff>
    </xdr:from>
    <xdr:to>
      <xdr:col>15</xdr:col>
      <xdr:colOff>266700</xdr:colOff>
      <xdr:row>33</xdr:row>
      <xdr:rowOff>52387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圖表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7</xdr:col>
      <xdr:colOff>571500</xdr:colOff>
      <xdr:row>35</xdr:row>
      <xdr:rowOff>14287</xdr:rowOff>
    </xdr:from>
    <xdr:to>
      <xdr:col>15</xdr:col>
      <xdr:colOff>266700</xdr:colOff>
      <xdr:row>48</xdr:row>
      <xdr:rowOff>157162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8" name="圖表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51</xdr:row>
      <xdr:rowOff>14287</xdr:rowOff>
    </xdr:from>
    <xdr:to>
      <xdr:col>15</xdr:col>
      <xdr:colOff>304800</xdr:colOff>
      <xdr:row>64</xdr:row>
      <xdr:rowOff>157162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9" name="圖表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8</xdr:col>
      <xdr:colOff>9525</xdr:colOff>
      <xdr:row>68</xdr:row>
      <xdr:rowOff>23812</xdr:rowOff>
    </xdr:from>
    <xdr:to>
      <xdr:col>15</xdr:col>
      <xdr:colOff>314325</xdr:colOff>
      <xdr:row>81</xdr:row>
      <xdr:rowOff>166687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圖表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8</xdr:col>
      <xdr:colOff>9525</xdr:colOff>
      <xdr:row>85</xdr:row>
      <xdr:rowOff>14287</xdr:rowOff>
    </xdr:from>
    <xdr:to>
      <xdr:col>15</xdr:col>
      <xdr:colOff>314325</xdr:colOff>
      <xdr:row>98</xdr:row>
      <xdr:rowOff>157162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圖表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43961</xdr:colOff>
      <xdr:row>0</xdr:row>
      <xdr:rowOff>82795</xdr:rowOff>
    </xdr:from>
    <xdr:to>
      <xdr:col>12</xdr:col>
      <xdr:colOff>95251</xdr:colOff>
      <xdr:row>12</xdr:row>
      <xdr:rowOff>14654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圖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3</xdr:col>
      <xdr:colOff>43960</xdr:colOff>
      <xdr:row>13</xdr:row>
      <xdr:rowOff>16851</xdr:rowOff>
    </xdr:from>
    <xdr:to>
      <xdr:col>12</xdr:col>
      <xdr:colOff>104775</xdr:colOff>
      <xdr:row>26</xdr:row>
      <xdr:rowOff>188301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圖表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115" zoomScaleNormal="115" workbookViewId="0">
      <selection activeCell="L12" sqref="L12"/>
    </sheetView>
  </sheetViews>
  <sheetFormatPr defaultRowHeight="15.75" x14ac:dyDescent="0.25"/>
  <cols>
    <col min="1" max="1" width="11.85546875" customWidth="1"/>
    <col min="3" max="3" width="9.140625" customWidth="1"/>
    <col min="4" max="4" width="10" customWidth="1"/>
    <col min="5" max="5" width="11" customWidth="1"/>
    <col min="10" max="10" width="10" customWidth="1"/>
    <col min="11" max="12" width="12.42578125" style="1" customWidth="1"/>
    <col min="13" max="13" width="11.7109375" customWidth="1"/>
    <col min="14" max="14" width="30.42578125" customWidth="1"/>
    <col min="15" max="15" width="11.85546875" customWidth="1"/>
  </cols>
  <sheetData>
    <row r="1" spans="1:15" ht="23.25" customHeight="1" x14ac:dyDescent="0.25">
      <c r="A1" s="36" t="s">
        <v>0</v>
      </c>
      <c r="B1" s="36"/>
      <c r="C1" s="36"/>
      <c r="D1" s="36"/>
      <c r="E1" s="36"/>
      <c r="F1" s="36"/>
      <c r="G1" s="6"/>
      <c r="H1" s="6"/>
      <c r="J1" s="36" t="s">
        <v>15</v>
      </c>
      <c r="K1" s="36"/>
      <c r="L1" s="36"/>
      <c r="M1" s="36"/>
      <c r="N1" s="36"/>
      <c r="O1" s="4"/>
    </row>
    <row r="2" spans="1:15" ht="16.5" x14ac:dyDescent="0.25">
      <c r="A2" s="2" t="s">
        <v>1</v>
      </c>
      <c r="B2" s="2" t="s">
        <v>2</v>
      </c>
      <c r="C2" s="2" t="s">
        <v>3</v>
      </c>
      <c r="D2" s="2" t="s">
        <v>6</v>
      </c>
      <c r="E2" s="2" t="s">
        <v>7</v>
      </c>
      <c r="F2" s="2" t="s">
        <v>8</v>
      </c>
      <c r="G2" s="7"/>
      <c r="H2" s="7"/>
      <c r="J2" s="8" t="s">
        <v>11</v>
      </c>
      <c r="K2" s="2" t="s">
        <v>13</v>
      </c>
      <c r="L2" s="9" t="s">
        <v>10</v>
      </c>
      <c r="M2" s="9" t="s">
        <v>9</v>
      </c>
      <c r="N2" s="9" t="s">
        <v>14</v>
      </c>
    </row>
    <row r="3" spans="1:15" ht="16.5" x14ac:dyDescent="0.25">
      <c r="A3" s="2">
        <v>1</v>
      </c>
      <c r="B3" s="2">
        <v>29</v>
      </c>
      <c r="C3" s="2" t="s">
        <v>4</v>
      </c>
      <c r="D3" s="2">
        <v>1.73</v>
      </c>
      <c r="E3" s="2">
        <v>70</v>
      </c>
      <c r="F3" s="2">
        <v>23.39</v>
      </c>
      <c r="G3" s="7"/>
      <c r="H3" s="7"/>
      <c r="J3" s="8">
        <v>1</v>
      </c>
      <c r="K3" s="2">
        <v>1</v>
      </c>
      <c r="L3" s="9" t="s">
        <v>12</v>
      </c>
      <c r="M3" s="10">
        <v>43941</v>
      </c>
      <c r="N3" s="9" t="s">
        <v>16</v>
      </c>
    </row>
    <row r="4" spans="1:15" ht="16.5" x14ac:dyDescent="0.25">
      <c r="A4" s="2">
        <v>2</v>
      </c>
      <c r="B4" s="2">
        <v>73</v>
      </c>
      <c r="C4" s="2" t="s">
        <v>5</v>
      </c>
      <c r="D4" s="2">
        <v>1.5</v>
      </c>
      <c r="E4" s="2">
        <v>47</v>
      </c>
      <c r="F4" s="2">
        <v>20.399999999999999</v>
      </c>
      <c r="G4" s="7"/>
      <c r="H4" s="7"/>
      <c r="J4" s="8">
        <v>2</v>
      </c>
      <c r="K4" s="8">
        <v>1</v>
      </c>
      <c r="L4" s="9" t="s">
        <v>12</v>
      </c>
      <c r="M4" s="10">
        <v>43942</v>
      </c>
      <c r="N4" s="9" t="s">
        <v>16</v>
      </c>
      <c r="O4" s="4"/>
    </row>
    <row r="5" spans="1:15" ht="16.5" x14ac:dyDescent="0.25">
      <c r="A5" s="7"/>
      <c r="B5" s="7"/>
      <c r="C5" s="7"/>
      <c r="D5" s="7"/>
      <c r="E5" s="7"/>
      <c r="F5" s="7"/>
      <c r="G5" s="7"/>
      <c r="H5" s="7"/>
      <c r="J5" s="8">
        <v>3</v>
      </c>
      <c r="K5" s="8">
        <v>1</v>
      </c>
      <c r="L5" s="9" t="s">
        <v>12</v>
      </c>
      <c r="M5" s="10">
        <v>43951</v>
      </c>
      <c r="N5" s="9" t="s">
        <v>16</v>
      </c>
      <c r="O5" s="4"/>
    </row>
    <row r="6" spans="1:15" ht="16.5" x14ac:dyDescent="0.25">
      <c r="J6" s="8">
        <v>4</v>
      </c>
      <c r="K6" s="8">
        <v>2</v>
      </c>
      <c r="L6" s="9" t="s">
        <v>12</v>
      </c>
      <c r="M6" s="10">
        <v>43939</v>
      </c>
      <c r="N6" s="9" t="s">
        <v>16</v>
      </c>
      <c r="O6" s="4"/>
    </row>
    <row r="7" spans="1:15" ht="16.5" x14ac:dyDescent="0.25">
      <c r="J7" s="8">
        <v>5</v>
      </c>
      <c r="K7" s="8">
        <v>2</v>
      </c>
      <c r="L7" s="9" t="s">
        <v>12</v>
      </c>
      <c r="M7" s="10">
        <v>43943</v>
      </c>
      <c r="N7" s="9" t="s">
        <v>16</v>
      </c>
      <c r="O7" s="4"/>
    </row>
    <row r="8" spans="1:15" ht="16.5" x14ac:dyDescent="0.25">
      <c r="J8" s="8">
        <v>6</v>
      </c>
      <c r="K8" s="8">
        <v>2</v>
      </c>
      <c r="L8" s="9" t="s">
        <v>12</v>
      </c>
      <c r="M8" s="10">
        <v>43950</v>
      </c>
      <c r="N8" s="9" t="s">
        <v>16</v>
      </c>
      <c r="O8" s="4"/>
    </row>
    <row r="9" spans="1:15" ht="16.5" x14ac:dyDescent="0.25">
      <c r="J9" s="3"/>
      <c r="K9" s="3"/>
      <c r="L9" s="3"/>
      <c r="M9" s="5"/>
      <c r="N9" s="4"/>
      <c r="O9" s="4"/>
    </row>
  </sheetData>
  <mergeCells count="2">
    <mergeCell ref="A1:F1"/>
    <mergeCell ref="J1:N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zoomScale="115" zoomScaleNormal="115" workbookViewId="0">
      <selection activeCell="D1" sqref="D1:D1048576"/>
    </sheetView>
  </sheetViews>
  <sheetFormatPr defaultRowHeight="15.75" x14ac:dyDescent="0.25"/>
  <cols>
    <col min="1" max="1" width="17.140625" customWidth="1"/>
    <col min="2" max="2" width="23.28515625" style="11" customWidth="1"/>
    <col min="3" max="3" width="48.42578125" customWidth="1"/>
    <col min="4" max="4" width="19.140625" customWidth="1"/>
  </cols>
  <sheetData>
    <row r="1" spans="1:6" ht="25.5" customHeight="1" x14ac:dyDescent="0.25">
      <c r="A1" s="44" t="s">
        <v>75</v>
      </c>
      <c r="B1" s="44"/>
      <c r="C1" s="44"/>
    </row>
    <row r="2" spans="1:6" x14ac:dyDescent="0.25">
      <c r="A2" s="12" t="s">
        <v>9</v>
      </c>
      <c r="B2" s="47">
        <v>43941</v>
      </c>
      <c r="C2" s="38"/>
      <c r="E2" s="4"/>
      <c r="F2" s="4"/>
    </row>
    <row r="3" spans="1:6" x14ac:dyDescent="0.25">
      <c r="A3" s="12" t="s">
        <v>17</v>
      </c>
      <c r="B3" s="47" t="s">
        <v>73</v>
      </c>
      <c r="C3" s="38"/>
      <c r="D3" s="4"/>
      <c r="E3" s="4"/>
      <c r="F3" s="4"/>
    </row>
    <row r="4" spans="1:6" x14ac:dyDescent="0.25">
      <c r="A4" s="12" t="s">
        <v>20</v>
      </c>
      <c r="B4" s="47" t="s">
        <v>61</v>
      </c>
      <c r="C4" s="47"/>
      <c r="D4" s="4"/>
      <c r="E4" s="4"/>
      <c r="F4" s="4"/>
    </row>
    <row r="5" spans="1:6" x14ac:dyDescent="0.25">
      <c r="A5" s="12" t="s">
        <v>19</v>
      </c>
      <c r="B5" s="37" t="s">
        <v>62</v>
      </c>
      <c r="C5" s="38"/>
      <c r="D5" s="4"/>
      <c r="E5" s="4"/>
      <c r="F5" s="4"/>
    </row>
    <row r="6" spans="1:6" x14ac:dyDescent="0.25">
      <c r="A6" s="12" t="s">
        <v>24</v>
      </c>
      <c r="B6" s="48" t="s">
        <v>63</v>
      </c>
      <c r="C6" s="38"/>
      <c r="D6" s="4"/>
      <c r="E6" s="4"/>
      <c r="F6" s="4"/>
    </row>
    <row r="7" spans="1:6" x14ac:dyDescent="0.25">
      <c r="A7" s="12" t="s">
        <v>18</v>
      </c>
      <c r="B7" s="37" t="s">
        <v>74</v>
      </c>
      <c r="C7" s="38"/>
      <c r="E7" s="4"/>
      <c r="F7" s="4"/>
    </row>
    <row r="8" spans="1:6" x14ac:dyDescent="0.25">
      <c r="A8" s="41" t="s">
        <v>21</v>
      </c>
      <c r="B8" s="13" t="s">
        <v>22</v>
      </c>
      <c r="C8" s="12" t="s">
        <v>23</v>
      </c>
      <c r="D8" s="4"/>
      <c r="E8" s="4"/>
      <c r="F8" s="4"/>
    </row>
    <row r="9" spans="1:6" x14ac:dyDescent="0.25">
      <c r="A9" s="42"/>
      <c r="B9" s="15">
        <v>3.4525462962962966E-2</v>
      </c>
      <c r="C9" s="12" t="s">
        <v>27</v>
      </c>
      <c r="D9" s="4"/>
      <c r="E9" s="4"/>
      <c r="F9" s="4"/>
    </row>
    <row r="10" spans="1:6" x14ac:dyDescent="0.25">
      <c r="A10" s="42"/>
      <c r="B10" s="15">
        <v>3.5127314814814813E-2</v>
      </c>
      <c r="C10" s="12" t="s">
        <v>26</v>
      </c>
      <c r="D10" s="4">
        <f>9*60+52</f>
        <v>592</v>
      </c>
      <c r="E10" s="4"/>
      <c r="F10" s="4"/>
    </row>
    <row r="11" spans="1:6" x14ac:dyDescent="0.25">
      <c r="A11" s="42"/>
      <c r="B11" s="16">
        <v>4.1979166666666672E-2</v>
      </c>
      <c r="C11" s="12" t="s">
        <v>31</v>
      </c>
      <c r="D11" s="4"/>
      <c r="E11" s="4"/>
      <c r="F11" s="4"/>
    </row>
    <row r="12" spans="1:6" x14ac:dyDescent="0.25">
      <c r="A12" s="42"/>
      <c r="B12" s="17">
        <v>4.2175925925925922E-2</v>
      </c>
      <c r="C12" s="18" t="s">
        <v>28</v>
      </c>
    </row>
    <row r="13" spans="1:6" x14ac:dyDescent="0.25">
      <c r="A13" s="42"/>
      <c r="B13" s="16">
        <v>4.2986111111111114E-2</v>
      </c>
      <c r="C13" s="12" t="s">
        <v>115</v>
      </c>
    </row>
    <row r="14" spans="1:6" x14ac:dyDescent="0.25">
      <c r="A14" s="42"/>
      <c r="B14" s="15">
        <v>4.313657407407407E-2</v>
      </c>
      <c r="C14" s="12" t="s">
        <v>29</v>
      </c>
      <c r="D14">
        <f>3*60+7</f>
        <v>187</v>
      </c>
    </row>
    <row r="15" spans="1:6" x14ac:dyDescent="0.25">
      <c r="A15" s="42"/>
      <c r="B15" s="15">
        <v>4.5300925925925932E-2</v>
      </c>
      <c r="C15" s="12" t="s">
        <v>81</v>
      </c>
      <c r="D15">
        <f>8*60+5</f>
        <v>485</v>
      </c>
    </row>
    <row r="16" spans="1:6" x14ac:dyDescent="0.25">
      <c r="A16" s="42"/>
      <c r="B16" s="15">
        <v>4.8831018518518517E-2</v>
      </c>
      <c r="C16" s="12" t="s">
        <v>83</v>
      </c>
      <c r="D16">
        <f>6*60+28</f>
        <v>388</v>
      </c>
    </row>
    <row r="17" spans="1:4" x14ac:dyDescent="0.25">
      <c r="A17" s="42"/>
      <c r="B17" s="15">
        <v>4.9849537037037039E-2</v>
      </c>
      <c r="C17" s="12" t="s">
        <v>30</v>
      </c>
      <c r="D17">
        <f>12*60+58</f>
        <v>778</v>
      </c>
    </row>
    <row r="18" spans="1:4" x14ac:dyDescent="0.25">
      <c r="A18" s="42"/>
      <c r="B18" s="16">
        <v>5.8854166666666673E-2</v>
      </c>
      <c r="C18" s="12" t="s">
        <v>32</v>
      </c>
    </row>
    <row r="19" spans="1:4" x14ac:dyDescent="0.25">
      <c r="A19" s="42"/>
      <c r="B19" s="17">
        <v>5.8935185185185181E-2</v>
      </c>
      <c r="C19" s="18" t="s">
        <v>33</v>
      </c>
    </row>
    <row r="20" spans="1:4" x14ac:dyDescent="0.25">
      <c r="A20" s="42"/>
      <c r="B20" s="16">
        <v>6.2488425925925926E-2</v>
      </c>
      <c r="C20" s="12" t="s">
        <v>34</v>
      </c>
    </row>
    <row r="21" spans="1:4" x14ac:dyDescent="0.25">
      <c r="A21" s="42"/>
      <c r="B21" s="15">
        <v>6.2523148148148147E-2</v>
      </c>
      <c r="C21" s="12" t="s">
        <v>35</v>
      </c>
      <c r="D21">
        <f>13*60+34</f>
        <v>814</v>
      </c>
    </row>
    <row r="22" spans="1:4" x14ac:dyDescent="0.25">
      <c r="A22" s="42"/>
      <c r="B22" s="15">
        <v>7.1956018518518516E-2</v>
      </c>
      <c r="C22" s="12" t="s">
        <v>36</v>
      </c>
      <c r="D22">
        <f>15*60+9</f>
        <v>909</v>
      </c>
    </row>
    <row r="23" spans="1:4" x14ac:dyDescent="0.25">
      <c r="A23" s="42"/>
      <c r="B23" s="15">
        <v>8.2476851851851843E-2</v>
      </c>
      <c r="C23" s="19" t="s">
        <v>37</v>
      </c>
      <c r="D23">
        <f>32*60+38</f>
        <v>1958</v>
      </c>
    </row>
    <row r="24" spans="1:4" x14ac:dyDescent="0.25">
      <c r="A24" s="42"/>
      <c r="B24" s="15">
        <v>0.10513888888888889</v>
      </c>
      <c r="C24" s="12" t="s">
        <v>42</v>
      </c>
      <c r="D24">
        <f>23*60+56</f>
        <v>1436</v>
      </c>
    </row>
    <row r="25" spans="1:4" x14ac:dyDescent="0.25">
      <c r="A25" s="42"/>
      <c r="B25" s="15">
        <v>0.12175925925925928</v>
      </c>
      <c r="C25" s="12" t="s">
        <v>38</v>
      </c>
      <c r="D25">
        <v>50</v>
      </c>
    </row>
    <row r="26" spans="1:4" x14ac:dyDescent="0.25">
      <c r="A26" s="42"/>
      <c r="B26" s="16">
        <v>0.12233796296296295</v>
      </c>
      <c r="C26" s="12" t="s">
        <v>32</v>
      </c>
    </row>
    <row r="27" spans="1:4" x14ac:dyDescent="0.25">
      <c r="A27" s="42"/>
      <c r="B27" s="17">
        <v>0.12241898148148149</v>
      </c>
      <c r="C27" s="18" t="s">
        <v>39</v>
      </c>
    </row>
    <row r="28" spans="1:4" x14ac:dyDescent="0.25">
      <c r="A28" s="42"/>
      <c r="B28" s="16">
        <v>0.12342592592592593</v>
      </c>
      <c r="C28" s="12" t="s">
        <v>40</v>
      </c>
    </row>
    <row r="29" spans="1:4" x14ac:dyDescent="0.25">
      <c r="A29" s="42"/>
      <c r="B29" s="15">
        <v>0.12350694444444445</v>
      </c>
      <c r="C29" s="12" t="s">
        <v>41</v>
      </c>
      <c r="D29">
        <f>5*60+20</f>
        <v>320</v>
      </c>
    </row>
    <row r="30" spans="1:4" x14ac:dyDescent="0.25">
      <c r="A30" s="42"/>
      <c r="B30" s="15">
        <v>0.12721064814814814</v>
      </c>
      <c r="C30" s="12" t="s">
        <v>46</v>
      </c>
      <c r="D30">
        <f>11*60+15</f>
        <v>675</v>
      </c>
    </row>
    <row r="31" spans="1:4" x14ac:dyDescent="0.25">
      <c r="A31" s="42"/>
      <c r="B31" s="15">
        <v>0.13502314814814814</v>
      </c>
      <c r="C31" s="19" t="s">
        <v>55</v>
      </c>
      <c r="D31">
        <f>66*60+53</f>
        <v>4013</v>
      </c>
    </row>
    <row r="32" spans="1:4" x14ac:dyDescent="0.25">
      <c r="A32" s="42"/>
      <c r="B32" s="15">
        <v>0.1814699074074074</v>
      </c>
      <c r="C32" s="12" t="s">
        <v>45</v>
      </c>
      <c r="D32">
        <f>3*60+47</f>
        <v>227</v>
      </c>
    </row>
    <row r="33" spans="1:4" x14ac:dyDescent="0.25">
      <c r="A33" s="42"/>
      <c r="B33" s="15">
        <v>0.18409722222222222</v>
      </c>
      <c r="C33" s="12" t="s">
        <v>43</v>
      </c>
      <c r="D33">
        <f>10*60+48</f>
        <v>648</v>
      </c>
    </row>
    <row r="34" spans="1:4" x14ac:dyDescent="0.25">
      <c r="A34" s="42"/>
      <c r="B34" s="15">
        <v>0.19159722222222222</v>
      </c>
      <c r="C34" s="12" t="s">
        <v>53</v>
      </c>
      <c r="D34">
        <f>4*60+20</f>
        <v>260</v>
      </c>
    </row>
    <row r="35" spans="1:4" x14ac:dyDescent="0.25">
      <c r="A35" s="42"/>
      <c r="B35" s="15">
        <v>0.19460648148148149</v>
      </c>
      <c r="C35" s="19" t="s">
        <v>44</v>
      </c>
      <c r="D35">
        <f>31*60+47</f>
        <v>1907</v>
      </c>
    </row>
    <row r="36" spans="1:4" x14ac:dyDescent="0.25">
      <c r="A36" s="42"/>
      <c r="B36" s="15">
        <v>0.21667824074074074</v>
      </c>
      <c r="C36" s="12" t="s">
        <v>47</v>
      </c>
      <c r="D36">
        <f>12*60+5</f>
        <v>725</v>
      </c>
    </row>
    <row r="37" spans="1:4" x14ac:dyDescent="0.25">
      <c r="A37" s="42"/>
      <c r="B37" s="15">
        <v>0.22506944444444443</v>
      </c>
      <c r="C37" s="19" t="s">
        <v>49</v>
      </c>
      <c r="D37">
        <f>47*60+39</f>
        <v>2859</v>
      </c>
    </row>
    <row r="38" spans="1:4" x14ac:dyDescent="0.25">
      <c r="A38" s="42"/>
      <c r="B38" s="15">
        <v>0.25815972222222222</v>
      </c>
      <c r="C38" s="12" t="s">
        <v>48</v>
      </c>
      <c r="D38">
        <f>18*60+15</f>
        <v>1095</v>
      </c>
    </row>
    <row r="39" spans="1:4" x14ac:dyDescent="0.25">
      <c r="A39" s="42"/>
      <c r="B39" s="15">
        <v>0.27083333333333331</v>
      </c>
      <c r="C39" s="12" t="s">
        <v>50</v>
      </c>
      <c r="D39">
        <f>10*60+32</f>
        <v>632</v>
      </c>
    </row>
    <row r="40" spans="1:4" x14ac:dyDescent="0.25">
      <c r="A40" s="42"/>
      <c r="B40" s="15">
        <v>0.27814814814814814</v>
      </c>
      <c r="C40" s="12" t="s">
        <v>51</v>
      </c>
      <c r="D40">
        <f>10*60+51</f>
        <v>651</v>
      </c>
    </row>
    <row r="41" spans="1:4" x14ac:dyDescent="0.25">
      <c r="A41" s="42"/>
      <c r="B41" s="15">
        <v>0.28568287037037038</v>
      </c>
      <c r="C41" s="12" t="s">
        <v>52</v>
      </c>
      <c r="D41">
        <f>7*60+17</f>
        <v>437</v>
      </c>
    </row>
    <row r="42" spans="1:4" x14ac:dyDescent="0.25">
      <c r="A42" s="42"/>
      <c r="B42" s="15">
        <v>0.29074074074074074</v>
      </c>
      <c r="C42" s="12" t="s">
        <v>54</v>
      </c>
      <c r="D42">
        <f>8*60+8</f>
        <v>488</v>
      </c>
    </row>
    <row r="43" spans="1:4" x14ac:dyDescent="0.25">
      <c r="A43" s="42"/>
      <c r="B43" s="15">
        <v>0.29638888888888887</v>
      </c>
      <c r="C43" s="12" t="s">
        <v>56</v>
      </c>
      <c r="D43">
        <f>8*60+55</f>
        <v>535</v>
      </c>
    </row>
    <row r="44" spans="1:4" x14ac:dyDescent="0.25">
      <c r="A44" s="42"/>
      <c r="B44" s="15">
        <v>0.30258101851851854</v>
      </c>
      <c r="C44" s="19" t="s">
        <v>57</v>
      </c>
      <c r="D44">
        <f>47*60+22</f>
        <v>2842</v>
      </c>
    </row>
    <row r="45" spans="1:4" x14ac:dyDescent="0.25">
      <c r="A45" s="42"/>
      <c r="B45" s="15">
        <v>0.33547453703703706</v>
      </c>
      <c r="C45" s="12" t="s">
        <v>58</v>
      </c>
      <c r="D45">
        <f>15*60+8</f>
        <v>908</v>
      </c>
    </row>
    <row r="46" spans="1:4" x14ac:dyDescent="0.25">
      <c r="A46" s="42"/>
      <c r="B46" s="15">
        <v>0.34598379629629633</v>
      </c>
      <c r="C46" s="12" t="s">
        <v>59</v>
      </c>
    </row>
    <row r="47" spans="1:4" x14ac:dyDescent="0.25">
      <c r="A47" s="43"/>
      <c r="B47" s="15">
        <v>0.34609953703703705</v>
      </c>
      <c r="C47" s="18" t="s">
        <v>60</v>
      </c>
    </row>
    <row r="48" spans="1:4" x14ac:dyDescent="0.25">
      <c r="A48" s="39" t="s">
        <v>25</v>
      </c>
      <c r="B48" s="13" t="s">
        <v>64</v>
      </c>
      <c r="C48" s="12" t="s">
        <v>66</v>
      </c>
    </row>
    <row r="49" spans="1:3" x14ac:dyDescent="0.25">
      <c r="A49" s="40"/>
      <c r="B49" s="13" t="s">
        <v>65</v>
      </c>
      <c r="C49" s="20">
        <v>3</v>
      </c>
    </row>
    <row r="50" spans="1:3" x14ac:dyDescent="0.25">
      <c r="A50" s="40"/>
      <c r="B50" s="13" t="s">
        <v>67</v>
      </c>
      <c r="C50" s="22">
        <v>23</v>
      </c>
    </row>
    <row r="51" spans="1:3" ht="18" customHeight="1" x14ac:dyDescent="0.25">
      <c r="A51" s="40"/>
      <c r="B51" s="13" t="s">
        <v>68</v>
      </c>
      <c r="C51" s="12" t="s">
        <v>71</v>
      </c>
    </row>
    <row r="52" spans="1:3" ht="19.5" customHeight="1" x14ac:dyDescent="0.25">
      <c r="A52" s="40"/>
      <c r="B52" s="13" t="s">
        <v>69</v>
      </c>
      <c r="C52" s="12" t="s">
        <v>72</v>
      </c>
    </row>
    <row r="53" spans="1:3" ht="148.5" customHeight="1" x14ac:dyDescent="0.25">
      <c r="A53" s="40"/>
      <c r="B53" s="14" t="s">
        <v>70</v>
      </c>
      <c r="C53" s="21" t="s">
        <v>238</v>
      </c>
    </row>
    <row r="54" spans="1:3" x14ac:dyDescent="0.25">
      <c r="A54" s="23" t="s">
        <v>76</v>
      </c>
      <c r="B54" s="45"/>
      <c r="C54" s="46"/>
    </row>
  </sheetData>
  <mergeCells count="10">
    <mergeCell ref="B7:C7"/>
    <mergeCell ref="A48:A53"/>
    <mergeCell ref="A8:A47"/>
    <mergeCell ref="A1:C1"/>
    <mergeCell ref="B54:C54"/>
    <mergeCell ref="B2:C2"/>
    <mergeCell ref="B3:C3"/>
    <mergeCell ref="B4:C4"/>
    <mergeCell ref="B5:C5"/>
    <mergeCell ref="B6:C6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="115" zoomScaleNormal="115" workbookViewId="0">
      <selection activeCell="D1" sqref="D1:D1048576"/>
    </sheetView>
  </sheetViews>
  <sheetFormatPr defaultRowHeight="15.75" x14ac:dyDescent="0.25"/>
  <cols>
    <col min="1" max="1" width="17.140625" customWidth="1"/>
    <col min="2" max="2" width="23.28515625" style="11" customWidth="1"/>
    <col min="3" max="3" width="50.42578125" customWidth="1"/>
    <col min="4" max="4" width="19.140625" customWidth="1"/>
  </cols>
  <sheetData>
    <row r="1" spans="1:6" ht="25.5" customHeight="1" x14ac:dyDescent="0.25">
      <c r="A1" s="44" t="s">
        <v>75</v>
      </c>
      <c r="B1" s="44"/>
      <c r="C1" s="44"/>
    </row>
    <row r="2" spans="1:6" x14ac:dyDescent="0.25">
      <c r="A2" s="12" t="s">
        <v>9</v>
      </c>
      <c r="B2" s="47">
        <v>43942</v>
      </c>
      <c r="C2" s="38"/>
      <c r="E2" s="4"/>
      <c r="F2" s="4"/>
    </row>
    <row r="3" spans="1:6" x14ac:dyDescent="0.25">
      <c r="A3" s="12" t="s">
        <v>17</v>
      </c>
      <c r="B3" s="47" t="s">
        <v>73</v>
      </c>
      <c r="C3" s="38"/>
      <c r="D3" s="4"/>
      <c r="E3" s="4"/>
      <c r="F3" s="4"/>
    </row>
    <row r="4" spans="1:6" x14ac:dyDescent="0.25">
      <c r="A4" s="12" t="s">
        <v>20</v>
      </c>
      <c r="B4" s="47" t="s">
        <v>61</v>
      </c>
      <c r="C4" s="47"/>
      <c r="D4" s="4"/>
      <c r="E4" s="4"/>
      <c r="F4" s="4"/>
    </row>
    <row r="5" spans="1:6" x14ac:dyDescent="0.25">
      <c r="A5" s="12" t="s">
        <v>19</v>
      </c>
      <c r="B5" s="37" t="s">
        <v>62</v>
      </c>
      <c r="C5" s="38"/>
      <c r="D5" s="4"/>
      <c r="E5" s="4"/>
      <c r="F5" s="4"/>
    </row>
    <row r="6" spans="1:6" x14ac:dyDescent="0.25">
      <c r="A6" s="12" t="s">
        <v>24</v>
      </c>
      <c r="B6" s="48" t="s">
        <v>63</v>
      </c>
      <c r="C6" s="38"/>
      <c r="D6" s="4"/>
      <c r="E6" s="4"/>
      <c r="F6" s="4"/>
    </row>
    <row r="7" spans="1:6" x14ac:dyDescent="0.25">
      <c r="A7" s="12" t="s">
        <v>18</v>
      </c>
      <c r="B7" s="37" t="s">
        <v>74</v>
      </c>
      <c r="C7" s="38"/>
      <c r="E7" s="4"/>
      <c r="F7" s="4"/>
    </row>
    <row r="8" spans="1:6" x14ac:dyDescent="0.25">
      <c r="A8" s="41" t="s">
        <v>21</v>
      </c>
      <c r="B8" s="13" t="s">
        <v>22</v>
      </c>
      <c r="C8" s="12" t="s">
        <v>23</v>
      </c>
      <c r="D8" s="4"/>
      <c r="E8" s="4"/>
      <c r="F8" s="4"/>
    </row>
    <row r="9" spans="1:6" x14ac:dyDescent="0.25">
      <c r="A9" s="42"/>
      <c r="B9" s="16">
        <v>0.11351851851851852</v>
      </c>
      <c r="C9" s="12" t="s">
        <v>78</v>
      </c>
      <c r="D9" s="4"/>
      <c r="E9" s="4"/>
      <c r="F9" s="4"/>
    </row>
    <row r="10" spans="1:6" x14ac:dyDescent="0.25">
      <c r="A10" s="42"/>
      <c r="B10" s="15">
        <v>0.11439814814814815</v>
      </c>
      <c r="C10" s="12" t="s">
        <v>79</v>
      </c>
      <c r="D10" s="4">
        <f>3*60+11</f>
        <v>191</v>
      </c>
      <c r="E10" s="4"/>
      <c r="F10" s="4"/>
    </row>
    <row r="11" spans="1:6" x14ac:dyDescent="0.25">
      <c r="A11" s="42"/>
      <c r="B11" s="17">
        <v>0.11660879629629629</v>
      </c>
      <c r="C11" s="18" t="s">
        <v>114</v>
      </c>
      <c r="D11" s="4"/>
      <c r="E11" s="4"/>
      <c r="F11" s="4"/>
    </row>
    <row r="12" spans="1:6" x14ac:dyDescent="0.25">
      <c r="A12" s="42"/>
      <c r="B12" s="15">
        <v>0.11684027777777778</v>
      </c>
      <c r="C12" s="12" t="s">
        <v>80</v>
      </c>
      <c r="D12">
        <f>27*60+50</f>
        <v>1670</v>
      </c>
    </row>
    <row r="13" spans="1:6" x14ac:dyDescent="0.25">
      <c r="A13" s="42"/>
      <c r="B13" s="15">
        <v>0.13616898148148149</v>
      </c>
      <c r="C13" s="12" t="s">
        <v>82</v>
      </c>
      <c r="D13">
        <f>19*60+35</f>
        <v>1175</v>
      </c>
    </row>
    <row r="14" spans="1:6" x14ac:dyDescent="0.25">
      <c r="A14" s="42"/>
      <c r="B14" s="15">
        <v>0.14976851851851852</v>
      </c>
      <c r="C14" s="19" t="s">
        <v>84</v>
      </c>
      <c r="D14">
        <f>46*60+2</f>
        <v>2762</v>
      </c>
    </row>
    <row r="15" spans="1:6" x14ac:dyDescent="0.25">
      <c r="A15" s="42"/>
      <c r="B15" s="15">
        <v>0.1817361111111111</v>
      </c>
      <c r="C15" s="12" t="s">
        <v>85</v>
      </c>
      <c r="D15">
        <f>23*60+50</f>
        <v>1430</v>
      </c>
    </row>
    <row r="16" spans="1:6" x14ac:dyDescent="0.25">
      <c r="A16" s="42"/>
      <c r="B16" s="15">
        <v>0.19828703703703701</v>
      </c>
      <c r="C16" s="12" t="s">
        <v>86</v>
      </c>
    </row>
    <row r="17" spans="1:4" x14ac:dyDescent="0.25">
      <c r="A17" s="42"/>
      <c r="B17" s="15">
        <v>0.19832175925925924</v>
      </c>
      <c r="C17" s="12" t="s">
        <v>87</v>
      </c>
    </row>
    <row r="18" spans="1:4" x14ac:dyDescent="0.25">
      <c r="A18" s="42"/>
      <c r="B18" s="15">
        <v>0.19835648148148147</v>
      </c>
      <c r="C18" s="19" t="s">
        <v>88</v>
      </c>
      <c r="D18">
        <f>42*60+18</f>
        <v>2538</v>
      </c>
    </row>
    <row r="19" spans="1:4" x14ac:dyDescent="0.25">
      <c r="A19" s="42"/>
      <c r="B19" s="15">
        <v>0.22773148148148148</v>
      </c>
      <c r="C19" s="12" t="s">
        <v>89</v>
      </c>
      <c r="D19">
        <f>13*60+29</f>
        <v>809</v>
      </c>
    </row>
    <row r="20" spans="1:4" x14ac:dyDescent="0.25">
      <c r="A20" s="42"/>
      <c r="B20" s="15">
        <v>0.23015046296296296</v>
      </c>
      <c r="C20" s="12" t="s">
        <v>90</v>
      </c>
      <c r="D20">
        <f>11*60+41</f>
        <v>701</v>
      </c>
    </row>
    <row r="21" spans="1:4" x14ac:dyDescent="0.25">
      <c r="A21" s="42"/>
      <c r="B21" s="15">
        <v>0.23826388888888891</v>
      </c>
      <c r="C21" s="12" t="s">
        <v>91</v>
      </c>
      <c r="D21">
        <f>6*60+14</f>
        <v>374</v>
      </c>
    </row>
    <row r="22" spans="1:4" x14ac:dyDescent="0.25">
      <c r="A22" s="42"/>
      <c r="B22" s="15">
        <v>0.24259259259259258</v>
      </c>
      <c r="C22" s="12" t="s">
        <v>92</v>
      </c>
      <c r="D22">
        <f>6*60+31</f>
        <v>391</v>
      </c>
    </row>
    <row r="23" spans="1:4" x14ac:dyDescent="0.25">
      <c r="A23" s="42"/>
      <c r="B23" s="15">
        <v>0.24711805555555555</v>
      </c>
      <c r="C23" s="12" t="s">
        <v>93</v>
      </c>
      <c r="D23">
        <f>3*60+24</f>
        <v>204</v>
      </c>
    </row>
    <row r="24" spans="1:4" x14ac:dyDescent="0.25">
      <c r="A24" s="42"/>
      <c r="B24" s="15">
        <v>0.24947916666666667</v>
      </c>
      <c r="C24" s="12" t="s">
        <v>94</v>
      </c>
      <c r="D24">
        <f>4*60+50</f>
        <v>290</v>
      </c>
    </row>
    <row r="25" spans="1:4" x14ac:dyDescent="0.25">
      <c r="A25" s="42"/>
      <c r="B25" s="15">
        <v>0.25283564814814813</v>
      </c>
      <c r="C25" s="12" t="s">
        <v>95</v>
      </c>
      <c r="D25">
        <f>13*60+15</f>
        <v>795</v>
      </c>
    </row>
    <row r="26" spans="1:4" x14ac:dyDescent="0.25">
      <c r="A26" s="42"/>
      <c r="B26" s="15">
        <v>0.26203703703703701</v>
      </c>
      <c r="C26" s="12" t="s">
        <v>96</v>
      </c>
      <c r="D26">
        <f>12*60+22</f>
        <v>742</v>
      </c>
    </row>
    <row r="27" spans="1:4" x14ac:dyDescent="0.25">
      <c r="A27" s="42"/>
      <c r="B27" s="15">
        <v>0.270625</v>
      </c>
      <c r="C27" s="12" t="s">
        <v>97</v>
      </c>
      <c r="D27">
        <f>4*60+20</f>
        <v>260</v>
      </c>
    </row>
    <row r="28" spans="1:4" x14ac:dyDescent="0.25">
      <c r="A28" s="42"/>
      <c r="B28" s="15">
        <v>0.27363425925925927</v>
      </c>
      <c r="C28" s="19" t="s">
        <v>98</v>
      </c>
      <c r="D28">
        <f>46*60+46</f>
        <v>2806</v>
      </c>
    </row>
    <row r="29" spans="1:4" x14ac:dyDescent="0.25">
      <c r="A29" s="42"/>
      <c r="B29" s="15">
        <v>0.30611111111111111</v>
      </c>
      <c r="C29" s="12" t="s">
        <v>99</v>
      </c>
      <c r="D29">
        <f>12*60+35</f>
        <v>755</v>
      </c>
    </row>
    <row r="30" spans="1:4" x14ac:dyDescent="0.25">
      <c r="A30" s="42"/>
      <c r="B30" s="15">
        <v>0.31484953703703705</v>
      </c>
      <c r="C30" s="12" t="s">
        <v>100</v>
      </c>
      <c r="D30">
        <f>3*60+54</f>
        <v>234</v>
      </c>
    </row>
    <row r="31" spans="1:4" x14ac:dyDescent="0.25">
      <c r="A31" s="42"/>
      <c r="B31" s="15">
        <v>0.31755787037037037</v>
      </c>
      <c r="C31" s="12" t="s">
        <v>101</v>
      </c>
      <c r="D31">
        <f>7*60+17</f>
        <v>437</v>
      </c>
    </row>
    <row r="32" spans="1:4" x14ac:dyDescent="0.25">
      <c r="A32" s="42"/>
      <c r="B32" s="15">
        <v>0.32261574074074073</v>
      </c>
      <c r="C32" s="12" t="s">
        <v>102</v>
      </c>
      <c r="D32">
        <f>6*60+24</f>
        <v>384</v>
      </c>
    </row>
    <row r="33" spans="1:4" x14ac:dyDescent="0.25">
      <c r="A33" s="42"/>
      <c r="B33" s="15">
        <v>0.32706018518518515</v>
      </c>
      <c r="C33" s="12" t="s">
        <v>103</v>
      </c>
      <c r="D33">
        <f>8*60+5</f>
        <v>485</v>
      </c>
    </row>
    <row r="34" spans="1:4" x14ac:dyDescent="0.25">
      <c r="A34" s="42"/>
      <c r="B34" s="15">
        <v>0.3326736111111111</v>
      </c>
      <c r="C34" s="12" t="s">
        <v>104</v>
      </c>
      <c r="D34">
        <f>18*60+12</f>
        <v>1092</v>
      </c>
    </row>
    <row r="35" spans="1:4" x14ac:dyDescent="0.25">
      <c r="A35" s="42"/>
      <c r="B35" s="15">
        <v>0.34531249999999997</v>
      </c>
      <c r="C35" s="12" t="s">
        <v>105</v>
      </c>
      <c r="D35">
        <f>25*60+49</f>
        <v>1549</v>
      </c>
    </row>
    <row r="36" spans="1:4" x14ac:dyDescent="0.25">
      <c r="A36" s="42"/>
      <c r="B36" s="15">
        <v>0.36324074074074075</v>
      </c>
      <c r="C36" s="12" t="s">
        <v>106</v>
      </c>
      <c r="D36">
        <f>11*60+52</f>
        <v>712</v>
      </c>
    </row>
    <row r="37" spans="1:4" x14ac:dyDescent="0.25">
      <c r="A37" s="42"/>
      <c r="B37" s="15">
        <v>0.37148148148148147</v>
      </c>
      <c r="C37" s="12" t="s">
        <v>107</v>
      </c>
      <c r="D37">
        <f>27*60+36</f>
        <v>1656</v>
      </c>
    </row>
    <row r="38" spans="1:4" x14ac:dyDescent="0.25">
      <c r="A38" s="42"/>
      <c r="B38" s="15">
        <v>0.39064814814814813</v>
      </c>
      <c r="C38" s="12" t="s">
        <v>108</v>
      </c>
      <c r="D38">
        <f>4*60+41</f>
        <v>281</v>
      </c>
    </row>
    <row r="39" spans="1:4" x14ac:dyDescent="0.25">
      <c r="A39" s="42"/>
      <c r="B39" s="17">
        <v>0.39390046296296299</v>
      </c>
      <c r="C39" s="18" t="s">
        <v>109</v>
      </c>
    </row>
    <row r="40" spans="1:4" x14ac:dyDescent="0.25">
      <c r="A40" s="42"/>
      <c r="B40" s="17">
        <v>0.39416666666666672</v>
      </c>
      <c r="C40" s="18" t="s">
        <v>60</v>
      </c>
    </row>
    <row r="41" spans="1:4" x14ac:dyDescent="0.25">
      <c r="A41" s="49" t="s">
        <v>25</v>
      </c>
      <c r="B41" s="13" t="s">
        <v>64</v>
      </c>
      <c r="C41" s="12" t="s">
        <v>110</v>
      </c>
    </row>
    <row r="42" spans="1:4" x14ac:dyDescent="0.25">
      <c r="A42" s="50"/>
      <c r="B42" s="13" t="s">
        <v>65</v>
      </c>
      <c r="C42" s="20">
        <v>0</v>
      </c>
    </row>
    <row r="43" spans="1:4" x14ac:dyDescent="0.25">
      <c r="A43" s="50"/>
      <c r="B43" s="13" t="s">
        <v>67</v>
      </c>
      <c r="C43" s="20">
        <v>26</v>
      </c>
    </row>
    <row r="44" spans="1:4" ht="18" customHeight="1" x14ac:dyDescent="0.25">
      <c r="A44" s="50"/>
      <c r="B44" s="13" t="s">
        <v>68</v>
      </c>
      <c r="C44" s="12" t="s">
        <v>111</v>
      </c>
    </row>
    <row r="45" spans="1:4" ht="19.5" customHeight="1" x14ac:dyDescent="0.25">
      <c r="A45" s="50"/>
      <c r="B45" s="13" t="s">
        <v>69</v>
      </c>
      <c r="C45" s="12" t="s">
        <v>112</v>
      </c>
    </row>
    <row r="46" spans="1:4" ht="148.5" customHeight="1" x14ac:dyDescent="0.25">
      <c r="A46" s="51"/>
      <c r="B46" s="14" t="s">
        <v>70</v>
      </c>
      <c r="C46" s="21" t="s">
        <v>135</v>
      </c>
    </row>
    <row r="47" spans="1:4" x14ac:dyDescent="0.25">
      <c r="A47" s="23" t="s">
        <v>77</v>
      </c>
      <c r="B47" s="52"/>
      <c r="C47" s="38"/>
    </row>
  </sheetData>
  <mergeCells count="10">
    <mergeCell ref="B7:C7"/>
    <mergeCell ref="A8:A40"/>
    <mergeCell ref="A41:A46"/>
    <mergeCell ref="B47:C47"/>
    <mergeCell ref="A1:C1"/>
    <mergeCell ref="B2:C2"/>
    <mergeCell ref="B3:C3"/>
    <mergeCell ref="B4:C4"/>
    <mergeCell ref="B5:C5"/>
    <mergeCell ref="B6:C6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7" zoomScale="115" zoomScaleNormal="115" workbookViewId="0">
      <selection activeCell="D1" sqref="D1:D1048576"/>
    </sheetView>
  </sheetViews>
  <sheetFormatPr defaultRowHeight="15.75" x14ac:dyDescent="0.25"/>
  <cols>
    <col min="1" max="1" width="17" customWidth="1"/>
    <col min="2" max="2" width="23.5703125" customWidth="1"/>
    <col min="3" max="3" width="57.5703125" customWidth="1"/>
  </cols>
  <sheetData>
    <row r="1" spans="1:4" x14ac:dyDescent="0.25">
      <c r="A1" s="44" t="s">
        <v>75</v>
      </c>
      <c r="B1" s="44"/>
      <c r="C1" s="44"/>
    </row>
    <row r="2" spans="1:4" x14ac:dyDescent="0.25">
      <c r="A2" s="12" t="s">
        <v>9</v>
      </c>
      <c r="B2" s="47">
        <v>43951</v>
      </c>
      <c r="C2" s="38"/>
    </row>
    <row r="3" spans="1:4" x14ac:dyDescent="0.25">
      <c r="A3" s="12" t="s">
        <v>17</v>
      </c>
      <c r="B3" s="47" t="s">
        <v>73</v>
      </c>
      <c r="C3" s="38"/>
    </row>
    <row r="4" spans="1:4" x14ac:dyDescent="0.25">
      <c r="A4" s="12" t="s">
        <v>20</v>
      </c>
      <c r="B4" s="47" t="s">
        <v>12</v>
      </c>
      <c r="C4" s="47"/>
    </row>
    <row r="5" spans="1:4" x14ac:dyDescent="0.25">
      <c r="A5" s="12" t="s">
        <v>19</v>
      </c>
      <c r="B5" s="37" t="s">
        <v>62</v>
      </c>
      <c r="C5" s="38"/>
    </row>
    <row r="6" spans="1:4" x14ac:dyDescent="0.25">
      <c r="A6" s="12" t="s">
        <v>24</v>
      </c>
      <c r="B6" s="48" t="s">
        <v>63</v>
      </c>
      <c r="C6" s="38"/>
    </row>
    <row r="7" spans="1:4" x14ac:dyDescent="0.25">
      <c r="A7" s="12" t="s">
        <v>18</v>
      </c>
      <c r="B7" s="37" t="s">
        <v>74</v>
      </c>
      <c r="C7" s="38"/>
    </row>
    <row r="8" spans="1:4" x14ac:dyDescent="0.25">
      <c r="A8" s="41" t="s">
        <v>21</v>
      </c>
      <c r="B8" s="13" t="s">
        <v>22</v>
      </c>
      <c r="C8" s="12" t="s">
        <v>14</v>
      </c>
    </row>
    <row r="9" spans="1:4" x14ac:dyDescent="0.25">
      <c r="A9" s="42"/>
      <c r="B9" s="17">
        <v>4.8425925925925928E-2</v>
      </c>
      <c r="C9" s="18" t="s">
        <v>198</v>
      </c>
    </row>
    <row r="10" spans="1:4" x14ac:dyDescent="0.25">
      <c r="A10" s="42"/>
      <c r="B10" s="16">
        <v>5.0868055555555548E-2</v>
      </c>
      <c r="C10" s="12" t="s">
        <v>199</v>
      </c>
    </row>
    <row r="11" spans="1:4" x14ac:dyDescent="0.25">
      <c r="A11" s="42"/>
      <c r="B11" s="35">
        <v>5.1134259259259261E-2</v>
      </c>
      <c r="C11" s="12" t="s">
        <v>200</v>
      </c>
      <c r="D11">
        <f>9*60+32</f>
        <v>572</v>
      </c>
    </row>
    <row r="12" spans="1:4" x14ac:dyDescent="0.25">
      <c r="A12" s="42"/>
      <c r="B12" s="35">
        <v>5.7754629629629628E-2</v>
      </c>
      <c r="C12" s="12" t="s">
        <v>234</v>
      </c>
      <c r="D12">
        <f>2*60+13</f>
        <v>133</v>
      </c>
    </row>
    <row r="13" spans="1:4" x14ac:dyDescent="0.25">
      <c r="A13" s="42"/>
      <c r="B13" s="35">
        <v>5.9293981481481482E-2</v>
      </c>
      <c r="C13" s="12" t="s">
        <v>201</v>
      </c>
      <c r="D13">
        <f>18*60+17</f>
        <v>1097</v>
      </c>
    </row>
    <row r="14" spans="1:4" x14ac:dyDescent="0.25">
      <c r="A14" s="42"/>
      <c r="B14" s="35">
        <v>7.1990740740740744E-2</v>
      </c>
      <c r="C14" s="12" t="s">
        <v>202</v>
      </c>
      <c r="D14">
        <f>7*60+17</f>
        <v>437</v>
      </c>
    </row>
    <row r="15" spans="1:4" x14ac:dyDescent="0.25">
      <c r="A15" s="42"/>
      <c r="B15" s="35">
        <v>7.7048611111111109E-2</v>
      </c>
      <c r="C15" s="12" t="s">
        <v>203</v>
      </c>
      <c r="D15">
        <f>5*60+1</f>
        <v>301</v>
      </c>
    </row>
    <row r="16" spans="1:4" x14ac:dyDescent="0.25">
      <c r="A16" s="42"/>
      <c r="B16" s="16">
        <v>8.0532407407407414E-2</v>
      </c>
      <c r="C16" s="12" t="s">
        <v>204</v>
      </c>
    </row>
    <row r="17" spans="1:4" x14ac:dyDescent="0.25">
      <c r="A17" s="42"/>
      <c r="B17" s="35">
        <v>8.0613425925925922E-2</v>
      </c>
      <c r="C17" s="12" t="s">
        <v>205</v>
      </c>
    </row>
    <row r="18" spans="1:4" x14ac:dyDescent="0.25">
      <c r="A18" s="42"/>
      <c r="B18" s="35">
        <v>8.0648148148148149E-2</v>
      </c>
      <c r="C18" s="12" t="s">
        <v>206</v>
      </c>
      <c r="D18">
        <f>6*60+8</f>
        <v>368</v>
      </c>
    </row>
    <row r="19" spans="1:4" x14ac:dyDescent="0.25">
      <c r="A19" s="42"/>
      <c r="B19" s="35">
        <v>8.4907407407407418E-2</v>
      </c>
      <c r="C19" s="12" t="s">
        <v>207</v>
      </c>
      <c r="D19">
        <f>48*60+14</f>
        <v>2894</v>
      </c>
    </row>
    <row r="20" spans="1:4" x14ac:dyDescent="0.25">
      <c r="A20" s="42"/>
      <c r="B20" s="35">
        <v>0.11840277777777779</v>
      </c>
      <c r="C20" s="12" t="s">
        <v>208</v>
      </c>
      <c r="D20">
        <f>4*60+55</f>
        <v>295</v>
      </c>
    </row>
    <row r="21" spans="1:4" x14ac:dyDescent="0.25">
      <c r="A21" s="42"/>
      <c r="B21" s="35">
        <v>0.12181712962962964</v>
      </c>
      <c r="C21" s="12" t="s">
        <v>209</v>
      </c>
      <c r="D21">
        <f>13*60+45</f>
        <v>825</v>
      </c>
    </row>
    <row r="22" spans="1:4" x14ac:dyDescent="0.25">
      <c r="A22" s="42"/>
      <c r="B22" s="35">
        <v>0.13136574074074073</v>
      </c>
      <c r="C22" s="12" t="s">
        <v>210</v>
      </c>
      <c r="D22">
        <f>3*60+11</f>
        <v>191</v>
      </c>
    </row>
    <row r="23" spans="1:4" x14ac:dyDescent="0.25">
      <c r="A23" s="42"/>
      <c r="B23" s="35">
        <v>0.1335763888888889</v>
      </c>
      <c r="C23" s="12" t="s">
        <v>211</v>
      </c>
      <c r="D23">
        <f>4*60+30</f>
        <v>270</v>
      </c>
    </row>
    <row r="24" spans="1:4" x14ac:dyDescent="0.25">
      <c r="A24" s="42"/>
      <c r="B24" s="15">
        <v>0.13670138888888889</v>
      </c>
      <c r="C24" s="12" t="s">
        <v>212</v>
      </c>
      <c r="D24">
        <f>7*60+5</f>
        <v>425</v>
      </c>
    </row>
    <row r="25" spans="1:4" x14ac:dyDescent="0.25">
      <c r="A25" s="42"/>
      <c r="B25" s="15">
        <v>0.14162037037037037</v>
      </c>
      <c r="C25" s="12" t="s">
        <v>213</v>
      </c>
      <c r="D25">
        <f>9*60+1</f>
        <v>541</v>
      </c>
    </row>
    <row r="26" spans="1:4" x14ac:dyDescent="0.25">
      <c r="A26" s="42"/>
      <c r="B26" s="15">
        <v>0.14788194444444444</v>
      </c>
      <c r="C26" s="12" t="s">
        <v>214</v>
      </c>
      <c r="D26">
        <f>6*60+55</f>
        <v>415</v>
      </c>
    </row>
    <row r="27" spans="1:4" x14ac:dyDescent="0.25">
      <c r="A27" s="42"/>
      <c r="B27" s="15">
        <v>0.15268518518518517</v>
      </c>
      <c r="C27" s="19" t="s">
        <v>215</v>
      </c>
      <c r="D27">
        <f>100*60+29</f>
        <v>6029</v>
      </c>
    </row>
    <row r="28" spans="1:4" x14ac:dyDescent="0.25">
      <c r="A28" s="42"/>
      <c r="B28" s="15">
        <v>0.22246527777777778</v>
      </c>
      <c r="C28" s="19" t="s">
        <v>216</v>
      </c>
      <c r="D28">
        <f>30*60+48</f>
        <v>1848</v>
      </c>
    </row>
    <row r="29" spans="1:4" x14ac:dyDescent="0.25">
      <c r="A29" s="42"/>
      <c r="B29" s="15">
        <v>0.24385416666666668</v>
      </c>
      <c r="C29" s="19" t="s">
        <v>217</v>
      </c>
      <c r="D29">
        <f>33*60+10</f>
        <v>1990</v>
      </c>
    </row>
    <row r="30" spans="1:4" x14ac:dyDescent="0.25">
      <c r="A30" s="42"/>
      <c r="B30" s="15">
        <v>0.26688657407407407</v>
      </c>
      <c r="C30" s="12" t="s">
        <v>218</v>
      </c>
      <c r="D30">
        <f>8*60+20</f>
        <v>500</v>
      </c>
    </row>
    <row r="31" spans="1:4" x14ac:dyDescent="0.25">
      <c r="A31" s="42"/>
      <c r="B31" s="15">
        <v>0.2726736111111111</v>
      </c>
      <c r="C31" s="12" t="s">
        <v>219</v>
      </c>
      <c r="D31">
        <f>20*60+54</f>
        <v>1254</v>
      </c>
    </row>
    <row r="32" spans="1:4" x14ac:dyDescent="0.25">
      <c r="A32" s="42"/>
      <c r="B32" s="15">
        <v>0.28718749999999998</v>
      </c>
      <c r="C32" s="12" t="s">
        <v>220</v>
      </c>
      <c r="D32">
        <f>2*60+40</f>
        <v>160</v>
      </c>
    </row>
    <row r="33" spans="1:4" x14ac:dyDescent="0.25">
      <c r="A33" s="42"/>
      <c r="B33" s="15">
        <v>0.28903935185185187</v>
      </c>
      <c r="C33" s="12" t="s">
        <v>221</v>
      </c>
      <c r="D33">
        <f>11*60+59</f>
        <v>719</v>
      </c>
    </row>
    <row r="34" spans="1:4" x14ac:dyDescent="0.25">
      <c r="A34" s="42"/>
      <c r="B34" s="15">
        <v>0.29736111111111113</v>
      </c>
      <c r="C34" s="12" t="s">
        <v>222</v>
      </c>
      <c r="D34">
        <f>6*60+44</f>
        <v>404</v>
      </c>
    </row>
    <row r="35" spans="1:4" x14ac:dyDescent="0.25">
      <c r="A35" s="42"/>
      <c r="B35" s="15">
        <v>0.30203703703703705</v>
      </c>
      <c r="C35" s="12" t="s">
        <v>223</v>
      </c>
      <c r="D35">
        <f>3*60+14</f>
        <v>194</v>
      </c>
    </row>
    <row r="36" spans="1:4" x14ac:dyDescent="0.25">
      <c r="A36" s="42"/>
      <c r="B36" s="16">
        <v>0.30428240740740742</v>
      </c>
      <c r="C36" s="23" t="s">
        <v>224</v>
      </c>
    </row>
    <row r="37" spans="1:4" x14ac:dyDescent="0.25">
      <c r="A37" s="42"/>
      <c r="B37" s="17">
        <v>0.30459490740740741</v>
      </c>
      <c r="C37" s="29" t="s">
        <v>225</v>
      </c>
    </row>
    <row r="38" spans="1:4" x14ac:dyDescent="0.25">
      <c r="A38" s="42"/>
      <c r="B38" s="16">
        <v>0.30624999999999997</v>
      </c>
      <c r="C38" s="23" t="s">
        <v>226</v>
      </c>
    </row>
    <row r="39" spans="1:4" x14ac:dyDescent="0.25">
      <c r="A39" s="42"/>
      <c r="B39" s="16">
        <v>0.30633101851851852</v>
      </c>
      <c r="C39" s="12" t="s">
        <v>227</v>
      </c>
      <c r="D39">
        <f>6*60+21</f>
        <v>381</v>
      </c>
    </row>
    <row r="40" spans="1:4" x14ac:dyDescent="0.25">
      <c r="A40" s="42"/>
      <c r="B40" s="15">
        <v>0.31074074074074071</v>
      </c>
      <c r="C40" s="12" t="s">
        <v>228</v>
      </c>
      <c r="D40">
        <f>17*60+30</f>
        <v>1050</v>
      </c>
    </row>
    <row r="41" spans="1:4" x14ac:dyDescent="0.25">
      <c r="A41" s="42"/>
      <c r="B41" s="15">
        <v>0.3228935185185185</v>
      </c>
      <c r="C41" s="19" t="s">
        <v>229</v>
      </c>
      <c r="D41">
        <f>52*60+48</f>
        <v>3168</v>
      </c>
    </row>
    <row r="42" spans="1:4" x14ac:dyDescent="0.25">
      <c r="A42" s="42"/>
      <c r="B42" s="15">
        <v>0.35956018518518523</v>
      </c>
      <c r="C42" s="12" t="s">
        <v>230</v>
      </c>
      <c r="D42">
        <f>8*60+48</f>
        <v>528</v>
      </c>
    </row>
    <row r="43" spans="1:4" x14ac:dyDescent="0.25">
      <c r="A43" s="42"/>
      <c r="B43" s="15">
        <v>0.3656712962962963</v>
      </c>
      <c r="C43" s="12" t="s">
        <v>231</v>
      </c>
      <c r="D43">
        <f>2*60+44</f>
        <v>164</v>
      </c>
    </row>
    <row r="44" spans="1:4" x14ac:dyDescent="0.25">
      <c r="A44" s="42"/>
      <c r="B44" s="15">
        <v>0.36756944444444445</v>
      </c>
      <c r="C44" s="12" t="s">
        <v>32</v>
      </c>
    </row>
    <row r="45" spans="1:4" x14ac:dyDescent="0.25">
      <c r="A45" s="42"/>
      <c r="B45" s="15">
        <v>0.36765046296296294</v>
      </c>
      <c r="C45" s="18" t="s">
        <v>60</v>
      </c>
    </row>
    <row r="46" spans="1:4" x14ac:dyDescent="0.25">
      <c r="A46" s="39" t="s">
        <v>25</v>
      </c>
      <c r="B46" s="13" t="s">
        <v>64</v>
      </c>
      <c r="C46" s="12" t="s">
        <v>232</v>
      </c>
    </row>
    <row r="47" spans="1:4" x14ac:dyDescent="0.25">
      <c r="A47" s="40"/>
      <c r="B47" s="13" t="s">
        <v>65</v>
      </c>
      <c r="C47" s="20">
        <v>1</v>
      </c>
    </row>
    <row r="48" spans="1:4" x14ac:dyDescent="0.25">
      <c r="A48" s="40"/>
      <c r="B48" s="13" t="s">
        <v>233</v>
      </c>
      <c r="C48" s="20" t="s">
        <v>235</v>
      </c>
    </row>
    <row r="49" spans="1:3" x14ac:dyDescent="0.25">
      <c r="A49" s="40"/>
      <c r="B49" s="13"/>
      <c r="C49" s="20" t="s">
        <v>236</v>
      </c>
    </row>
    <row r="50" spans="1:3" x14ac:dyDescent="0.25">
      <c r="A50" s="40"/>
      <c r="B50" s="13" t="s">
        <v>68</v>
      </c>
      <c r="C50" s="12" t="s">
        <v>237</v>
      </c>
    </row>
    <row r="51" spans="1:3" x14ac:dyDescent="0.25">
      <c r="A51" s="40"/>
      <c r="B51" s="13" t="s">
        <v>69</v>
      </c>
      <c r="C51" s="12" t="s">
        <v>237</v>
      </c>
    </row>
    <row r="52" spans="1:3" ht="102" customHeight="1" x14ac:dyDescent="0.25">
      <c r="A52" s="40"/>
      <c r="B52" s="34" t="s">
        <v>70</v>
      </c>
      <c r="C52" s="21"/>
    </row>
    <row r="53" spans="1:3" x14ac:dyDescent="0.25">
      <c r="A53" s="23" t="s">
        <v>76</v>
      </c>
      <c r="B53" s="45"/>
      <c r="C53" s="46"/>
    </row>
  </sheetData>
  <mergeCells count="10">
    <mergeCell ref="B7:C7"/>
    <mergeCell ref="A8:A45"/>
    <mergeCell ref="A46:A52"/>
    <mergeCell ref="B53:C53"/>
    <mergeCell ref="A1:C1"/>
    <mergeCell ref="B2:C2"/>
    <mergeCell ref="B3:C3"/>
    <mergeCell ref="B4:C4"/>
    <mergeCell ref="B5:C5"/>
    <mergeCell ref="B6:C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="115" zoomScaleNormal="115" workbookViewId="0">
      <selection activeCell="D1" sqref="D1:D1048576"/>
    </sheetView>
  </sheetViews>
  <sheetFormatPr defaultRowHeight="15.75" x14ac:dyDescent="0.25"/>
  <cols>
    <col min="1" max="1" width="18" customWidth="1"/>
    <col min="2" max="2" width="23" customWidth="1"/>
    <col min="3" max="3" width="51.140625" customWidth="1"/>
  </cols>
  <sheetData>
    <row r="1" spans="1:4" ht="24.75" customHeight="1" x14ac:dyDescent="0.25">
      <c r="A1" s="44" t="s">
        <v>75</v>
      </c>
      <c r="B1" s="44"/>
      <c r="C1" s="44"/>
    </row>
    <row r="2" spans="1:4" x14ac:dyDescent="0.25">
      <c r="A2" s="12" t="s">
        <v>9</v>
      </c>
      <c r="B2" s="47">
        <v>43939</v>
      </c>
      <c r="C2" s="38"/>
    </row>
    <row r="3" spans="1:4" x14ac:dyDescent="0.25">
      <c r="A3" s="12" t="s">
        <v>17</v>
      </c>
      <c r="B3" s="47" t="s">
        <v>73</v>
      </c>
      <c r="C3" s="38"/>
    </row>
    <row r="4" spans="1:4" x14ac:dyDescent="0.25">
      <c r="A4" s="12" t="s">
        <v>20</v>
      </c>
      <c r="B4" s="47" t="s">
        <v>12</v>
      </c>
      <c r="C4" s="47"/>
    </row>
    <row r="5" spans="1:4" x14ac:dyDescent="0.25">
      <c r="A5" s="12" t="s">
        <v>19</v>
      </c>
      <c r="B5" s="37" t="s">
        <v>62</v>
      </c>
      <c r="C5" s="38"/>
    </row>
    <row r="6" spans="1:4" x14ac:dyDescent="0.25">
      <c r="A6" s="12" t="s">
        <v>24</v>
      </c>
      <c r="B6" s="48" t="s">
        <v>113</v>
      </c>
      <c r="C6" s="38"/>
    </row>
    <row r="7" spans="1:4" x14ac:dyDescent="0.25">
      <c r="A7" s="12" t="s">
        <v>18</v>
      </c>
      <c r="B7" s="37" t="s">
        <v>74</v>
      </c>
      <c r="C7" s="38"/>
    </row>
    <row r="8" spans="1:4" x14ac:dyDescent="0.25">
      <c r="A8" s="41" t="s">
        <v>21</v>
      </c>
      <c r="B8" s="13" t="s">
        <v>22</v>
      </c>
      <c r="C8" s="12" t="s">
        <v>14</v>
      </c>
    </row>
    <row r="9" spans="1:4" x14ac:dyDescent="0.25">
      <c r="A9" s="42"/>
      <c r="B9" s="30">
        <v>0.96056712962962953</v>
      </c>
      <c r="C9" s="12" t="s">
        <v>136</v>
      </c>
      <c r="D9">
        <f>56*60+13</f>
        <v>3373</v>
      </c>
    </row>
    <row r="10" spans="1:4" x14ac:dyDescent="0.25">
      <c r="A10" s="42"/>
      <c r="B10" s="26">
        <v>0.99960648148148146</v>
      </c>
      <c r="C10" s="23" t="s">
        <v>138</v>
      </c>
    </row>
    <row r="11" spans="1:4" x14ac:dyDescent="0.25">
      <c r="A11" s="42"/>
      <c r="B11" s="28">
        <v>0.99968749999999995</v>
      </c>
      <c r="C11" s="29" t="s">
        <v>144</v>
      </c>
    </row>
    <row r="12" spans="1:4" x14ac:dyDescent="0.25">
      <c r="A12" s="42"/>
      <c r="B12" s="26">
        <v>43940.000925925924</v>
      </c>
      <c r="C12" s="23" t="s">
        <v>116</v>
      </c>
    </row>
    <row r="13" spans="1:4" x14ac:dyDescent="0.25">
      <c r="A13" s="42"/>
      <c r="B13" s="27">
        <v>43940.000960648147</v>
      </c>
      <c r="C13" s="23" t="s">
        <v>117</v>
      </c>
      <c r="D13">
        <f>11*60+35</f>
        <v>695</v>
      </c>
    </row>
    <row r="14" spans="1:4" x14ac:dyDescent="0.25">
      <c r="A14" s="42"/>
      <c r="B14" s="27">
        <v>43940.009004629632</v>
      </c>
      <c r="C14" s="19" t="s">
        <v>118</v>
      </c>
      <c r="D14">
        <f>35*60+19</f>
        <v>2119</v>
      </c>
    </row>
    <row r="15" spans="1:4" x14ac:dyDescent="0.25">
      <c r="A15" s="42"/>
      <c r="B15" s="26">
        <v>43940.033530092594</v>
      </c>
      <c r="C15" s="23" t="s">
        <v>119</v>
      </c>
    </row>
    <row r="16" spans="1:4" x14ac:dyDescent="0.25">
      <c r="A16" s="42"/>
      <c r="B16" s="28">
        <v>43940.033726851849</v>
      </c>
      <c r="C16" s="29" t="s">
        <v>120</v>
      </c>
    </row>
    <row r="17" spans="1:4" x14ac:dyDescent="0.25">
      <c r="A17" s="42"/>
      <c r="B17" s="27">
        <v>43940.035428240742</v>
      </c>
      <c r="C17" s="23" t="s">
        <v>116</v>
      </c>
    </row>
    <row r="18" spans="1:4" x14ac:dyDescent="0.25">
      <c r="A18" s="42"/>
      <c r="B18" s="27">
        <v>43940.035462962966</v>
      </c>
      <c r="C18" s="23" t="s">
        <v>121</v>
      </c>
      <c r="D18">
        <f>2*60+1</f>
        <v>121</v>
      </c>
    </row>
    <row r="19" spans="1:4" x14ac:dyDescent="0.25">
      <c r="A19" s="42"/>
      <c r="B19" s="27">
        <v>43940.036863425928</v>
      </c>
      <c r="C19" s="19" t="s">
        <v>122</v>
      </c>
      <c r="D19">
        <f>86*60+1</f>
        <v>5161</v>
      </c>
    </row>
    <row r="20" spans="1:4" x14ac:dyDescent="0.25">
      <c r="A20" s="42"/>
      <c r="B20" s="26">
        <v>43940.096597222226</v>
      </c>
      <c r="C20" s="23" t="s">
        <v>123</v>
      </c>
    </row>
    <row r="21" spans="1:4" x14ac:dyDescent="0.25">
      <c r="A21" s="42"/>
      <c r="B21" s="28">
        <v>43940.096747685187</v>
      </c>
      <c r="C21" s="29" t="s">
        <v>124</v>
      </c>
    </row>
    <row r="22" spans="1:4" x14ac:dyDescent="0.25">
      <c r="A22" s="42"/>
      <c r="B22" s="27">
        <v>43940.098182870373</v>
      </c>
      <c r="C22" s="23" t="s">
        <v>125</v>
      </c>
      <c r="D22">
        <f>13*60+12</f>
        <v>792</v>
      </c>
    </row>
    <row r="23" spans="1:4" x14ac:dyDescent="0.25">
      <c r="A23" s="42"/>
      <c r="B23" s="27">
        <v>43940.107349537036</v>
      </c>
      <c r="C23" s="12" t="s">
        <v>126</v>
      </c>
      <c r="D23">
        <f>6*60+4</f>
        <v>364</v>
      </c>
    </row>
    <row r="24" spans="1:4" x14ac:dyDescent="0.25">
      <c r="A24" s="42"/>
      <c r="B24" s="27">
        <v>43940.111562500002</v>
      </c>
      <c r="C24" s="12" t="s">
        <v>141</v>
      </c>
      <c r="D24">
        <f>23*60+44</f>
        <v>1424</v>
      </c>
    </row>
    <row r="25" spans="1:4" x14ac:dyDescent="0.25">
      <c r="A25" s="42"/>
      <c r="B25" s="27">
        <v>43940.127349537041</v>
      </c>
      <c r="C25" s="12" t="s">
        <v>127</v>
      </c>
      <c r="D25">
        <f>3*60+34</f>
        <v>214</v>
      </c>
    </row>
    <row r="26" spans="1:4" x14ac:dyDescent="0.25">
      <c r="A26" s="42"/>
      <c r="B26" s="27">
        <v>43940.129826388889</v>
      </c>
      <c r="C26" s="23" t="s">
        <v>128</v>
      </c>
    </row>
    <row r="27" spans="1:4" x14ac:dyDescent="0.25">
      <c r="A27" s="42"/>
      <c r="B27" s="27">
        <v>43940.129942129628</v>
      </c>
      <c r="C27" s="23" t="s">
        <v>129</v>
      </c>
      <c r="D27">
        <f>10*60+15</f>
        <v>615</v>
      </c>
    </row>
    <row r="28" spans="1:4" x14ac:dyDescent="0.25">
      <c r="A28" s="42"/>
      <c r="B28" s="27">
        <v>43940.137060185189</v>
      </c>
      <c r="C28" s="12" t="s">
        <v>130</v>
      </c>
      <c r="D28">
        <f>25*60+44</f>
        <v>1544</v>
      </c>
    </row>
    <row r="29" spans="1:4" x14ac:dyDescent="0.25">
      <c r="A29" s="42"/>
      <c r="B29" s="27">
        <v>43940.154907407406</v>
      </c>
      <c r="C29" s="19" t="s">
        <v>131</v>
      </c>
      <c r="D29">
        <f>139*60+48</f>
        <v>8388</v>
      </c>
    </row>
    <row r="30" spans="1:4" x14ac:dyDescent="0.25">
      <c r="A30" s="42"/>
      <c r="B30" s="27">
        <v>43940.25199074074</v>
      </c>
      <c r="C30" s="23" t="s">
        <v>132</v>
      </c>
    </row>
    <row r="31" spans="1:4" x14ac:dyDescent="0.25">
      <c r="A31" s="42"/>
      <c r="B31" s="27">
        <v>43940.252222222225</v>
      </c>
      <c r="C31" s="18" t="s">
        <v>60</v>
      </c>
    </row>
    <row r="32" spans="1:4" x14ac:dyDescent="0.25">
      <c r="A32" s="49" t="s">
        <v>25</v>
      </c>
      <c r="B32" s="13" t="s">
        <v>64</v>
      </c>
      <c r="C32" s="12" t="s">
        <v>133</v>
      </c>
    </row>
    <row r="33" spans="1:3" x14ac:dyDescent="0.25">
      <c r="A33" s="50"/>
      <c r="B33" s="13" t="s">
        <v>65</v>
      </c>
      <c r="C33" s="20">
        <v>3</v>
      </c>
    </row>
    <row r="34" spans="1:3" x14ac:dyDescent="0.25">
      <c r="A34" s="50"/>
      <c r="B34" s="13" t="s">
        <v>67</v>
      </c>
      <c r="C34" s="20">
        <v>7</v>
      </c>
    </row>
    <row r="35" spans="1:3" ht="34.5" customHeight="1" x14ac:dyDescent="0.25">
      <c r="A35" s="50"/>
      <c r="B35" s="13" t="s">
        <v>68</v>
      </c>
      <c r="C35" s="31" t="s">
        <v>163</v>
      </c>
    </row>
    <row r="36" spans="1:3" ht="33.75" customHeight="1" x14ac:dyDescent="0.25">
      <c r="A36" s="50"/>
      <c r="B36" s="13" t="s">
        <v>69</v>
      </c>
      <c r="C36" s="31" t="s">
        <v>134</v>
      </c>
    </row>
    <row r="37" spans="1:3" ht="144.75" customHeight="1" x14ac:dyDescent="0.25">
      <c r="A37" s="51"/>
      <c r="B37" s="24" t="s">
        <v>70</v>
      </c>
      <c r="C37" s="21" t="s">
        <v>166</v>
      </c>
    </row>
    <row r="38" spans="1:3" x14ac:dyDescent="0.25">
      <c r="A38" s="23" t="s">
        <v>76</v>
      </c>
      <c r="B38" s="52"/>
      <c r="C38" s="38"/>
    </row>
  </sheetData>
  <mergeCells count="10">
    <mergeCell ref="B7:C7"/>
    <mergeCell ref="A8:A31"/>
    <mergeCell ref="A32:A37"/>
    <mergeCell ref="B38:C38"/>
    <mergeCell ref="A1:C1"/>
    <mergeCell ref="B2:C2"/>
    <mergeCell ref="B3:C3"/>
    <mergeCell ref="B4:C4"/>
    <mergeCell ref="B5:C5"/>
    <mergeCell ref="B6:C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7" zoomScale="115" zoomScaleNormal="115" workbookViewId="0">
      <selection activeCell="D9" sqref="D9:D28"/>
    </sheetView>
  </sheetViews>
  <sheetFormatPr defaultRowHeight="15.75" x14ac:dyDescent="0.25"/>
  <cols>
    <col min="1" max="1" width="16.85546875" customWidth="1"/>
    <col min="2" max="2" width="24" customWidth="1"/>
    <col min="3" max="3" width="55.140625" customWidth="1"/>
    <col min="4" max="4" width="11" customWidth="1"/>
  </cols>
  <sheetData>
    <row r="1" spans="1:4" ht="30.75" customHeight="1" x14ac:dyDescent="0.25">
      <c r="A1" s="44" t="s">
        <v>75</v>
      </c>
      <c r="B1" s="44"/>
      <c r="C1" s="44"/>
    </row>
    <row r="2" spans="1:4" x14ac:dyDescent="0.25">
      <c r="A2" s="12" t="s">
        <v>9</v>
      </c>
      <c r="B2" s="47">
        <v>43943</v>
      </c>
      <c r="C2" s="38"/>
    </row>
    <row r="3" spans="1:4" x14ac:dyDescent="0.25">
      <c r="A3" s="12" t="s">
        <v>17</v>
      </c>
      <c r="B3" s="47" t="s">
        <v>73</v>
      </c>
      <c r="C3" s="38"/>
    </row>
    <row r="4" spans="1:4" x14ac:dyDescent="0.25">
      <c r="A4" s="12" t="s">
        <v>20</v>
      </c>
      <c r="B4" s="47" t="s">
        <v>12</v>
      </c>
      <c r="C4" s="47"/>
    </row>
    <row r="5" spans="1:4" x14ac:dyDescent="0.25">
      <c r="A5" s="12" t="s">
        <v>19</v>
      </c>
      <c r="B5" s="37" t="s">
        <v>62</v>
      </c>
      <c r="C5" s="38"/>
    </row>
    <row r="6" spans="1:4" x14ac:dyDescent="0.25">
      <c r="A6" s="12" t="s">
        <v>24</v>
      </c>
      <c r="B6" s="48" t="s">
        <v>113</v>
      </c>
      <c r="C6" s="38"/>
    </row>
    <row r="7" spans="1:4" x14ac:dyDescent="0.25">
      <c r="A7" s="12" t="s">
        <v>18</v>
      </c>
      <c r="B7" s="37" t="s">
        <v>74</v>
      </c>
      <c r="C7" s="38"/>
    </row>
    <row r="8" spans="1:4" x14ac:dyDescent="0.25">
      <c r="A8" s="41" t="s">
        <v>21</v>
      </c>
      <c r="B8" s="13" t="s">
        <v>22</v>
      </c>
      <c r="C8" s="12" t="s">
        <v>14</v>
      </c>
    </row>
    <row r="9" spans="1:4" x14ac:dyDescent="0.25">
      <c r="A9" s="42"/>
      <c r="B9" s="30">
        <v>0.9983912037037036</v>
      </c>
      <c r="C9" s="19" t="s">
        <v>137</v>
      </c>
      <c r="D9">
        <f>34*60+18</f>
        <v>2058</v>
      </c>
    </row>
    <row r="10" spans="1:4" x14ac:dyDescent="0.25">
      <c r="A10" s="42"/>
      <c r="B10" s="30">
        <v>43944.022210648145</v>
      </c>
      <c r="C10" s="23" t="s">
        <v>139</v>
      </c>
    </row>
    <row r="11" spans="1:4" x14ac:dyDescent="0.25">
      <c r="A11" s="42"/>
      <c r="B11" s="30">
        <v>43944.022523148145</v>
      </c>
      <c r="C11" s="32" t="s">
        <v>140</v>
      </c>
      <c r="D11">
        <f>11*60+48</f>
        <v>708</v>
      </c>
    </row>
    <row r="12" spans="1:4" x14ac:dyDescent="0.25">
      <c r="A12" s="42"/>
      <c r="B12" s="30">
        <v>43944.030717592592</v>
      </c>
      <c r="C12" s="19" t="s">
        <v>142</v>
      </c>
      <c r="D12">
        <f>43*60+56</f>
        <v>2636</v>
      </c>
    </row>
    <row r="13" spans="1:4" x14ac:dyDescent="0.25">
      <c r="A13" s="42"/>
      <c r="B13" s="26">
        <v>43944.061226851853</v>
      </c>
      <c r="C13" s="23" t="s">
        <v>143</v>
      </c>
    </row>
    <row r="14" spans="1:4" x14ac:dyDescent="0.25">
      <c r="A14" s="42"/>
      <c r="B14" s="28">
        <v>43944.061377314814</v>
      </c>
      <c r="C14" s="29" t="s">
        <v>145</v>
      </c>
    </row>
    <row r="15" spans="1:4" x14ac:dyDescent="0.25">
      <c r="A15" s="42"/>
      <c r="B15" s="26">
        <v>43944.063923611109</v>
      </c>
      <c r="C15" s="23" t="s">
        <v>146</v>
      </c>
    </row>
    <row r="16" spans="1:4" x14ac:dyDescent="0.25">
      <c r="A16" s="42"/>
      <c r="B16" s="27">
        <v>43944.063969907409</v>
      </c>
      <c r="C16" s="33" t="s">
        <v>147</v>
      </c>
      <c r="D16">
        <f>56*60+40</f>
        <v>3400</v>
      </c>
    </row>
    <row r="17" spans="1:4" x14ac:dyDescent="0.25">
      <c r="A17" s="42"/>
      <c r="B17" s="27">
        <v>43944.103321759256</v>
      </c>
      <c r="C17" s="19" t="s">
        <v>148</v>
      </c>
      <c r="D17">
        <f>145*60+7</f>
        <v>8707</v>
      </c>
    </row>
    <row r="18" spans="1:4" x14ac:dyDescent="0.25">
      <c r="A18" s="42"/>
      <c r="B18" s="28">
        <v>43944.204097222224</v>
      </c>
      <c r="C18" s="29" t="s">
        <v>149</v>
      </c>
    </row>
    <row r="19" spans="1:4" x14ac:dyDescent="0.25">
      <c r="A19" s="42"/>
      <c r="B19" s="26">
        <v>43944.207303240742</v>
      </c>
      <c r="C19" s="23" t="s">
        <v>150</v>
      </c>
    </row>
    <row r="20" spans="1:4" x14ac:dyDescent="0.25">
      <c r="A20" s="42"/>
      <c r="B20" s="30">
        <v>43944.207384259258</v>
      </c>
      <c r="C20" s="23" t="s">
        <v>151</v>
      </c>
    </row>
    <row r="21" spans="1:4" x14ac:dyDescent="0.25">
      <c r="A21" s="42"/>
      <c r="B21" s="30">
        <v>43944.208807870367</v>
      </c>
      <c r="C21" s="32" t="s">
        <v>152</v>
      </c>
      <c r="D21">
        <f>8*60+25</f>
        <v>505</v>
      </c>
    </row>
    <row r="22" spans="1:4" x14ac:dyDescent="0.25">
      <c r="A22" s="42"/>
      <c r="B22" s="30">
        <v>43944.21465277778</v>
      </c>
      <c r="C22" s="12" t="s">
        <v>153</v>
      </c>
      <c r="D22">
        <f>13*60+58</f>
        <v>838</v>
      </c>
    </row>
    <row r="23" spans="1:4" x14ac:dyDescent="0.25">
      <c r="A23" s="42"/>
      <c r="B23" s="30">
        <v>43944.224351851852</v>
      </c>
      <c r="C23" s="33" t="s">
        <v>154</v>
      </c>
      <c r="D23">
        <f>33*60+11</f>
        <v>1991</v>
      </c>
    </row>
    <row r="24" spans="1:4" x14ac:dyDescent="0.25">
      <c r="A24" s="42"/>
      <c r="B24" s="30">
        <v>43944.247395833336</v>
      </c>
      <c r="C24" s="12" t="s">
        <v>155</v>
      </c>
      <c r="D24">
        <f>11*60+58</f>
        <v>718</v>
      </c>
    </row>
    <row r="25" spans="1:4" x14ac:dyDescent="0.25">
      <c r="A25" s="42"/>
      <c r="B25" s="30">
        <v>43944.255706018521</v>
      </c>
      <c r="C25" s="33" t="s">
        <v>156</v>
      </c>
      <c r="D25">
        <f>45*60+45</f>
        <v>2745</v>
      </c>
    </row>
    <row r="26" spans="1:4" x14ac:dyDescent="0.25">
      <c r="A26" s="42"/>
      <c r="B26" s="30">
        <v>43944.287476851852</v>
      </c>
      <c r="C26" s="19" t="s">
        <v>157</v>
      </c>
      <c r="D26">
        <f>31*60+57</f>
        <v>1917</v>
      </c>
    </row>
    <row r="27" spans="1:4" x14ac:dyDescent="0.25">
      <c r="A27" s="42"/>
      <c r="B27" s="30">
        <v>43944.309664351851</v>
      </c>
      <c r="C27" s="33" t="s">
        <v>158</v>
      </c>
      <c r="D27">
        <f>34*60+48</f>
        <v>2088</v>
      </c>
    </row>
    <row r="28" spans="1:4" x14ac:dyDescent="0.25">
      <c r="A28" s="42"/>
      <c r="B28" s="30">
        <v>43944.333831018521</v>
      </c>
      <c r="C28" s="12" t="s">
        <v>159</v>
      </c>
      <c r="D28">
        <f>1*60+20</f>
        <v>80</v>
      </c>
    </row>
    <row r="29" spans="1:4" x14ac:dyDescent="0.25">
      <c r="A29" s="42"/>
      <c r="B29" s="30">
        <v>43944.334756944445</v>
      </c>
      <c r="C29" s="23" t="s">
        <v>160</v>
      </c>
    </row>
    <row r="30" spans="1:4" x14ac:dyDescent="0.25">
      <c r="A30" s="42"/>
      <c r="B30" s="30">
        <v>43944.334872685184</v>
      </c>
      <c r="C30" s="29" t="s">
        <v>161</v>
      </c>
    </row>
    <row r="31" spans="1:4" x14ac:dyDescent="0.25">
      <c r="A31" s="49" t="s">
        <v>25</v>
      </c>
      <c r="B31" s="13" t="s">
        <v>64</v>
      </c>
      <c r="C31" s="12" t="s">
        <v>162</v>
      </c>
    </row>
    <row r="32" spans="1:4" x14ac:dyDescent="0.25">
      <c r="A32" s="50"/>
      <c r="B32" s="13" t="s">
        <v>65</v>
      </c>
      <c r="C32" s="20">
        <v>2</v>
      </c>
    </row>
    <row r="33" spans="1:3" x14ac:dyDescent="0.25">
      <c r="A33" s="50"/>
      <c r="B33" s="13" t="s">
        <v>67</v>
      </c>
      <c r="C33" s="20">
        <v>11</v>
      </c>
    </row>
    <row r="34" spans="1:3" ht="34.5" customHeight="1" x14ac:dyDescent="0.25">
      <c r="A34" s="50"/>
      <c r="B34" s="13" t="s">
        <v>68</v>
      </c>
      <c r="C34" s="31" t="s">
        <v>164</v>
      </c>
    </row>
    <row r="35" spans="1:3" ht="35.25" customHeight="1" x14ac:dyDescent="0.25">
      <c r="A35" s="50"/>
      <c r="B35" s="13" t="s">
        <v>69</v>
      </c>
      <c r="C35" s="31" t="s">
        <v>165</v>
      </c>
    </row>
    <row r="36" spans="1:3" ht="133.5" customHeight="1" x14ac:dyDescent="0.25">
      <c r="A36" s="51"/>
      <c r="B36" s="24" t="s">
        <v>70</v>
      </c>
      <c r="C36" s="21" t="s">
        <v>167</v>
      </c>
    </row>
    <row r="37" spans="1:3" x14ac:dyDescent="0.25">
      <c r="A37" s="23" t="s">
        <v>76</v>
      </c>
      <c r="B37" s="52"/>
      <c r="C37" s="38"/>
    </row>
  </sheetData>
  <mergeCells count="10">
    <mergeCell ref="B7:C7"/>
    <mergeCell ref="A8:A30"/>
    <mergeCell ref="A31:A36"/>
    <mergeCell ref="B37:C37"/>
    <mergeCell ref="A1:C1"/>
    <mergeCell ref="B2:C2"/>
    <mergeCell ref="B3:C3"/>
    <mergeCell ref="B4:C4"/>
    <mergeCell ref="B5:C5"/>
    <mergeCell ref="B6:C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9" zoomScale="115" zoomScaleNormal="115" workbookViewId="0">
      <selection activeCell="E9" sqref="E9:E35"/>
    </sheetView>
  </sheetViews>
  <sheetFormatPr defaultRowHeight="15.75" x14ac:dyDescent="0.25"/>
  <cols>
    <col min="1" max="1" width="17.42578125" customWidth="1"/>
    <col min="2" max="2" width="23.28515625" customWidth="1"/>
    <col min="3" max="3" width="54.42578125" customWidth="1"/>
  </cols>
  <sheetData>
    <row r="1" spans="1:5" x14ac:dyDescent="0.25">
      <c r="A1" s="44" t="s">
        <v>75</v>
      </c>
      <c r="B1" s="44"/>
      <c r="C1" s="44"/>
    </row>
    <row r="2" spans="1:5" x14ac:dyDescent="0.25">
      <c r="A2" s="12" t="s">
        <v>9</v>
      </c>
      <c r="B2" s="47">
        <v>43950</v>
      </c>
      <c r="C2" s="38"/>
    </row>
    <row r="3" spans="1:5" x14ac:dyDescent="0.25">
      <c r="A3" s="12" t="s">
        <v>17</v>
      </c>
      <c r="B3" s="47" t="s">
        <v>73</v>
      </c>
      <c r="C3" s="38"/>
    </row>
    <row r="4" spans="1:5" x14ac:dyDescent="0.25">
      <c r="A4" s="12" t="s">
        <v>20</v>
      </c>
      <c r="B4" s="47" t="s">
        <v>12</v>
      </c>
      <c r="C4" s="47"/>
    </row>
    <row r="5" spans="1:5" x14ac:dyDescent="0.25">
      <c r="A5" s="12" t="s">
        <v>19</v>
      </c>
      <c r="B5" s="37" t="s">
        <v>62</v>
      </c>
      <c r="C5" s="38"/>
    </row>
    <row r="6" spans="1:5" x14ac:dyDescent="0.25">
      <c r="A6" s="12" t="s">
        <v>24</v>
      </c>
      <c r="B6" s="48" t="s">
        <v>113</v>
      </c>
      <c r="C6" s="38"/>
    </row>
    <row r="7" spans="1:5" x14ac:dyDescent="0.25">
      <c r="A7" s="12" t="s">
        <v>18</v>
      </c>
      <c r="B7" s="37" t="s">
        <v>74</v>
      </c>
      <c r="C7" s="38"/>
    </row>
    <row r="8" spans="1:5" x14ac:dyDescent="0.25">
      <c r="A8" s="41" t="s">
        <v>21</v>
      </c>
      <c r="B8" s="13" t="s">
        <v>22</v>
      </c>
      <c r="C8" s="12" t="s">
        <v>14</v>
      </c>
    </row>
    <row r="9" spans="1:5" x14ac:dyDescent="0.25">
      <c r="A9" s="42"/>
      <c r="B9" s="30">
        <v>3.1712962962962958E-3</v>
      </c>
      <c r="C9" s="23" t="s">
        <v>168</v>
      </c>
      <c r="E9">
        <f>9*60+38</f>
        <v>578</v>
      </c>
    </row>
    <row r="10" spans="1:5" x14ac:dyDescent="0.25">
      <c r="A10" s="42"/>
      <c r="B10" s="26">
        <v>9.8611111111111104E-3</v>
      </c>
      <c r="C10" s="23" t="s">
        <v>169</v>
      </c>
    </row>
    <row r="11" spans="1:5" x14ac:dyDescent="0.25">
      <c r="A11" s="42"/>
      <c r="B11" s="28">
        <v>1.0439814814814813E-2</v>
      </c>
      <c r="C11" s="29" t="s">
        <v>170</v>
      </c>
    </row>
    <row r="12" spans="1:5" x14ac:dyDescent="0.25">
      <c r="A12" s="42"/>
      <c r="B12" s="26">
        <v>1.3182870370370371E-2</v>
      </c>
      <c r="C12" s="23" t="s">
        <v>171</v>
      </c>
    </row>
    <row r="13" spans="1:5" x14ac:dyDescent="0.25">
      <c r="A13" s="42"/>
      <c r="B13" s="30">
        <v>1.3379629629629628E-2</v>
      </c>
      <c r="C13" s="23" t="s">
        <v>172</v>
      </c>
      <c r="E13">
        <f>6*60+54</f>
        <v>414</v>
      </c>
    </row>
    <row r="14" spans="1:5" x14ac:dyDescent="0.25">
      <c r="A14" s="42"/>
      <c r="B14" s="30">
        <v>1.8171296296296297E-2</v>
      </c>
      <c r="C14" s="33" t="s">
        <v>173</v>
      </c>
      <c r="E14">
        <f>45*60+8</f>
        <v>2708</v>
      </c>
    </row>
    <row r="15" spans="1:5" x14ac:dyDescent="0.25">
      <c r="A15" s="42"/>
      <c r="B15" s="26">
        <v>4.9513888888888892E-2</v>
      </c>
      <c r="C15" s="23" t="s">
        <v>143</v>
      </c>
    </row>
    <row r="16" spans="1:5" x14ac:dyDescent="0.25">
      <c r="A16" s="42"/>
      <c r="B16" s="28">
        <v>4.9664351851851855E-2</v>
      </c>
      <c r="C16" s="29" t="s">
        <v>174</v>
      </c>
    </row>
    <row r="17" spans="1:5" x14ac:dyDescent="0.25">
      <c r="A17" s="42"/>
      <c r="B17" s="26">
        <v>5.1099537037037041E-2</v>
      </c>
      <c r="C17" s="23" t="s">
        <v>175</v>
      </c>
    </row>
    <row r="18" spans="1:5" x14ac:dyDescent="0.25">
      <c r="A18" s="42"/>
      <c r="B18" s="30">
        <v>5.1180555555555556E-2</v>
      </c>
      <c r="C18" s="23" t="s">
        <v>176</v>
      </c>
      <c r="E18">
        <f>2*60+33</f>
        <v>153</v>
      </c>
    </row>
    <row r="19" spans="1:5" x14ac:dyDescent="0.25">
      <c r="A19" s="42"/>
      <c r="B19" s="30">
        <v>5.2951388888888888E-2</v>
      </c>
      <c r="C19" s="33" t="s">
        <v>177</v>
      </c>
      <c r="E19">
        <f>35*60+35</f>
        <v>2135</v>
      </c>
    </row>
    <row r="20" spans="1:5" x14ac:dyDescent="0.25">
      <c r="A20" s="42"/>
      <c r="B20" s="30">
        <v>7.7662037037037043E-2</v>
      </c>
      <c r="C20" s="12" t="s">
        <v>178</v>
      </c>
    </row>
    <row r="21" spans="1:5" x14ac:dyDescent="0.25">
      <c r="A21" s="42"/>
      <c r="B21" s="26">
        <v>7.8356481481481485E-2</v>
      </c>
      <c r="C21" s="23" t="s">
        <v>179</v>
      </c>
    </row>
    <row r="22" spans="1:5" x14ac:dyDescent="0.25">
      <c r="A22" s="42"/>
      <c r="B22" s="30">
        <v>7.840277777777778E-2</v>
      </c>
      <c r="C22" s="19" t="s">
        <v>180</v>
      </c>
      <c r="E22">
        <f>100*60+4</f>
        <v>6004</v>
      </c>
    </row>
    <row r="23" spans="1:5" x14ac:dyDescent="0.25">
      <c r="A23" s="42"/>
      <c r="B23" s="26">
        <v>0.14789351851851854</v>
      </c>
      <c r="C23" s="23" t="s">
        <v>181</v>
      </c>
    </row>
    <row r="24" spans="1:5" x14ac:dyDescent="0.25">
      <c r="A24" s="42"/>
      <c r="B24" s="28">
        <v>0.14800925925925926</v>
      </c>
      <c r="C24" s="29" t="s">
        <v>182</v>
      </c>
    </row>
    <row r="25" spans="1:5" x14ac:dyDescent="0.25">
      <c r="A25" s="42"/>
      <c r="B25" s="26">
        <v>0.14967592592592593</v>
      </c>
      <c r="C25" s="23" t="s">
        <v>183</v>
      </c>
    </row>
    <row r="26" spans="1:5" x14ac:dyDescent="0.25">
      <c r="A26" s="42"/>
      <c r="B26" s="30">
        <v>0.14974537037037036</v>
      </c>
      <c r="C26" s="23" t="s">
        <v>184</v>
      </c>
    </row>
    <row r="27" spans="1:5" x14ac:dyDescent="0.25">
      <c r="A27" s="42"/>
      <c r="B27" s="30">
        <v>0.14979166666666668</v>
      </c>
      <c r="C27" s="32" t="s">
        <v>185</v>
      </c>
      <c r="E27">
        <f>1*60+3</f>
        <v>63</v>
      </c>
    </row>
    <row r="28" spans="1:5" x14ac:dyDescent="0.25">
      <c r="A28" s="42"/>
      <c r="B28" s="30">
        <v>0.15052083333333333</v>
      </c>
      <c r="C28" s="32" t="s">
        <v>186</v>
      </c>
      <c r="E28">
        <f>8*60+45</f>
        <v>525</v>
      </c>
    </row>
    <row r="29" spans="1:5" x14ac:dyDescent="0.25">
      <c r="A29" s="42"/>
      <c r="B29" s="30">
        <v>0.15659722222222222</v>
      </c>
      <c r="C29" s="33" t="s">
        <v>187</v>
      </c>
      <c r="E29">
        <f>50*60+34</f>
        <v>3034</v>
      </c>
    </row>
    <row r="30" spans="1:5" x14ac:dyDescent="0.25">
      <c r="A30" s="42"/>
      <c r="B30" s="30">
        <v>0.19171296296296295</v>
      </c>
      <c r="C30" s="32" t="s">
        <v>188</v>
      </c>
      <c r="E30">
        <f>8*60+4</f>
        <v>484</v>
      </c>
    </row>
    <row r="31" spans="1:5" x14ac:dyDescent="0.25">
      <c r="A31" s="42"/>
      <c r="B31" s="30">
        <v>0.1973148148148148</v>
      </c>
      <c r="C31" s="33" t="s">
        <v>189</v>
      </c>
      <c r="E31">
        <f>53*60+31</f>
        <v>3211</v>
      </c>
    </row>
    <row r="32" spans="1:5" x14ac:dyDescent="0.25">
      <c r="A32" s="42"/>
      <c r="B32" s="30">
        <v>0.23447916666666666</v>
      </c>
      <c r="C32" s="32" t="s">
        <v>190</v>
      </c>
      <c r="E32">
        <f>6*60+24</f>
        <v>384</v>
      </c>
    </row>
    <row r="33" spans="1:5" x14ac:dyDescent="0.25">
      <c r="A33" s="42"/>
      <c r="B33" s="30">
        <v>0.23892361111111113</v>
      </c>
      <c r="C33" s="33" t="s">
        <v>191</v>
      </c>
      <c r="E33">
        <f>47*60+37</f>
        <v>2857</v>
      </c>
    </row>
    <row r="34" spans="1:5" x14ac:dyDescent="0.25">
      <c r="A34" s="42"/>
      <c r="B34" s="26">
        <v>0.27199074074074076</v>
      </c>
      <c r="C34" s="23" t="s">
        <v>192</v>
      </c>
    </row>
    <row r="35" spans="1:5" x14ac:dyDescent="0.25">
      <c r="A35" s="42"/>
      <c r="B35" s="30">
        <v>0.27202546296296298</v>
      </c>
      <c r="C35" s="23" t="s">
        <v>193</v>
      </c>
      <c r="E35">
        <f>4*60+24</f>
        <v>264</v>
      </c>
    </row>
    <row r="36" spans="1:5" x14ac:dyDescent="0.25">
      <c r="A36" s="42"/>
      <c r="B36" s="30">
        <v>0.27508101851851852</v>
      </c>
      <c r="C36" s="23" t="s">
        <v>194</v>
      </c>
    </row>
    <row r="37" spans="1:5" x14ac:dyDescent="0.25">
      <c r="A37" s="42"/>
      <c r="B37" s="30">
        <v>0.27520833333333333</v>
      </c>
      <c r="C37" s="29" t="s">
        <v>195</v>
      </c>
    </row>
    <row r="38" spans="1:5" x14ac:dyDescent="0.25">
      <c r="A38" s="49" t="s">
        <v>25</v>
      </c>
      <c r="B38" s="13" t="s">
        <v>64</v>
      </c>
      <c r="C38" s="12" t="s">
        <v>196</v>
      </c>
    </row>
    <row r="39" spans="1:5" x14ac:dyDescent="0.25">
      <c r="A39" s="50"/>
      <c r="B39" s="13" t="s">
        <v>65</v>
      </c>
      <c r="C39" s="20">
        <v>3</v>
      </c>
    </row>
    <row r="40" spans="1:5" x14ac:dyDescent="0.25">
      <c r="A40" s="50"/>
      <c r="B40" s="13" t="s">
        <v>67</v>
      </c>
      <c r="C40" s="20"/>
    </row>
    <row r="41" spans="1:5" ht="36" customHeight="1" x14ac:dyDescent="0.25">
      <c r="A41" s="50"/>
      <c r="B41" s="13" t="s">
        <v>68</v>
      </c>
      <c r="C41" s="31" t="s">
        <v>197</v>
      </c>
    </row>
    <row r="42" spans="1:5" ht="36" customHeight="1" x14ac:dyDescent="0.25">
      <c r="A42" s="50"/>
      <c r="B42" s="13" t="s">
        <v>69</v>
      </c>
      <c r="C42" s="31" t="s">
        <v>197</v>
      </c>
    </row>
    <row r="43" spans="1:5" ht="129" customHeight="1" x14ac:dyDescent="0.25">
      <c r="A43" s="51"/>
      <c r="B43" s="25" t="s">
        <v>70</v>
      </c>
      <c r="C43" s="21"/>
    </row>
    <row r="44" spans="1:5" x14ac:dyDescent="0.25">
      <c r="A44" s="23" t="s">
        <v>76</v>
      </c>
      <c r="B44" s="52"/>
      <c r="C44" s="38"/>
    </row>
  </sheetData>
  <mergeCells count="10">
    <mergeCell ref="B7:C7"/>
    <mergeCell ref="A8:A37"/>
    <mergeCell ref="A38:A43"/>
    <mergeCell ref="B44:C44"/>
    <mergeCell ref="A1:C1"/>
    <mergeCell ref="B2:C2"/>
    <mergeCell ref="B3:C3"/>
    <mergeCell ref="B4:C4"/>
    <mergeCell ref="B5:C5"/>
    <mergeCell ref="B6:C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Normal="100" workbookViewId="0">
      <selection activeCell="Q10" sqref="Q10"/>
    </sheetView>
  </sheetViews>
  <sheetFormatPr defaultRowHeight="15.75" x14ac:dyDescent="0.25"/>
  <cols>
    <col min="2" max="2" width="14.85546875" customWidth="1"/>
    <col min="3" max="3" width="13.28515625" customWidth="1"/>
    <col min="4" max="4" width="15" customWidth="1"/>
    <col min="5" max="5" width="13.5703125" customWidth="1"/>
    <col min="6" max="6" width="13.28515625" customWidth="1"/>
    <col min="7" max="7" width="12.28515625" customWidth="1"/>
  </cols>
  <sheetData>
    <row r="1" spans="1:7" x14ac:dyDescent="0.25">
      <c r="B1" t="s">
        <v>239</v>
      </c>
      <c r="C1" t="s">
        <v>239</v>
      </c>
      <c r="D1" t="s">
        <v>239</v>
      </c>
      <c r="E1" t="s">
        <v>239</v>
      </c>
      <c r="F1" t="s">
        <v>239</v>
      </c>
      <c r="G1" t="s">
        <v>239</v>
      </c>
    </row>
    <row r="2" spans="1:7" x14ac:dyDescent="0.25">
      <c r="A2" t="s">
        <v>240</v>
      </c>
      <c r="B2" s="53">
        <v>43942</v>
      </c>
      <c r="C2" s="53">
        <v>43943</v>
      </c>
      <c r="D2" s="53">
        <v>43951</v>
      </c>
      <c r="E2" s="53">
        <v>43939</v>
      </c>
      <c r="F2" s="53">
        <v>43943</v>
      </c>
      <c r="G2" s="53">
        <v>43950</v>
      </c>
    </row>
    <row r="3" spans="1:7" x14ac:dyDescent="0.25">
      <c r="B3" s="4">
        <f>9*60+52</f>
        <v>592</v>
      </c>
      <c r="C3" s="4">
        <f>3*60+11</f>
        <v>191</v>
      </c>
      <c r="D3">
        <f>9*60+32</f>
        <v>572</v>
      </c>
      <c r="E3">
        <f>56*60+13</f>
        <v>3373</v>
      </c>
      <c r="F3">
        <f>34*60+18</f>
        <v>2058</v>
      </c>
      <c r="G3">
        <f>9*60+38</f>
        <v>578</v>
      </c>
    </row>
    <row r="4" spans="1:7" x14ac:dyDescent="0.25">
      <c r="B4">
        <f>3*60+7</f>
        <v>187</v>
      </c>
      <c r="C4">
        <f>27*60+50</f>
        <v>1670</v>
      </c>
      <c r="D4">
        <f>2*60+13</f>
        <v>133</v>
      </c>
      <c r="E4">
        <f>11*60+35</f>
        <v>695</v>
      </c>
      <c r="F4">
        <f>11*60+48</f>
        <v>708</v>
      </c>
      <c r="G4">
        <f>6*60+54</f>
        <v>414</v>
      </c>
    </row>
    <row r="5" spans="1:7" x14ac:dyDescent="0.25">
      <c r="B5">
        <f>8*60+5</f>
        <v>485</v>
      </c>
      <c r="C5">
        <f>19*60+35</f>
        <v>1175</v>
      </c>
      <c r="D5">
        <f>18*60+17</f>
        <v>1097</v>
      </c>
      <c r="E5">
        <f>35*60+19</f>
        <v>2119</v>
      </c>
      <c r="F5">
        <f>43*60+56</f>
        <v>2636</v>
      </c>
      <c r="G5">
        <f>45*60+8</f>
        <v>2708</v>
      </c>
    </row>
    <row r="6" spans="1:7" x14ac:dyDescent="0.25">
      <c r="B6">
        <f>6*60+28</f>
        <v>388</v>
      </c>
      <c r="C6">
        <f>46*60+2</f>
        <v>2762</v>
      </c>
      <c r="D6">
        <f>7*60+17</f>
        <v>437</v>
      </c>
      <c r="E6">
        <f>2*60+1</f>
        <v>121</v>
      </c>
      <c r="F6">
        <f>56*60+40</f>
        <v>3400</v>
      </c>
      <c r="G6">
        <f>2*60+33</f>
        <v>153</v>
      </c>
    </row>
    <row r="7" spans="1:7" x14ac:dyDescent="0.25">
      <c r="B7">
        <f>12*60+58</f>
        <v>778</v>
      </c>
      <c r="C7">
        <f>23*60+50</f>
        <v>1430</v>
      </c>
      <c r="D7">
        <f>5*60+1</f>
        <v>301</v>
      </c>
      <c r="E7">
        <f>86*60+1</f>
        <v>5161</v>
      </c>
      <c r="F7">
        <f>145*60+7</f>
        <v>8707</v>
      </c>
      <c r="G7">
        <f>35*60+35</f>
        <v>2135</v>
      </c>
    </row>
    <row r="8" spans="1:7" x14ac:dyDescent="0.25">
      <c r="B8">
        <f>13*60+34</f>
        <v>814</v>
      </c>
      <c r="C8">
        <f>42*60+18</f>
        <v>2538</v>
      </c>
      <c r="D8">
        <f>6*60+8</f>
        <v>368</v>
      </c>
      <c r="E8">
        <f>13*60+12</f>
        <v>792</v>
      </c>
      <c r="F8">
        <f>8*60+25</f>
        <v>505</v>
      </c>
      <c r="G8">
        <f>100*60+4</f>
        <v>6004</v>
      </c>
    </row>
    <row r="9" spans="1:7" x14ac:dyDescent="0.25">
      <c r="B9">
        <f>15*60+9</f>
        <v>909</v>
      </c>
      <c r="C9">
        <f>13*60+29</f>
        <v>809</v>
      </c>
      <c r="D9">
        <f>48*60+14</f>
        <v>2894</v>
      </c>
      <c r="E9">
        <f>6*60+4</f>
        <v>364</v>
      </c>
      <c r="F9">
        <f>13*60+58</f>
        <v>838</v>
      </c>
      <c r="G9">
        <f>1*60+3</f>
        <v>63</v>
      </c>
    </row>
    <row r="10" spans="1:7" x14ac:dyDescent="0.25">
      <c r="B10">
        <f>32*60+38</f>
        <v>1958</v>
      </c>
      <c r="C10">
        <f>11*60+41</f>
        <v>701</v>
      </c>
      <c r="D10">
        <f>4*60+55</f>
        <v>295</v>
      </c>
      <c r="E10">
        <f>23*60+44</f>
        <v>1424</v>
      </c>
      <c r="F10">
        <f>33*60+11</f>
        <v>1991</v>
      </c>
      <c r="G10">
        <f>8*60+45</f>
        <v>525</v>
      </c>
    </row>
    <row r="11" spans="1:7" x14ac:dyDescent="0.25">
      <c r="B11">
        <f>23*60+56</f>
        <v>1436</v>
      </c>
      <c r="C11">
        <f>6*60+14</f>
        <v>374</v>
      </c>
      <c r="D11">
        <f>13*60+45</f>
        <v>825</v>
      </c>
      <c r="E11">
        <f>3*60+34</f>
        <v>214</v>
      </c>
      <c r="F11">
        <f>11*60+58</f>
        <v>718</v>
      </c>
      <c r="G11">
        <f>50*60+34</f>
        <v>3034</v>
      </c>
    </row>
    <row r="12" spans="1:7" x14ac:dyDescent="0.25">
      <c r="B12">
        <v>50</v>
      </c>
      <c r="C12">
        <f>6*60+31</f>
        <v>391</v>
      </c>
      <c r="D12">
        <f>3*60+11</f>
        <v>191</v>
      </c>
      <c r="E12">
        <f>10*60+15</f>
        <v>615</v>
      </c>
      <c r="F12">
        <f>45*60+45</f>
        <v>2745</v>
      </c>
      <c r="G12">
        <f>8*60+4</f>
        <v>484</v>
      </c>
    </row>
    <row r="13" spans="1:7" x14ac:dyDescent="0.25">
      <c r="B13">
        <f>5*60+20</f>
        <v>320</v>
      </c>
      <c r="C13">
        <f>3*60+24</f>
        <v>204</v>
      </c>
      <c r="D13">
        <f>4*60+30</f>
        <v>270</v>
      </c>
      <c r="E13">
        <f>25*60+44</f>
        <v>1544</v>
      </c>
      <c r="F13">
        <f>31*60+57</f>
        <v>1917</v>
      </c>
      <c r="G13">
        <f>53*60+31</f>
        <v>3211</v>
      </c>
    </row>
    <row r="14" spans="1:7" x14ac:dyDescent="0.25">
      <c r="B14">
        <f>11*60+15</f>
        <v>675</v>
      </c>
      <c r="C14">
        <f>4*60+50</f>
        <v>290</v>
      </c>
      <c r="D14">
        <f>7*60+5</f>
        <v>425</v>
      </c>
      <c r="E14">
        <f>139*60+48</f>
        <v>8388</v>
      </c>
      <c r="F14">
        <f>34*60+48</f>
        <v>2088</v>
      </c>
      <c r="G14">
        <f>6*60+24</f>
        <v>384</v>
      </c>
    </row>
    <row r="15" spans="1:7" x14ac:dyDescent="0.25">
      <c r="B15">
        <f>66*60+53</f>
        <v>4013</v>
      </c>
      <c r="C15">
        <f>13*60+15</f>
        <v>795</v>
      </c>
      <c r="D15">
        <f>9*60+1</f>
        <v>541</v>
      </c>
      <c r="F15">
        <f>1*60+20</f>
        <v>80</v>
      </c>
      <c r="G15">
        <f>47*60+37</f>
        <v>2857</v>
      </c>
    </row>
    <row r="16" spans="1:7" x14ac:dyDescent="0.25">
      <c r="B16">
        <f>3*60+47</f>
        <v>227</v>
      </c>
      <c r="C16">
        <f>12*60+22</f>
        <v>742</v>
      </c>
      <c r="D16">
        <f>6*60+55</f>
        <v>415</v>
      </c>
      <c r="G16">
        <f>4*60+24</f>
        <v>264</v>
      </c>
    </row>
    <row r="17" spans="2:4" x14ac:dyDescent="0.25">
      <c r="B17">
        <f>10*60+48</f>
        <v>648</v>
      </c>
      <c r="C17">
        <f>4*60+20</f>
        <v>260</v>
      </c>
      <c r="D17">
        <f>100*60+29</f>
        <v>6029</v>
      </c>
    </row>
    <row r="18" spans="2:4" x14ac:dyDescent="0.25">
      <c r="B18">
        <f>4*60+20</f>
        <v>260</v>
      </c>
      <c r="C18">
        <f>46*60+46</f>
        <v>2806</v>
      </c>
      <c r="D18">
        <f>30*60+48</f>
        <v>1848</v>
      </c>
    </row>
    <row r="19" spans="2:4" x14ac:dyDescent="0.25">
      <c r="B19">
        <f>31*60+47</f>
        <v>1907</v>
      </c>
      <c r="C19">
        <f>12*60+35</f>
        <v>755</v>
      </c>
      <c r="D19">
        <f>33*60+10</f>
        <v>1990</v>
      </c>
    </row>
    <row r="20" spans="2:4" x14ac:dyDescent="0.25">
      <c r="B20">
        <f>12*60+5</f>
        <v>725</v>
      </c>
      <c r="C20">
        <f>3*60+54</f>
        <v>234</v>
      </c>
      <c r="D20">
        <f>8*60+20</f>
        <v>500</v>
      </c>
    </row>
    <row r="21" spans="2:4" x14ac:dyDescent="0.25">
      <c r="B21">
        <f>47*60+39</f>
        <v>2859</v>
      </c>
      <c r="C21">
        <f>7*60+17</f>
        <v>437</v>
      </c>
      <c r="D21">
        <f>20*60+54</f>
        <v>1254</v>
      </c>
    </row>
    <row r="22" spans="2:4" x14ac:dyDescent="0.25">
      <c r="B22">
        <f>18*60+15</f>
        <v>1095</v>
      </c>
      <c r="C22">
        <f>6*60+24</f>
        <v>384</v>
      </c>
      <c r="D22">
        <f>2*60+40</f>
        <v>160</v>
      </c>
    </row>
    <row r="23" spans="2:4" x14ac:dyDescent="0.25">
      <c r="B23">
        <f>10*60+32</f>
        <v>632</v>
      </c>
      <c r="C23">
        <f>8*60+5</f>
        <v>485</v>
      </c>
      <c r="D23">
        <f>11*60+59</f>
        <v>719</v>
      </c>
    </row>
    <row r="24" spans="2:4" x14ac:dyDescent="0.25">
      <c r="B24">
        <f>10*60+51</f>
        <v>651</v>
      </c>
      <c r="C24">
        <f>18*60+12</f>
        <v>1092</v>
      </c>
      <c r="D24">
        <f>6*60+44</f>
        <v>404</v>
      </c>
    </row>
    <row r="25" spans="2:4" x14ac:dyDescent="0.25">
      <c r="B25">
        <f>7*60+17</f>
        <v>437</v>
      </c>
      <c r="C25">
        <f>25*60+49</f>
        <v>1549</v>
      </c>
      <c r="D25">
        <f>3*60+14</f>
        <v>194</v>
      </c>
    </row>
    <row r="26" spans="2:4" x14ac:dyDescent="0.25">
      <c r="B26">
        <f>8*60+8</f>
        <v>488</v>
      </c>
      <c r="C26">
        <f>11*60+52</f>
        <v>712</v>
      </c>
      <c r="D26">
        <f>6*60+21</f>
        <v>381</v>
      </c>
    </row>
    <row r="27" spans="2:4" x14ac:dyDescent="0.25">
      <c r="B27">
        <f>8*60+55</f>
        <v>535</v>
      </c>
      <c r="C27">
        <f>27*60+36</f>
        <v>1656</v>
      </c>
      <c r="D27">
        <f>17*60+30</f>
        <v>1050</v>
      </c>
    </row>
    <row r="28" spans="2:4" x14ac:dyDescent="0.25">
      <c r="B28">
        <f>47*60+22</f>
        <v>2842</v>
      </c>
      <c r="C28">
        <f>4*60+41</f>
        <v>281</v>
      </c>
      <c r="D28">
        <f>52*60+48</f>
        <v>3168</v>
      </c>
    </row>
    <row r="29" spans="2:4" x14ac:dyDescent="0.25">
      <c r="B29">
        <f>15*60+8</f>
        <v>908</v>
      </c>
      <c r="D29">
        <f>8*60+48</f>
        <v>528</v>
      </c>
    </row>
    <row r="30" spans="2:4" x14ac:dyDescent="0.25">
      <c r="D30">
        <f>2*60+44</f>
        <v>164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zoomScaleNormal="100" workbookViewId="0">
      <selection activeCell="O19" sqref="O19"/>
    </sheetView>
  </sheetViews>
  <sheetFormatPr defaultRowHeight="15.75" x14ac:dyDescent="0.25"/>
  <cols>
    <col min="1" max="1" width="10.85546875" customWidth="1"/>
  </cols>
  <sheetData>
    <row r="1" spans="1:2" x14ac:dyDescent="0.25">
      <c r="A1" t="s">
        <v>241</v>
      </c>
      <c r="B1" t="s">
        <v>242</v>
      </c>
    </row>
    <row r="2" spans="1:2" x14ac:dyDescent="0.25">
      <c r="A2" s="4">
        <f>9*60+52</f>
        <v>592</v>
      </c>
      <c r="B2">
        <f>56*60+13</f>
        <v>3373</v>
      </c>
    </row>
    <row r="3" spans="1:2" ht="16.5" customHeight="1" x14ac:dyDescent="0.25">
      <c r="A3">
        <f>3*60+7</f>
        <v>187</v>
      </c>
      <c r="B3">
        <f>11*60+35</f>
        <v>695</v>
      </c>
    </row>
    <row r="4" spans="1:2" x14ac:dyDescent="0.25">
      <c r="A4">
        <f>8*60+5</f>
        <v>485</v>
      </c>
      <c r="B4">
        <f>35*60+19</f>
        <v>2119</v>
      </c>
    </row>
    <row r="5" spans="1:2" x14ac:dyDescent="0.25">
      <c r="A5">
        <f>6*60+28</f>
        <v>388</v>
      </c>
      <c r="B5">
        <f>2*60+1</f>
        <v>121</v>
      </c>
    </row>
    <row r="6" spans="1:2" x14ac:dyDescent="0.25">
      <c r="A6">
        <f>12*60+58</f>
        <v>778</v>
      </c>
      <c r="B6">
        <f>86*60+1</f>
        <v>5161</v>
      </c>
    </row>
    <row r="7" spans="1:2" x14ac:dyDescent="0.25">
      <c r="A7">
        <f>13*60+34</f>
        <v>814</v>
      </c>
      <c r="B7">
        <f>13*60+12</f>
        <v>792</v>
      </c>
    </row>
    <row r="8" spans="1:2" x14ac:dyDescent="0.25">
      <c r="A8">
        <f>15*60+9</f>
        <v>909</v>
      </c>
      <c r="B8">
        <f>6*60+4</f>
        <v>364</v>
      </c>
    </row>
    <row r="9" spans="1:2" x14ac:dyDescent="0.25">
      <c r="A9">
        <f>32*60+38</f>
        <v>1958</v>
      </c>
      <c r="B9">
        <f>23*60+44</f>
        <v>1424</v>
      </c>
    </row>
    <row r="10" spans="1:2" x14ac:dyDescent="0.25">
      <c r="A10">
        <f>23*60+56</f>
        <v>1436</v>
      </c>
      <c r="B10">
        <f>3*60+34</f>
        <v>214</v>
      </c>
    </row>
    <row r="11" spans="1:2" x14ac:dyDescent="0.25">
      <c r="A11">
        <v>50</v>
      </c>
      <c r="B11">
        <f>10*60+15</f>
        <v>615</v>
      </c>
    </row>
    <row r="12" spans="1:2" x14ac:dyDescent="0.25">
      <c r="A12">
        <f>5*60+20</f>
        <v>320</v>
      </c>
      <c r="B12">
        <f>25*60+44</f>
        <v>1544</v>
      </c>
    </row>
    <row r="13" spans="1:2" x14ac:dyDescent="0.25">
      <c r="A13">
        <f>11*60+15</f>
        <v>675</v>
      </c>
      <c r="B13">
        <f>139*60+48</f>
        <v>8388</v>
      </c>
    </row>
    <row r="14" spans="1:2" x14ac:dyDescent="0.25">
      <c r="A14">
        <f>66*60+53</f>
        <v>4013</v>
      </c>
      <c r="B14">
        <f>34*60+18</f>
        <v>2058</v>
      </c>
    </row>
    <row r="15" spans="1:2" x14ac:dyDescent="0.25">
      <c r="A15">
        <f>3*60+47</f>
        <v>227</v>
      </c>
      <c r="B15">
        <f>11*60+48</f>
        <v>708</v>
      </c>
    </row>
    <row r="16" spans="1:2" x14ac:dyDescent="0.25">
      <c r="A16">
        <f>10*60+48</f>
        <v>648</v>
      </c>
      <c r="B16">
        <f>43*60+56</f>
        <v>2636</v>
      </c>
    </row>
    <row r="17" spans="1:2" x14ac:dyDescent="0.25">
      <c r="A17">
        <f>4*60+20</f>
        <v>260</v>
      </c>
      <c r="B17">
        <f>56*60+40</f>
        <v>3400</v>
      </c>
    </row>
    <row r="18" spans="1:2" x14ac:dyDescent="0.25">
      <c r="A18">
        <f>31*60+47</f>
        <v>1907</v>
      </c>
      <c r="B18">
        <f>145*60+7</f>
        <v>8707</v>
      </c>
    </row>
    <row r="19" spans="1:2" x14ac:dyDescent="0.25">
      <c r="A19">
        <f>12*60+5</f>
        <v>725</v>
      </c>
      <c r="B19">
        <f>8*60+25</f>
        <v>505</v>
      </c>
    </row>
    <row r="20" spans="1:2" x14ac:dyDescent="0.25">
      <c r="A20">
        <f>47*60+39</f>
        <v>2859</v>
      </c>
      <c r="B20">
        <f>13*60+58</f>
        <v>838</v>
      </c>
    </row>
    <row r="21" spans="1:2" x14ac:dyDescent="0.25">
      <c r="A21">
        <f>18*60+15</f>
        <v>1095</v>
      </c>
      <c r="B21">
        <f>33*60+11</f>
        <v>1991</v>
      </c>
    </row>
    <row r="22" spans="1:2" x14ac:dyDescent="0.25">
      <c r="A22">
        <f>10*60+32</f>
        <v>632</v>
      </c>
      <c r="B22">
        <f>11*60+58</f>
        <v>718</v>
      </c>
    </row>
    <row r="23" spans="1:2" x14ac:dyDescent="0.25">
      <c r="A23">
        <f>10*60+51</f>
        <v>651</v>
      </c>
      <c r="B23">
        <f>45*60+45</f>
        <v>2745</v>
      </c>
    </row>
    <row r="24" spans="1:2" x14ac:dyDescent="0.25">
      <c r="A24">
        <f>7*60+17</f>
        <v>437</v>
      </c>
      <c r="B24">
        <f>31*60+57</f>
        <v>1917</v>
      </c>
    </row>
    <row r="25" spans="1:2" x14ac:dyDescent="0.25">
      <c r="A25">
        <f>8*60+8</f>
        <v>488</v>
      </c>
      <c r="B25">
        <f>34*60+48</f>
        <v>2088</v>
      </c>
    </row>
    <row r="26" spans="1:2" x14ac:dyDescent="0.25">
      <c r="A26">
        <f>8*60+55</f>
        <v>535</v>
      </c>
      <c r="B26">
        <f>1*60+20</f>
        <v>80</v>
      </c>
    </row>
    <row r="27" spans="1:2" x14ac:dyDescent="0.25">
      <c r="A27">
        <f>47*60+22</f>
        <v>2842</v>
      </c>
      <c r="B27">
        <f>9*60+38</f>
        <v>578</v>
      </c>
    </row>
    <row r="28" spans="1:2" x14ac:dyDescent="0.25">
      <c r="A28">
        <f>15*60+8</f>
        <v>908</v>
      </c>
      <c r="B28">
        <f>6*60+54</f>
        <v>414</v>
      </c>
    </row>
    <row r="29" spans="1:2" x14ac:dyDescent="0.25">
      <c r="A29" s="4">
        <f>3*60+11</f>
        <v>191</v>
      </c>
      <c r="B29">
        <f>45*60+8</f>
        <v>2708</v>
      </c>
    </row>
    <row r="30" spans="1:2" x14ac:dyDescent="0.25">
      <c r="A30">
        <f>27*60+50</f>
        <v>1670</v>
      </c>
      <c r="B30">
        <f>2*60+33</f>
        <v>153</v>
      </c>
    </row>
    <row r="31" spans="1:2" x14ac:dyDescent="0.25">
      <c r="A31">
        <f>19*60+35</f>
        <v>1175</v>
      </c>
      <c r="B31">
        <f>35*60+35</f>
        <v>2135</v>
      </c>
    </row>
    <row r="32" spans="1:2" x14ac:dyDescent="0.25">
      <c r="A32">
        <f>46*60+2</f>
        <v>2762</v>
      </c>
      <c r="B32">
        <f>100*60+4</f>
        <v>6004</v>
      </c>
    </row>
    <row r="33" spans="1:2" x14ac:dyDescent="0.25">
      <c r="A33">
        <f>23*60+50</f>
        <v>1430</v>
      </c>
      <c r="B33">
        <f>1*60+3</f>
        <v>63</v>
      </c>
    </row>
    <row r="34" spans="1:2" x14ac:dyDescent="0.25">
      <c r="A34">
        <f>42*60+18</f>
        <v>2538</v>
      </c>
      <c r="B34">
        <f>8*60+45</f>
        <v>525</v>
      </c>
    </row>
    <row r="35" spans="1:2" x14ac:dyDescent="0.25">
      <c r="A35">
        <f>13*60+29</f>
        <v>809</v>
      </c>
      <c r="B35">
        <f>50*60+34</f>
        <v>3034</v>
      </c>
    </row>
    <row r="36" spans="1:2" x14ac:dyDescent="0.25">
      <c r="A36">
        <f>11*60+41</f>
        <v>701</v>
      </c>
      <c r="B36">
        <f>8*60+4</f>
        <v>484</v>
      </c>
    </row>
    <row r="37" spans="1:2" x14ac:dyDescent="0.25">
      <c r="A37">
        <f>6*60+14</f>
        <v>374</v>
      </c>
      <c r="B37">
        <f>53*60+31</f>
        <v>3211</v>
      </c>
    </row>
    <row r="38" spans="1:2" x14ac:dyDescent="0.25">
      <c r="A38">
        <f>6*60+31</f>
        <v>391</v>
      </c>
      <c r="B38">
        <f>6*60+24</f>
        <v>384</v>
      </c>
    </row>
    <row r="39" spans="1:2" x14ac:dyDescent="0.25">
      <c r="A39">
        <f>3*60+24</f>
        <v>204</v>
      </c>
      <c r="B39">
        <f>47*60+37</f>
        <v>2857</v>
      </c>
    </row>
    <row r="40" spans="1:2" x14ac:dyDescent="0.25">
      <c r="A40">
        <f>4*60+50</f>
        <v>290</v>
      </c>
      <c r="B40">
        <f>4*60+24</f>
        <v>264</v>
      </c>
    </row>
    <row r="41" spans="1:2" x14ac:dyDescent="0.25">
      <c r="A41">
        <f>13*60+15</f>
        <v>795</v>
      </c>
    </row>
    <row r="42" spans="1:2" x14ac:dyDescent="0.25">
      <c r="A42">
        <f>12*60+22</f>
        <v>742</v>
      </c>
    </row>
    <row r="43" spans="1:2" x14ac:dyDescent="0.25">
      <c r="A43">
        <f>4*60+20</f>
        <v>260</v>
      </c>
    </row>
    <row r="44" spans="1:2" x14ac:dyDescent="0.25">
      <c r="A44">
        <f>46*60+46</f>
        <v>2806</v>
      </c>
    </row>
    <row r="45" spans="1:2" x14ac:dyDescent="0.25">
      <c r="A45">
        <f>12*60+35</f>
        <v>755</v>
      </c>
    </row>
    <row r="46" spans="1:2" x14ac:dyDescent="0.25">
      <c r="A46">
        <f>3*60+54</f>
        <v>234</v>
      </c>
    </row>
    <row r="47" spans="1:2" x14ac:dyDescent="0.25">
      <c r="A47">
        <f>7*60+17</f>
        <v>437</v>
      </c>
    </row>
    <row r="48" spans="1:2" x14ac:dyDescent="0.25">
      <c r="A48">
        <f>6*60+24</f>
        <v>384</v>
      </c>
    </row>
    <row r="49" spans="1:1" x14ac:dyDescent="0.25">
      <c r="A49">
        <f>8*60+5</f>
        <v>485</v>
      </c>
    </row>
    <row r="50" spans="1:1" x14ac:dyDescent="0.25">
      <c r="A50">
        <f>18*60+12</f>
        <v>1092</v>
      </c>
    </row>
    <row r="51" spans="1:1" x14ac:dyDescent="0.25">
      <c r="A51">
        <f>25*60+49</f>
        <v>1549</v>
      </c>
    </row>
    <row r="52" spans="1:1" x14ac:dyDescent="0.25">
      <c r="A52">
        <f>11*60+52</f>
        <v>712</v>
      </c>
    </row>
    <row r="53" spans="1:1" x14ac:dyDescent="0.25">
      <c r="A53">
        <f>27*60+36</f>
        <v>1656</v>
      </c>
    </row>
    <row r="54" spans="1:1" x14ac:dyDescent="0.25">
      <c r="A54">
        <f>4*60+41</f>
        <v>281</v>
      </c>
    </row>
    <row r="55" spans="1:1" x14ac:dyDescent="0.25">
      <c r="A55">
        <f>9*60+32</f>
        <v>572</v>
      </c>
    </row>
    <row r="56" spans="1:1" x14ac:dyDescent="0.25">
      <c r="A56">
        <f>2*60+13</f>
        <v>133</v>
      </c>
    </row>
    <row r="57" spans="1:1" x14ac:dyDescent="0.25">
      <c r="A57">
        <f>18*60+17</f>
        <v>1097</v>
      </c>
    </row>
    <row r="58" spans="1:1" x14ac:dyDescent="0.25">
      <c r="A58">
        <f>7*60+17</f>
        <v>437</v>
      </c>
    </row>
    <row r="59" spans="1:1" x14ac:dyDescent="0.25">
      <c r="A59">
        <f>5*60+1</f>
        <v>301</v>
      </c>
    </row>
    <row r="60" spans="1:1" x14ac:dyDescent="0.25">
      <c r="A60">
        <f>6*60+8</f>
        <v>368</v>
      </c>
    </row>
    <row r="61" spans="1:1" x14ac:dyDescent="0.25">
      <c r="A61">
        <f>48*60+14</f>
        <v>2894</v>
      </c>
    </row>
    <row r="62" spans="1:1" x14ac:dyDescent="0.25">
      <c r="A62">
        <f>4*60+55</f>
        <v>295</v>
      </c>
    </row>
    <row r="63" spans="1:1" x14ac:dyDescent="0.25">
      <c r="A63">
        <f>13*60+45</f>
        <v>825</v>
      </c>
    </row>
    <row r="64" spans="1:1" x14ac:dyDescent="0.25">
      <c r="A64">
        <f>3*60+11</f>
        <v>191</v>
      </c>
    </row>
    <row r="65" spans="1:1" x14ac:dyDescent="0.25">
      <c r="A65">
        <f>4*60+30</f>
        <v>270</v>
      </c>
    </row>
    <row r="66" spans="1:1" x14ac:dyDescent="0.25">
      <c r="A66">
        <f>7*60+5</f>
        <v>425</v>
      </c>
    </row>
    <row r="67" spans="1:1" x14ac:dyDescent="0.25">
      <c r="A67">
        <f>9*60+1</f>
        <v>541</v>
      </c>
    </row>
    <row r="68" spans="1:1" x14ac:dyDescent="0.25">
      <c r="A68">
        <f>6*60+55</f>
        <v>415</v>
      </c>
    </row>
    <row r="69" spans="1:1" x14ac:dyDescent="0.25">
      <c r="A69">
        <f>100*60+29</f>
        <v>6029</v>
      </c>
    </row>
    <row r="70" spans="1:1" x14ac:dyDescent="0.25">
      <c r="A70">
        <f>30*60+48</f>
        <v>1848</v>
      </c>
    </row>
    <row r="71" spans="1:1" x14ac:dyDescent="0.25">
      <c r="A71">
        <f>33*60+10</f>
        <v>1990</v>
      </c>
    </row>
    <row r="72" spans="1:1" x14ac:dyDescent="0.25">
      <c r="A72">
        <f>8*60+20</f>
        <v>500</v>
      </c>
    </row>
    <row r="73" spans="1:1" x14ac:dyDescent="0.25">
      <c r="A73">
        <f>20*60+54</f>
        <v>1254</v>
      </c>
    </row>
    <row r="74" spans="1:1" x14ac:dyDescent="0.25">
      <c r="A74">
        <f>2*60+40</f>
        <v>160</v>
      </c>
    </row>
    <row r="75" spans="1:1" x14ac:dyDescent="0.25">
      <c r="A75">
        <f>11*60+59</f>
        <v>719</v>
      </c>
    </row>
    <row r="76" spans="1:1" x14ac:dyDescent="0.25">
      <c r="A76">
        <f>6*60+44</f>
        <v>404</v>
      </c>
    </row>
    <row r="77" spans="1:1" x14ac:dyDescent="0.25">
      <c r="A77">
        <f>3*60+14</f>
        <v>194</v>
      </c>
    </row>
    <row r="78" spans="1:1" x14ac:dyDescent="0.25">
      <c r="A78">
        <f>6*60+21</f>
        <v>381</v>
      </c>
    </row>
    <row r="79" spans="1:1" x14ac:dyDescent="0.25">
      <c r="A79">
        <f>17*60+30</f>
        <v>1050</v>
      </c>
    </row>
    <row r="80" spans="1:1" x14ac:dyDescent="0.25">
      <c r="A80">
        <f>52*60+48</f>
        <v>3168</v>
      </c>
    </row>
    <row r="81" spans="1:1" x14ac:dyDescent="0.25">
      <c r="A81">
        <f>8*60+48</f>
        <v>528</v>
      </c>
    </row>
    <row r="82" spans="1:1" x14ac:dyDescent="0.25">
      <c r="A82">
        <f>2*60+44</f>
        <v>164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居家環境受測者名單</vt:lpstr>
      <vt:lpstr>20200420</vt:lpstr>
      <vt:lpstr>20200421</vt:lpstr>
      <vt:lpstr>20200430</vt:lpstr>
      <vt:lpstr>20200418</vt:lpstr>
      <vt:lpstr>20200422</vt:lpstr>
      <vt:lpstr>20200429</vt:lpstr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2020-05-12T05:32:46Z</dcterms:modified>
</cp:coreProperties>
</file>