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126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\Repos\Farming\Bagnan1_AreaCalc\Design\"/>
    </mc:Choice>
  </mc:AlternateContent>
  <xr:revisionPtr revIDLastSave="0" documentId="13_ncr:9_{42CF83B7-AE47-48B4-BD6E-61D26E5BC298}" xr6:coauthVersionLast="47" xr6:coauthVersionMax="47" xr10:uidLastSave="{00000000-0000-0000-0000-000000000000}"/>
  <bookViews>
    <workbookView xWindow="1410" yWindow="1665" windowWidth="42270" windowHeight="22620" activeTab="1" xr2:uid="{02D8225B-FE3B-4A3C-AE8D-E31BC38430CC}"/>
  </bookViews>
  <sheets>
    <sheet name="Weed Control" sheetId="1" r:id="rId1"/>
    <sheet name="Sheet1" sheetId="2" r:id="rId2"/>
  </sheets>
  <definedNames>
    <definedName name="M_per_px">Sheet1!$X$13</definedName>
    <definedName name="MeasuredLengths">Sheet1!$A$28:$D$34</definedName>
    <definedName name="theta">Sheet1!$AL$3:$AL$12</definedName>
    <definedName name="VertexTable">Sheet1!$A$3:$E$24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Q14" i="2" l="1"/>
  <c r="AP14" i="2"/>
  <c r="AO14" i="2"/>
  <c r="AN14" i="2"/>
  <c r="AI14" i="2"/>
  <c r="AH14" i="2"/>
  <c r="AM9" i="2"/>
  <c r="AM8" i="2"/>
  <c r="AM7" i="2"/>
  <c r="AM6" i="2"/>
  <c r="AM5" i="2"/>
  <c r="AM4" i="2"/>
  <c r="AM3" i="2"/>
  <c r="AK9" i="2"/>
  <c r="AK8" i="2"/>
  <c r="AK7" i="2"/>
  <c r="AG7" i="2"/>
  <c r="AF7" i="2"/>
  <c r="AK6" i="2"/>
  <c r="AK5" i="2"/>
  <c r="AK4" i="2"/>
  <c r="AD4" i="2"/>
  <c r="AK3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AC9" i="2"/>
  <c r="AG9" i="2" s="1"/>
  <c r="AB9" i="2"/>
  <c r="AF9" i="2" s="1"/>
  <c r="AC8" i="2"/>
  <c r="AG8" i="2" s="1"/>
  <c r="AB8" i="2"/>
  <c r="AF8" i="2" s="1"/>
  <c r="AC7" i="2"/>
  <c r="AE7" i="2" s="1"/>
  <c r="AB7" i="2"/>
  <c r="AD7" i="2" s="1"/>
  <c r="AC6" i="2"/>
  <c r="AG6" i="2" s="1"/>
  <c r="AB6" i="2"/>
  <c r="AF6" i="2" s="1"/>
  <c r="AC5" i="2"/>
  <c r="AG5" i="2" s="1"/>
  <c r="AB5" i="2"/>
  <c r="AF5" i="2" s="1"/>
  <c r="AC4" i="2"/>
  <c r="AG4" i="2" s="1"/>
  <c r="AB4" i="2"/>
  <c r="AF4" i="2" s="1"/>
  <c r="AC3" i="2"/>
  <c r="AE3" i="2" s="1"/>
  <c r="AB3" i="2"/>
  <c r="AF3" i="2" s="1"/>
  <c r="K34" i="2"/>
  <c r="L34" i="2"/>
  <c r="M34" i="2"/>
  <c r="N34" i="2"/>
  <c r="L23" i="2"/>
  <c r="I23" i="2"/>
  <c r="U13" i="2"/>
  <c r="T13" i="2"/>
  <c r="U10" i="2"/>
  <c r="T10" i="2"/>
  <c r="S10" i="2"/>
  <c r="S4" i="2"/>
  <c r="I16" i="2"/>
  <c r="H16" i="2"/>
  <c r="S3" i="2"/>
  <c r="I3" i="2"/>
  <c r="H3" i="2"/>
  <c r="I15" i="2"/>
  <c r="H15" i="2"/>
  <c r="I14" i="2"/>
  <c r="H14" i="2"/>
  <c r="I12" i="2"/>
  <c r="I11" i="2"/>
  <c r="H11" i="2"/>
  <c r="I10" i="2"/>
  <c r="H10" i="2"/>
  <c r="I9" i="2"/>
  <c r="H9" i="2"/>
  <c r="I8" i="2"/>
  <c r="H8" i="2"/>
  <c r="I7" i="2"/>
  <c r="H7" i="2"/>
  <c r="I6" i="2"/>
  <c r="H6" i="2"/>
  <c r="I5" i="2"/>
  <c r="H5" i="2"/>
  <c r="H4" i="2"/>
  <c r="I4" i="2"/>
  <c r="C14" i="2"/>
  <c r="C4" i="2"/>
  <c r="C5" i="2"/>
  <c r="C6" i="2"/>
  <c r="C7" i="2"/>
  <c r="C8" i="2"/>
  <c r="C9" i="2"/>
  <c r="C10" i="2"/>
  <c r="C15" i="2"/>
  <c r="AE8" i="2" l="1"/>
  <c r="AE4" i="2"/>
  <c r="AH4" i="2"/>
  <c r="AD8" i="2"/>
  <c r="AE5" i="2"/>
  <c r="AD5" i="2"/>
  <c r="AD9" i="2"/>
  <c r="AG3" i="2"/>
  <c r="AI3" i="2" s="1"/>
  <c r="AD6" i="2"/>
  <c r="AE9" i="2"/>
  <c r="AE6" i="2"/>
  <c r="AH7" i="2"/>
  <c r="AD3" i="2"/>
  <c r="AH3" i="2" s="1"/>
  <c r="AI4" i="2"/>
  <c r="AI7" i="2"/>
  <c r="AI5" i="2"/>
  <c r="AI8" i="2"/>
  <c r="AI6" i="2"/>
  <c r="AI9" i="2"/>
  <c r="V10" i="2"/>
  <c r="N23" i="2"/>
  <c r="O23" i="2" s="1"/>
  <c r="T23" i="2" s="1"/>
  <c r="L16" i="2"/>
  <c r="L4" i="2"/>
  <c r="V13" i="2"/>
  <c r="X13" i="2" s="1"/>
  <c r="J6" i="2" s="1"/>
  <c r="L15" i="2"/>
  <c r="L5" i="2"/>
  <c r="L6" i="2"/>
  <c r="L11" i="2"/>
  <c r="L7" i="2"/>
  <c r="L9" i="2"/>
  <c r="L14" i="2"/>
  <c r="L10" i="2"/>
  <c r="L12" i="2"/>
  <c r="L8" i="2"/>
  <c r="S2" i="2"/>
  <c r="L3" i="2"/>
  <c r="C3" i="2"/>
  <c r="AH8" i="2" l="1"/>
  <c r="AJ8" i="2" s="1"/>
  <c r="AJ4" i="2"/>
  <c r="AL4" i="2"/>
  <c r="AN4" i="2" s="1"/>
  <c r="AP4" i="2" s="1"/>
  <c r="AL3" i="2"/>
  <c r="AN3" i="2" s="1"/>
  <c r="AP3" i="2" s="1"/>
  <c r="AH6" i="2"/>
  <c r="AL6" i="2" s="1"/>
  <c r="AN6" i="2" s="1"/>
  <c r="AP6" i="2" s="1"/>
  <c r="AJ7" i="2"/>
  <c r="AL7" i="2"/>
  <c r="AN7" i="2" s="1"/>
  <c r="AP7" i="2" s="1"/>
  <c r="AH9" i="2"/>
  <c r="AL9" i="2" s="1"/>
  <c r="AN9" i="2" s="1"/>
  <c r="AP9" i="2" s="1"/>
  <c r="AJ3" i="2"/>
  <c r="AH5" i="2"/>
  <c r="AL5" i="2" s="1"/>
  <c r="J10" i="2"/>
  <c r="M9" i="2"/>
  <c r="J4" i="2"/>
  <c r="K11" i="2"/>
  <c r="K10" i="2"/>
  <c r="J11" i="2"/>
  <c r="M4" i="2"/>
  <c r="P23" i="2"/>
  <c r="V23" i="2" s="1"/>
  <c r="X23" i="2" s="1"/>
  <c r="T3" i="2"/>
  <c r="K5" i="2"/>
  <c r="J15" i="2"/>
  <c r="M7" i="2"/>
  <c r="J3" i="2"/>
  <c r="M11" i="2"/>
  <c r="K7" i="2"/>
  <c r="M14" i="2"/>
  <c r="J7" i="2"/>
  <c r="K12" i="2"/>
  <c r="M6" i="2"/>
  <c r="M5" i="2"/>
  <c r="M3" i="2"/>
  <c r="J8" i="2"/>
  <c r="M8" i="2"/>
  <c r="K14" i="2"/>
  <c r="K15" i="2"/>
  <c r="K6" i="2"/>
  <c r="K16" i="2"/>
  <c r="K4" i="2"/>
  <c r="J12" i="2"/>
  <c r="K9" i="2"/>
  <c r="K3" i="2"/>
  <c r="J9" i="2"/>
  <c r="M16" i="2"/>
  <c r="K8" i="2"/>
  <c r="J16" i="2"/>
  <c r="M15" i="2"/>
  <c r="M12" i="2"/>
  <c r="J5" i="2"/>
  <c r="M10" i="2"/>
  <c r="J14" i="2"/>
  <c r="AL8" i="2" l="1"/>
  <c r="AN8" i="2" s="1"/>
  <c r="AP8" i="2" s="1"/>
  <c r="AJ6" i="2"/>
  <c r="AJ5" i="2"/>
  <c r="AJ9" i="2"/>
  <c r="AN5" i="2"/>
  <c r="AP5" i="2" s="1"/>
  <c r="AO3" i="2" l="1" a="1"/>
  <c r="AO3" i="2" l="1"/>
  <c r="AQ3" i="2" s="1"/>
  <c r="AQ9" i="2"/>
  <c r="AQ8" i="2"/>
  <c r="AQ7" i="2"/>
  <c r="AQ6" i="2"/>
  <c r="AQ5" i="2"/>
  <c r="AQ4" i="2"/>
</calcChain>
</file>

<file path=xl/metadata.xml><?xml version="1.0" encoding="utf-8"?>
<metadata xmlns="http://purl.oclc.org/ooxml/spreadsheetml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<sst xmlns="http://purl.oclc.org/ooxml/spreadsheetml/main" count="179" uniqueCount="117">
  <si>
    <t>id</t>
  </si>
  <si>
    <t>weed</t>
  </si>
  <si>
    <t>Field Bindweed</t>
  </si>
  <si>
    <t>chemical</t>
  </si>
  <si>
    <t>2,4-D</t>
  </si>
  <si>
    <t>Dicamba</t>
  </si>
  <si>
    <t>Picloram</t>
  </si>
  <si>
    <t>Quinclorac</t>
  </si>
  <si>
    <t>Paraquat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</si>
  <si>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</si>
  <si>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</si>
  <si>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</si>
  <si>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</si>
  <si>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</si>
  <si>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</si>
  <si>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</si>
  <si>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</si>
  <si>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</si>
  <si>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</si>
  <si>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</si>
  <si>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</si>
  <si>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</si>
  <si>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Vertex</t>
  </si>
  <si>
    <t>Area</t>
  </si>
  <si>
    <t>Z</t>
  </si>
  <si>
    <t>Tri</t>
  </si>
  <si>
    <t>ABS(B.x-Z.x)*(C.y-z.y) /2</t>
  </si>
  <si>
    <t xml:space="preserve">A </t>
  </si>
  <si>
    <t>Trap</t>
  </si>
  <si>
    <t>T</t>
  </si>
  <si>
    <t>U</t>
  </si>
  <si>
    <t>V</t>
  </si>
  <si>
    <t>W</t>
  </si>
  <si>
    <t>X</t>
  </si>
  <si>
    <t>Y</t>
  </si>
  <si>
    <t>c-z</t>
  </si>
  <si>
    <t>ABS(BZ.dx+DY.dx)*BY.dy)/2</t>
  </si>
  <si>
    <t>TOTAL</t>
  </si>
  <si>
    <t>ABS(TM.dy*TL.dx/2)</t>
  </si>
  <si>
    <t>dx px</t>
  </si>
  <si>
    <t>dy px</t>
  </si>
  <si>
    <t xml:space="preserve"> </t>
  </si>
  <si>
    <t>sq px</t>
  </si>
  <si>
    <t>TM.dx px</t>
  </si>
  <si>
    <t>TM.dy px</t>
  </si>
  <si>
    <t>AM.dx px</t>
  </si>
  <si>
    <t>AM.dy px</t>
  </si>
  <si>
    <t>TM Hyp px</t>
  </si>
  <si>
    <t>L mtr</t>
  </si>
  <si>
    <t>R (M/px)</t>
  </si>
  <si>
    <t>Est M</t>
  </si>
  <si>
    <t xml:space="preserve">Hyp.y </t>
  </si>
  <si>
    <t>Hyp.y px</t>
  </si>
  <si>
    <t>dx.px</t>
  </si>
  <si>
    <t>dy.py</t>
  </si>
  <si>
    <t>x px</t>
  </si>
  <si>
    <t>y py</t>
  </si>
  <si>
    <t>ANGLES</t>
  </si>
  <si>
    <t>CBZ</t>
  </si>
  <si>
    <t>Z.py-C.py</t>
  </si>
  <si>
    <t>H m</t>
  </si>
  <si>
    <t>H px</t>
  </si>
  <si>
    <t>B.x-C.x</t>
  </si>
  <si>
    <t>Theta</t>
  </si>
  <si>
    <t>O px</t>
  </si>
  <si>
    <t>ASIN(O px/H px)</t>
  </si>
  <si>
    <t>Sin Theta</t>
  </si>
  <si>
    <t>BZ M</t>
  </si>
  <si>
    <t>BC m*Coz</t>
  </si>
  <si>
    <t>Cos Theta</t>
  </si>
  <si>
    <t>CZ.dy M</t>
  </si>
  <si>
    <t>AREA</t>
  </si>
  <si>
    <t>A nm</t>
  </si>
  <si>
    <t>Shape</t>
  </si>
  <si>
    <t>ZBYD</t>
  </si>
  <si>
    <t>DYXE</t>
  </si>
  <si>
    <t>EXWF</t>
  </si>
  <si>
    <t>FWVH</t>
  </si>
  <si>
    <t>HVUK</t>
  </si>
  <si>
    <t>KUTL</t>
  </si>
  <si>
    <t>LTM</t>
  </si>
  <si>
    <t>Formula</t>
  </si>
  <si>
    <t>Act</t>
  </si>
  <si>
    <t>CZ.y m*BZ/2</t>
  </si>
  <si>
    <t>Estimating Lengths of un measured edges</t>
  </si>
  <si>
    <t>BZ</t>
  </si>
  <si>
    <t>Edge</t>
  </si>
  <si>
    <t>V1</t>
  </si>
  <si>
    <t>V2</t>
  </si>
  <si>
    <t>v1x px</t>
  </si>
  <si>
    <t>v2x px</t>
  </si>
  <si>
    <t>v1y px</t>
  </si>
  <si>
    <t>v2y px</t>
  </si>
  <si>
    <t>scale x</t>
  </si>
  <si>
    <t>scale y</t>
  </si>
  <si>
    <t>len</t>
  </si>
  <si>
    <t>Scales</t>
  </si>
  <si>
    <t>BC</t>
  </si>
  <si>
    <t>AB</t>
  </si>
  <si>
    <t>AM</t>
  </si>
  <si>
    <t>CD</t>
  </si>
  <si>
    <t>DE</t>
  </si>
  <si>
    <t>HK</t>
  </si>
  <si>
    <t>LM</t>
  </si>
  <si>
    <t>EDGE</t>
  </si>
  <si>
    <t>dx</t>
  </si>
  <si>
    <t>dy</t>
  </si>
  <si>
    <t>Ldx</t>
  </si>
  <si>
    <t>Measured Lengths</t>
  </si>
  <si>
    <t>Len M</t>
  </si>
  <si>
    <t>Lm</t>
  </si>
  <si>
    <t>Scale x</t>
  </si>
  <si>
    <t>Scale Y</t>
  </si>
  <si>
    <t>dxM</t>
  </si>
  <si>
    <t>dmY</t>
  </si>
  <si>
    <t>theta</t>
  </si>
  <si>
    <t>theta deg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</si>
</sst>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1" fontId="0" fillId="0" borderId="0" xfId="0" applyNumberFormat="1"/>
    <xf numFmtId="3" fontId="1" fillId="0" borderId="0" xfId="0" applyNumberFormat="1" applyFont="1"/>
    <xf numFmtId="3" fontId="0" fillId="0" borderId="0" xfId="0" applyNumberFormat="1"/>
    <xf numFmtId="0" fontId="0" fillId="4" borderId="0" xfId="0" applyFill="1"/>
    <xf numFmtId="164" fontId="0" fillId="4" borderId="0" xfId="0" applyNumberFormat="1" applyFill="1"/>
    <xf numFmtId="1" fontId="0" fillId="4" borderId="0" xfId="0" applyNumberFormat="1" applyFill="1"/>
    <xf numFmtId="3" fontId="0" fillId="4" borderId="0" xfId="0" applyNumberFormat="1" applyFill="1"/>
    <xf numFmtId="0" fontId="0" fillId="5" borderId="0" xfId="0" applyFill="1"/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0" borderId="0" xfId="0" applyAlignment="1">
      <alignment horizontal="left"/>
    </xf>
    <xf numFmtId="0" fontId="1" fillId="7" borderId="0" xfId="0" applyFont="1" applyFill="1"/>
    <xf numFmtId="0" fontId="0" fillId="7" borderId="0" xfId="0" applyFill="1"/>
    <xf numFmtId="164" fontId="0" fillId="7" borderId="0" xfId="0" applyNumberFormat="1" applyFill="1"/>
    <xf numFmtId="2" fontId="0" fillId="7" borderId="0" xfId="0" applyNumberForma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14EC-9BC3-44AF-BC1F-A5F556E58EE0}">
  <sheetPr codeName="Sheet1"/>
  <dimension ref="A1:C6"/>
  <sheetViews>
    <sheetView workbookViewId="0">
      <selection activeCell="C6" sqref="C6"/>
    </sheetView>
  </sheetViews>
  <sheetFormatPr defaultRowHeight="15" x14ac:dyDescent="0.25"/>
  <cols>
    <col min="1" max="1" width="11.28515625" customWidth="1"/>
    <col min="2" max="2" width="15" bestFit="1" customWidth="1"/>
    <col min="3" max="3" width="13.57031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 t="s">
        <v>2</v>
      </c>
      <c r="C2" t="s">
        <v>4</v>
      </c>
    </row>
    <row r="3" spans="1:3" x14ac:dyDescent="0.25">
      <c r="A3">
        <v>2</v>
      </c>
      <c r="B3" t="s">
        <v>2</v>
      </c>
      <c r="C3" t="s">
        <v>5</v>
      </c>
    </row>
    <row r="4" spans="1:3" x14ac:dyDescent="0.25">
      <c r="A4">
        <v>3</v>
      </c>
      <c r="B4" t="s">
        <v>2</v>
      </c>
      <c r="C4" t="s">
        <v>6</v>
      </c>
    </row>
    <row r="5" spans="1:3" x14ac:dyDescent="0.25">
      <c r="A5">
        <v>4</v>
      </c>
      <c r="B5" t="s">
        <v>2</v>
      </c>
      <c r="C5" t="s">
        <v>7</v>
      </c>
    </row>
    <row r="6" spans="1:3" x14ac:dyDescent="0.25">
      <c r="A6">
        <v>5</v>
      </c>
      <c r="B6" t="s">
        <v>2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2881-7C2E-44B6-9AC6-CFB44918A0E9}">
  <dimension ref="A1:AQ45"/>
  <sheetViews>
    <sheetView tabSelected="1" topLeftCell="M1" workbookViewId="0">
      <selection activeCell="AQ3" sqref="AQ3:AQ4"/>
    </sheetView>
  </sheetViews>
  <sheetFormatPr defaultRowHeight="15" x14ac:dyDescent="0.25"/>
  <cols>
    <col min="8" max="8" width="11" bestFit="1" customWidth="1"/>
    <col min="10" max="10" width="11" bestFit="1" customWidth="1"/>
    <col min="12" max="12" width="11" bestFit="1" customWidth="1"/>
    <col min="13" max="13" width="23.28515625" customWidth="1"/>
    <col min="14" max="14" width="10" bestFit="1" customWidth="1"/>
    <col min="15" max="15" width="12" bestFit="1" customWidth="1"/>
    <col min="16" max="16" width="11" bestFit="1" customWidth="1"/>
    <col min="17" max="17" width="11" customWidth="1"/>
    <col min="18" max="18" width="22.85546875" customWidth="1"/>
    <col min="19" max="19" width="9.140625" style="10"/>
    <col min="20" max="20" width="12" bestFit="1" customWidth="1"/>
    <col min="22" max="22" width="12" bestFit="1" customWidth="1"/>
    <col min="24" max="24" width="11" bestFit="1" customWidth="1"/>
  </cols>
  <sheetData>
    <row r="1" spans="1:43" s="23" customFormat="1" x14ac:dyDescent="0.25">
      <c r="A1" s="23" t="s">
        <v>22</v>
      </c>
      <c r="B1" s="23" t="s">
        <v>20</v>
      </c>
      <c r="C1" s="23">
        <v>0</v>
      </c>
      <c r="D1" s="23" t="s">
        <v>55</v>
      </c>
      <c r="E1" s="23" t="s">
        <v>56</v>
      </c>
      <c r="H1" s="23" t="s">
        <v>39</v>
      </c>
      <c r="I1" s="23" t="s">
        <v>40</v>
      </c>
      <c r="J1" s="23" t="s">
        <v>53</v>
      </c>
      <c r="K1" s="23" t="s">
        <v>54</v>
      </c>
      <c r="L1" s="23" t="s">
        <v>52</v>
      </c>
      <c r="M1" s="23" t="s">
        <v>50</v>
      </c>
      <c r="O1" s="20" t="s">
        <v>23</v>
      </c>
      <c r="S1" s="24" t="s">
        <v>42</v>
      </c>
    </row>
    <row r="2" spans="1:43" s="1" customFormat="1" x14ac:dyDescent="0.25">
      <c r="M2" s="1" t="s">
        <v>51</v>
      </c>
      <c r="O2"/>
      <c r="R2" s="1" t="s">
        <v>37</v>
      </c>
      <c r="S2" s="9">
        <f>SUM(S3:S10)</f>
        <v>21300</v>
      </c>
      <c r="Z2" s="28" t="s">
        <v>96</v>
      </c>
      <c r="AA2" s="28" t="s">
        <v>104</v>
      </c>
      <c r="AB2" s="28" t="s">
        <v>87</v>
      </c>
      <c r="AC2" s="28" t="s">
        <v>88</v>
      </c>
      <c r="AD2" s="29" t="s">
        <v>89</v>
      </c>
      <c r="AE2" s="29" t="s">
        <v>90</v>
      </c>
      <c r="AF2" s="29" t="s">
        <v>91</v>
      </c>
      <c r="AG2" s="29" t="s">
        <v>92</v>
      </c>
      <c r="AH2" s="28" t="s">
        <v>105</v>
      </c>
      <c r="AI2" s="28" t="s">
        <v>106</v>
      </c>
      <c r="AJ2" s="28" t="s">
        <v>107</v>
      </c>
      <c r="AK2" s="28" t="s">
        <v>110</v>
      </c>
      <c r="AL2" s="28" t="s">
        <v>115</v>
      </c>
      <c r="AM2" s="28" t="s">
        <v>116</v>
      </c>
      <c r="AN2" s="28" t="s">
        <v>113</v>
      </c>
      <c r="AO2" s="28" t="s">
        <v>114</v>
      </c>
      <c r="AP2" s="28" t="s">
        <v>111</v>
      </c>
      <c r="AQ2" s="28" t="s">
        <v>112</v>
      </c>
    </row>
    <row r="3" spans="1:43" x14ac:dyDescent="0.25">
      <c r="A3" t="s">
        <v>9</v>
      </c>
      <c r="B3" s="2">
        <v>0</v>
      </c>
      <c r="C3" s="3">
        <f>SUM(C1:C1)</f>
        <v>0</v>
      </c>
      <c r="D3">
        <v>1545</v>
      </c>
      <c r="E3">
        <v>434</v>
      </c>
      <c r="G3" t="s">
        <v>41</v>
      </c>
      <c r="H3">
        <f>ABS(D3-D15)</f>
        <v>109</v>
      </c>
      <c r="I3">
        <f>ABS(E3-E15)</f>
        <v>706</v>
      </c>
      <c r="J3" s="8">
        <f t="shared" ref="J3:J12" si="0">H3*M_per_px</f>
        <v>17.098039215686274</v>
      </c>
      <c r="K3" s="8">
        <f t="shared" ref="K3:K12" si="1">I3*M_per_px</f>
        <v>110.74509803921569</v>
      </c>
      <c r="L3">
        <f>INT(SQRT(H3*H3+I3*I3))</f>
        <v>714</v>
      </c>
      <c r="M3" s="8">
        <f t="shared" ref="M3:M12" si="2">L3*M_per_px</f>
        <v>112</v>
      </c>
      <c r="O3" t="s">
        <v>27</v>
      </c>
      <c r="P3" t="s">
        <v>25</v>
      </c>
      <c r="R3" t="s">
        <v>26</v>
      </c>
      <c r="S3" s="10">
        <f>ABS((D4-D16)*(E5-E16)/2)</f>
        <v>3744</v>
      </c>
      <c r="T3">
        <f>S3*M_per_px*M_per_px</f>
        <v>92.124567474048433</v>
      </c>
      <c r="Z3" s="29"/>
      <c r="AA3" s="29" t="s">
        <v>98</v>
      </c>
      <c r="AB3" s="29" t="str">
        <f>MID($AA3,1,1)</f>
        <v>A</v>
      </c>
      <c r="AC3" s="29" t="str">
        <f>MID($AA3,2,1)</f>
        <v>B</v>
      </c>
      <c r="AD3" s="29">
        <f>VLOOKUP($AB3,VertexTable, 4, FALSE)</f>
        <v>1545</v>
      </c>
      <c r="AE3" s="29">
        <f>VLOOKUP($AC3,VertexTable, 4, FALSE)</f>
        <v>1565</v>
      </c>
      <c r="AF3" s="29">
        <f>VLOOKUP($AB3,VertexTable, 5, FALSE)</f>
        <v>434</v>
      </c>
      <c r="AG3" s="29">
        <f>VLOOKUP($AC3,VertexTable, 5, FALSE)</f>
        <v>106</v>
      </c>
      <c r="AH3" s="29">
        <f>ABS(AE3-AD3)</f>
        <v>20</v>
      </c>
      <c r="AI3" s="29">
        <f>ABS(AG3-AF3)</f>
        <v>328</v>
      </c>
      <c r="AJ3" s="30">
        <f>SQRT(AH3*AH3+AI3*AI3)</f>
        <v>328.60919037665394</v>
      </c>
      <c r="AK3" s="29">
        <f>VLOOKUP(AA3, MeasuredLengths,4)</f>
        <v>50</v>
      </c>
      <c r="AL3" s="29">
        <f>ATAN(AI3/AH3)</f>
        <v>1.5098961185169086</v>
      </c>
      <c r="AM3" s="31">
        <f>DEGREES(AL3)</f>
        <v>86.510675094203606</v>
      </c>
      <c r="AN3" s="31">
        <f>AK3*COS(AL3)</f>
        <v>3.0431285225279106</v>
      </c>
      <c r="AO3" s="31" cm="1">
        <f t="array" ref="AO3:AO12">AK5*SIN(theta)</f>
        <v>38.927700060177038</v>
      </c>
      <c r="AP3" s="31">
        <f>AN3/AH3</f>
        <v>0.15215642612639552</v>
      </c>
      <c r="AQ3" s="31">
        <f>AO3/AI3</f>
        <v>0.11868201237858853</v>
      </c>
    </row>
    <row r="4" spans="1:43" x14ac:dyDescent="0.25">
      <c r="A4" t="s">
        <v>10</v>
      </c>
      <c r="B4" s="2">
        <v>50.5</v>
      </c>
      <c r="C4" s="2">
        <f t="shared" ref="C4:C10" si="3">B4-B5</f>
        <v>-38.5</v>
      </c>
      <c r="D4">
        <v>1565</v>
      </c>
      <c r="E4">
        <v>106</v>
      </c>
      <c r="H4">
        <f>ABS(D4-D3)</f>
        <v>20</v>
      </c>
      <c r="I4">
        <f>ABS(E4-E3)</f>
        <v>328</v>
      </c>
      <c r="J4" s="8">
        <f t="shared" si="0"/>
        <v>3.1372549019607843</v>
      </c>
      <c r="K4" s="8">
        <f t="shared" si="1"/>
        <v>51.450980392156865</v>
      </c>
      <c r="L4">
        <f t="shared" ref="L4:L16" si="4">INT(SQRT(H4*H4+I4*I4))</f>
        <v>328</v>
      </c>
      <c r="M4" s="8">
        <f t="shared" si="2"/>
        <v>51.450980392156865</v>
      </c>
      <c r="O4" t="s">
        <v>10</v>
      </c>
      <c r="P4" t="s">
        <v>28</v>
      </c>
      <c r="R4" t="s">
        <v>36</v>
      </c>
      <c r="S4" s="10">
        <f>ABS(((D4-D16)+(E4-E23))*(E4-E23))/2</f>
        <v>0</v>
      </c>
      <c r="Z4" s="29"/>
      <c r="AA4" s="29" t="s">
        <v>99</v>
      </c>
      <c r="AB4" s="29" t="str">
        <f t="shared" ref="AB4:AB9" si="5">MID($AA4,1,1)</f>
        <v>A</v>
      </c>
      <c r="AC4" s="29" t="str">
        <f t="shared" ref="AC4:AC9" si="6">MID($AA4,2,1)</f>
        <v>M</v>
      </c>
      <c r="AD4" s="29">
        <f>VLOOKUP($AB4,VertexTable, 4, FALSE)</f>
        <v>1545</v>
      </c>
      <c r="AE4" s="29">
        <f>VLOOKUP($AC4,VertexTable, 4, FALSE)</f>
        <v>1436</v>
      </c>
      <c r="AF4" s="29">
        <f>VLOOKUP($AB4,VertexTable, 5, FALSE)</f>
        <v>434</v>
      </c>
      <c r="AG4" s="29">
        <f>VLOOKUP($AC4,VertexTable, 5, FALSE)</f>
        <v>1140</v>
      </c>
      <c r="AH4" s="29">
        <f t="shared" ref="AH4:AH9" si="7">ABS(AE4-AD4)</f>
        <v>109</v>
      </c>
      <c r="AI4" s="29">
        <f t="shared" ref="AI4:AI9" si="8">ABS(AG4-AF4)</f>
        <v>706</v>
      </c>
      <c r="AJ4" s="30">
        <f t="shared" ref="AJ4:AJ9" si="9">SQRT(AH4*AH4+AI4*AI4)</f>
        <v>714.36475276989972</v>
      </c>
      <c r="AK4" s="29">
        <f>VLOOKUP(AA4, MeasuredLengths,4)</f>
        <v>112</v>
      </c>
      <c r="AL4" s="29">
        <f t="shared" ref="AL4:AL9" si="10">ATAN(AI4/AH4)</f>
        <v>1.417614857113122</v>
      </c>
      <c r="AM4" s="31">
        <f t="shared" ref="AM4:AM9" si="11">DEGREES(AL4)</f>
        <v>81.223348287623139</v>
      </c>
      <c r="AN4" s="31">
        <f t="shared" ref="AN4:AN9" si="12">AK4*COS(AL4)</f>
        <v>17.089309001689028</v>
      </c>
      <c r="AO4" s="31">
        <v>38.543335030513227</v>
      </c>
      <c r="AP4" s="31">
        <f t="shared" ref="AP4:AP9" si="13">AN4/AH4</f>
        <v>0.15678265139164246</v>
      </c>
      <c r="AQ4" s="31">
        <f t="shared" ref="AQ4:AQ9" si="14">AO4/AI4</f>
        <v>5.4593958966732616E-2</v>
      </c>
    </row>
    <row r="5" spans="1:43" x14ac:dyDescent="0.25">
      <c r="A5" t="s">
        <v>11</v>
      </c>
      <c r="B5" s="2">
        <v>89</v>
      </c>
      <c r="C5" s="2">
        <f t="shared" si="3"/>
        <v>-65</v>
      </c>
      <c r="D5">
        <v>1443</v>
      </c>
      <c r="E5">
        <v>54</v>
      </c>
      <c r="H5">
        <f t="shared" ref="H5:H15" si="15">ABS(D5-D4)</f>
        <v>122</v>
      </c>
      <c r="I5">
        <f t="shared" ref="I5:I15" si="16">ABS(E5-E4)</f>
        <v>52</v>
      </c>
      <c r="J5" s="8">
        <f t="shared" si="0"/>
        <v>19.137254901960784</v>
      </c>
      <c r="K5" s="8">
        <f t="shared" si="1"/>
        <v>8.1568627450980387</v>
      </c>
      <c r="L5">
        <f t="shared" si="4"/>
        <v>132</v>
      </c>
      <c r="M5" s="8">
        <f t="shared" si="2"/>
        <v>20.705882352941178</v>
      </c>
      <c r="O5" t="s">
        <v>11</v>
      </c>
      <c r="P5" t="s">
        <v>28</v>
      </c>
      <c r="Z5" s="29"/>
      <c r="AA5" s="29" t="s">
        <v>97</v>
      </c>
      <c r="AB5" s="29" t="str">
        <f t="shared" si="5"/>
        <v>B</v>
      </c>
      <c r="AC5" s="29" t="str">
        <f t="shared" si="6"/>
        <v>C</v>
      </c>
      <c r="AD5" s="29">
        <f>VLOOKUP($AB5,VertexTable, 4, FALSE)</f>
        <v>1565</v>
      </c>
      <c r="AE5" s="29">
        <f>VLOOKUP($AC5,VertexTable, 4, FALSE)</f>
        <v>1443</v>
      </c>
      <c r="AF5" s="29">
        <f>VLOOKUP($AB5,VertexTable, 5, FALSE)</f>
        <v>106</v>
      </c>
      <c r="AG5" s="29">
        <f>VLOOKUP($AC5,VertexTable, 5, FALSE)</f>
        <v>54</v>
      </c>
      <c r="AH5" s="29">
        <f t="shared" si="7"/>
        <v>122</v>
      </c>
      <c r="AI5" s="29">
        <f t="shared" si="8"/>
        <v>52</v>
      </c>
      <c r="AJ5" s="30">
        <f t="shared" si="9"/>
        <v>132.61975720080324</v>
      </c>
      <c r="AK5" s="29">
        <f>VLOOKUP(AA5, MeasuredLengths,4)</f>
        <v>39</v>
      </c>
      <c r="AL5" s="29">
        <f t="shared" si="10"/>
        <v>0.40291159085351574</v>
      </c>
      <c r="AM5" s="31">
        <f t="shared" si="11"/>
        <v>23.085133672808276</v>
      </c>
      <c r="AN5" s="31">
        <f t="shared" si="12"/>
        <v>35.877007320981456</v>
      </c>
      <c r="AO5" s="31">
        <v>15.291839185992094</v>
      </c>
      <c r="AP5" s="31">
        <f t="shared" si="13"/>
        <v>0.29407383049984798</v>
      </c>
      <c r="AQ5" s="31">
        <f t="shared" si="14"/>
        <v>0.29407383049984798</v>
      </c>
    </row>
    <row r="6" spans="1:43" x14ac:dyDescent="0.25">
      <c r="A6" t="s">
        <v>12</v>
      </c>
      <c r="B6" s="2">
        <v>154</v>
      </c>
      <c r="C6" s="2">
        <f t="shared" si="3"/>
        <v>-33</v>
      </c>
      <c r="D6">
        <v>1317</v>
      </c>
      <c r="E6">
        <v>194</v>
      </c>
      <c r="H6">
        <f t="shared" si="15"/>
        <v>126</v>
      </c>
      <c r="I6">
        <f t="shared" si="16"/>
        <v>140</v>
      </c>
      <c r="J6" s="8">
        <f t="shared" si="0"/>
        <v>19.764705882352942</v>
      </c>
      <c r="K6" s="8">
        <f t="shared" si="1"/>
        <v>21.96078431372549</v>
      </c>
      <c r="L6">
        <f t="shared" si="4"/>
        <v>188</v>
      </c>
      <c r="M6" s="8">
        <f t="shared" si="2"/>
        <v>29.490196078431371</v>
      </c>
      <c r="O6" t="s">
        <v>12</v>
      </c>
      <c r="P6" t="s">
        <v>28</v>
      </c>
      <c r="Z6" s="29"/>
      <c r="AA6" s="29" t="s">
        <v>100</v>
      </c>
      <c r="AB6" s="29" t="str">
        <f t="shared" si="5"/>
        <v>C</v>
      </c>
      <c r="AC6" s="29" t="str">
        <f t="shared" si="6"/>
        <v>D</v>
      </c>
      <c r="AD6" s="29">
        <f>VLOOKUP($AB6,VertexTable, 4, FALSE)</f>
        <v>1443</v>
      </c>
      <c r="AE6" s="29">
        <f>VLOOKUP($AC6,VertexTable, 4, FALSE)</f>
        <v>1317</v>
      </c>
      <c r="AF6" s="29">
        <f>VLOOKUP($AB6,VertexTable, 5, FALSE)</f>
        <v>54</v>
      </c>
      <c r="AG6" s="29">
        <f>VLOOKUP($AC6,VertexTable, 5, FALSE)</f>
        <v>194</v>
      </c>
      <c r="AH6" s="29">
        <f t="shared" si="7"/>
        <v>126</v>
      </c>
      <c r="AI6" s="29">
        <f t="shared" si="8"/>
        <v>140</v>
      </c>
      <c r="AJ6" s="30">
        <f t="shared" si="9"/>
        <v>188.35073665903195</v>
      </c>
      <c r="AK6" s="29">
        <f>VLOOKUP(AA6, MeasuredLengths,4)</f>
        <v>65</v>
      </c>
      <c r="AL6" s="29">
        <f t="shared" si="10"/>
        <v>0.83798122500839001</v>
      </c>
      <c r="AM6" s="31">
        <f t="shared" si="11"/>
        <v>48.012787504183343</v>
      </c>
      <c r="AN6" s="31">
        <f t="shared" si="12"/>
        <v>43.482707555459235</v>
      </c>
      <c r="AO6" s="31">
        <v>28.988471703639483</v>
      </c>
      <c r="AP6" s="31">
        <f t="shared" si="13"/>
        <v>0.34510085361475584</v>
      </c>
      <c r="AQ6" s="31">
        <f t="shared" si="14"/>
        <v>0.20706051216885346</v>
      </c>
    </row>
    <row r="7" spans="1:43" x14ac:dyDescent="0.25">
      <c r="A7" t="s">
        <v>13</v>
      </c>
      <c r="B7" s="2">
        <v>187</v>
      </c>
      <c r="C7" s="2">
        <f t="shared" si="3"/>
        <v>-39</v>
      </c>
      <c r="D7">
        <v>1161</v>
      </c>
      <c r="E7">
        <v>202</v>
      </c>
      <c r="H7">
        <f t="shared" si="15"/>
        <v>156</v>
      </c>
      <c r="I7">
        <f t="shared" si="16"/>
        <v>8</v>
      </c>
      <c r="J7" s="8">
        <f t="shared" si="0"/>
        <v>24.470588235294116</v>
      </c>
      <c r="K7" s="8">
        <f t="shared" si="1"/>
        <v>1.2549019607843137</v>
      </c>
      <c r="L7">
        <f t="shared" si="4"/>
        <v>156</v>
      </c>
      <c r="M7" s="8">
        <f t="shared" si="2"/>
        <v>24.470588235294116</v>
      </c>
      <c r="O7" t="s">
        <v>13</v>
      </c>
      <c r="P7" t="s">
        <v>28</v>
      </c>
      <c r="Z7" s="29"/>
      <c r="AA7" s="29" t="s">
        <v>101</v>
      </c>
      <c r="AB7" s="29" t="str">
        <f t="shared" si="5"/>
        <v>D</v>
      </c>
      <c r="AC7" s="29" t="str">
        <f t="shared" si="6"/>
        <v>E</v>
      </c>
      <c r="AD7" s="29">
        <f>VLOOKUP($AB7,VertexTable, 4, FALSE)</f>
        <v>1317</v>
      </c>
      <c r="AE7" s="29">
        <f>VLOOKUP($AC7,VertexTable, 4, FALSE)</f>
        <v>1161</v>
      </c>
      <c r="AF7" s="29">
        <f>VLOOKUP($AB7,VertexTable, 5, FALSE)</f>
        <v>194</v>
      </c>
      <c r="AG7" s="29">
        <f>VLOOKUP($AC7,VertexTable, 5, FALSE)</f>
        <v>202</v>
      </c>
      <c r="AH7" s="29">
        <f t="shared" si="7"/>
        <v>156</v>
      </c>
      <c r="AI7" s="29">
        <f t="shared" si="8"/>
        <v>8</v>
      </c>
      <c r="AJ7" s="30">
        <f t="shared" si="9"/>
        <v>156.20499351813308</v>
      </c>
      <c r="AK7" s="29">
        <f>VLOOKUP(AA7, MeasuredLengths,4)</f>
        <v>14</v>
      </c>
      <c r="AL7" s="29">
        <f t="shared" si="10"/>
        <v>5.1237167403418805E-2</v>
      </c>
      <c r="AM7" s="31">
        <f t="shared" si="11"/>
        <v>2.9356734464211725</v>
      </c>
      <c r="AN7" s="31">
        <f t="shared" si="12"/>
        <v>13.981627288672239</v>
      </c>
      <c r="AO7" s="31">
        <v>1.9973753269531769</v>
      </c>
      <c r="AP7" s="31">
        <f t="shared" si="13"/>
        <v>8.9625815953027183E-2</v>
      </c>
      <c r="AQ7" s="31">
        <f t="shared" si="14"/>
        <v>0.24967191586914711</v>
      </c>
    </row>
    <row r="8" spans="1:43" x14ac:dyDescent="0.25">
      <c r="A8" t="s">
        <v>14</v>
      </c>
      <c r="B8" s="2">
        <v>226</v>
      </c>
      <c r="C8" s="2">
        <f t="shared" si="3"/>
        <v>-14</v>
      </c>
      <c r="D8">
        <v>1194</v>
      </c>
      <c r="E8">
        <v>387</v>
      </c>
      <c r="H8">
        <f t="shared" si="15"/>
        <v>33</v>
      </c>
      <c r="I8">
        <f t="shared" si="16"/>
        <v>185</v>
      </c>
      <c r="J8" s="8">
        <f t="shared" si="0"/>
        <v>5.1764705882352944</v>
      </c>
      <c r="K8" s="8">
        <f t="shared" si="1"/>
        <v>29.019607843137255</v>
      </c>
      <c r="L8">
        <f t="shared" si="4"/>
        <v>187</v>
      </c>
      <c r="M8" s="8">
        <f t="shared" si="2"/>
        <v>29.333333333333332</v>
      </c>
      <c r="O8" t="s">
        <v>14</v>
      </c>
      <c r="P8" t="s">
        <v>28</v>
      </c>
      <c r="Z8" s="29"/>
      <c r="AA8" s="29" t="s">
        <v>102</v>
      </c>
      <c r="AB8" s="29" t="str">
        <f t="shared" si="5"/>
        <v>H</v>
      </c>
      <c r="AC8" s="29" t="str">
        <f t="shared" si="6"/>
        <v>K</v>
      </c>
      <c r="AD8" s="29">
        <f>VLOOKUP($AB8,VertexTable, 4, FALSE)</f>
        <v>1150</v>
      </c>
      <c r="AE8" s="29">
        <f>VLOOKUP($AC8,VertexTable, 4, FALSE)</f>
        <v>1011</v>
      </c>
      <c r="AF8" s="29">
        <f>VLOOKUP($AB8,VertexTable, 5, FALSE)</f>
        <v>475</v>
      </c>
      <c r="AG8" s="29">
        <f>VLOOKUP($AC8,VertexTable, 5, FALSE)</f>
        <v>500</v>
      </c>
      <c r="AH8" s="29">
        <f t="shared" si="7"/>
        <v>139</v>
      </c>
      <c r="AI8" s="29">
        <f t="shared" si="8"/>
        <v>25</v>
      </c>
      <c r="AJ8" s="30">
        <f t="shared" si="9"/>
        <v>141.23030836190935</v>
      </c>
      <c r="AK8" s="29">
        <f>VLOOKUP(AA8, MeasuredLengths,4)</f>
        <v>20</v>
      </c>
      <c r="AL8" s="29">
        <f t="shared" si="10"/>
        <v>0.17795356540980031</v>
      </c>
      <c r="AM8" s="31">
        <f t="shared" si="11"/>
        <v>10.195988247286792</v>
      </c>
      <c r="AN8" s="31">
        <f t="shared" si="12"/>
        <v>19.684160094560713</v>
      </c>
      <c r="AO8" s="31">
        <v>6.9036172993513283</v>
      </c>
      <c r="AP8" s="31">
        <f t="shared" si="13"/>
        <v>0.14161266255079649</v>
      </c>
      <c r="AQ8" s="31">
        <f t="shared" si="14"/>
        <v>0.27614469197405311</v>
      </c>
    </row>
    <row r="9" spans="1:43" x14ac:dyDescent="0.25">
      <c r="A9" s="4" t="s">
        <v>15</v>
      </c>
      <c r="B9" s="5">
        <v>240</v>
      </c>
      <c r="C9" s="5">
        <f t="shared" si="3"/>
        <v>0</v>
      </c>
      <c r="E9" s="4"/>
      <c r="H9">
        <f t="shared" si="15"/>
        <v>1194</v>
      </c>
      <c r="I9">
        <f t="shared" si="16"/>
        <v>387</v>
      </c>
      <c r="J9" s="8">
        <f t="shared" si="0"/>
        <v>187.29411764705881</v>
      </c>
      <c r="K9" s="8">
        <f t="shared" si="1"/>
        <v>60.705882352941174</v>
      </c>
      <c r="L9">
        <f t="shared" si="4"/>
        <v>1255</v>
      </c>
      <c r="M9" s="8">
        <f t="shared" si="2"/>
        <v>196.86274509803923</v>
      </c>
      <c r="O9" t="s">
        <v>15</v>
      </c>
      <c r="P9" t="s">
        <v>28</v>
      </c>
      <c r="T9" t="s">
        <v>43</v>
      </c>
      <c r="U9" t="s">
        <v>44</v>
      </c>
      <c r="V9" t="s">
        <v>47</v>
      </c>
      <c r="W9" t="s">
        <v>48</v>
      </c>
      <c r="X9" t="s">
        <v>49</v>
      </c>
      <c r="Z9" s="29"/>
      <c r="AA9" s="29" t="s">
        <v>103</v>
      </c>
      <c r="AB9" s="29" t="str">
        <f t="shared" si="5"/>
        <v>L</v>
      </c>
      <c r="AC9" s="29" t="str">
        <f t="shared" si="6"/>
        <v>M</v>
      </c>
      <c r="AD9" s="29">
        <f>VLOOKUP($AB9,VertexTable, 4, FALSE)</f>
        <v>950</v>
      </c>
      <c r="AE9" s="29">
        <f>VLOOKUP($AC9,VertexTable, 4, FALSE)</f>
        <v>1436</v>
      </c>
      <c r="AF9" s="29">
        <f>VLOOKUP($AB9,VertexTable, 5, FALSE)</f>
        <v>605</v>
      </c>
      <c r="AG9" s="29">
        <f>VLOOKUP($AC9,VertexTable, 5, FALSE)</f>
        <v>1140</v>
      </c>
      <c r="AH9" s="29">
        <f t="shared" si="7"/>
        <v>486</v>
      </c>
      <c r="AI9" s="29">
        <f t="shared" si="8"/>
        <v>535</v>
      </c>
      <c r="AJ9" s="30">
        <f t="shared" si="9"/>
        <v>722.78696723170094</v>
      </c>
      <c r="AK9" s="29">
        <f>VLOOKUP(AA9, MeasuredLengths,4)</f>
        <v>123</v>
      </c>
      <c r="AL9" s="29">
        <f t="shared" si="10"/>
        <v>0.83335353282754698</v>
      </c>
      <c r="AM9" s="31">
        <f t="shared" si="11"/>
        <v>47.747640273335342</v>
      </c>
      <c r="AN9" s="31">
        <f t="shared" si="12"/>
        <v>82.704867007981349</v>
      </c>
      <c r="AO9" s="31">
        <v>28.867426981858387</v>
      </c>
      <c r="AP9" s="31">
        <f t="shared" si="13"/>
        <v>0.17017462347321266</v>
      </c>
      <c r="AQ9" s="31">
        <f t="shared" si="14"/>
        <v>5.3957807442725957E-2</v>
      </c>
    </row>
    <row r="10" spans="1:43" x14ac:dyDescent="0.25">
      <c r="A10" t="s">
        <v>16</v>
      </c>
      <c r="B10" s="5">
        <v>240</v>
      </c>
      <c r="C10" s="2">
        <f t="shared" si="3"/>
        <v>240</v>
      </c>
      <c r="D10">
        <v>1150</v>
      </c>
      <c r="E10">
        <v>475</v>
      </c>
      <c r="H10">
        <f t="shared" si="15"/>
        <v>1150</v>
      </c>
      <c r="I10">
        <f t="shared" si="16"/>
        <v>475</v>
      </c>
      <c r="J10" s="8">
        <f t="shared" si="0"/>
        <v>180.39215686274508</v>
      </c>
      <c r="K10" s="8">
        <f t="shared" si="1"/>
        <v>74.509803921568633</v>
      </c>
      <c r="L10">
        <f t="shared" si="4"/>
        <v>1244</v>
      </c>
      <c r="M10" s="8">
        <f t="shared" si="2"/>
        <v>195.13725490196077</v>
      </c>
      <c r="O10" t="s">
        <v>16</v>
      </c>
      <c r="P10" t="s">
        <v>25</v>
      </c>
      <c r="R10" t="s">
        <v>38</v>
      </c>
      <c r="S10" s="10">
        <f>ABS((E17-E15)*(D17-D15))/2</f>
        <v>17556</v>
      </c>
      <c r="T10">
        <f>D17-D15</f>
        <v>66</v>
      </c>
      <c r="U10">
        <f>E15-E17</f>
        <v>532</v>
      </c>
      <c r="V10">
        <f>INT(SQRT(T10*T10+U10*U10))</f>
        <v>536</v>
      </c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31"/>
      <c r="AO10" s="31">
        <v>0</v>
      </c>
      <c r="AP10" s="31"/>
      <c r="AQ10" s="31"/>
    </row>
    <row r="11" spans="1:43" x14ac:dyDescent="0.25">
      <c r="A11" s="6" t="s">
        <v>17</v>
      </c>
      <c r="B11" s="7"/>
      <c r="C11" s="7"/>
      <c r="E11" s="6"/>
      <c r="H11">
        <f t="shared" si="15"/>
        <v>1150</v>
      </c>
      <c r="I11">
        <f t="shared" si="16"/>
        <v>475</v>
      </c>
      <c r="J11" s="8">
        <f t="shared" si="0"/>
        <v>180.39215686274508</v>
      </c>
      <c r="K11" s="8">
        <f t="shared" si="1"/>
        <v>74.509803921568633</v>
      </c>
      <c r="L11">
        <f t="shared" si="4"/>
        <v>1244</v>
      </c>
      <c r="M11" s="8">
        <f t="shared" si="2"/>
        <v>195.13725490196077</v>
      </c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31"/>
      <c r="AO11" s="31">
        <v>0</v>
      </c>
      <c r="AP11" s="31"/>
      <c r="AQ11" s="31"/>
    </row>
    <row r="12" spans="1:43" x14ac:dyDescent="0.25">
      <c r="A12" s="6" t="s">
        <v>18</v>
      </c>
      <c r="B12" s="7"/>
      <c r="C12" s="7"/>
      <c r="E12" s="6"/>
      <c r="H12">
        <v>1085</v>
      </c>
      <c r="I12">
        <f t="shared" si="16"/>
        <v>0</v>
      </c>
      <c r="J12" s="8">
        <f t="shared" si="0"/>
        <v>170.19607843137254</v>
      </c>
      <c r="K12" s="8">
        <f t="shared" si="1"/>
        <v>0</v>
      </c>
      <c r="L12">
        <f t="shared" si="4"/>
        <v>1085</v>
      </c>
      <c r="M12" s="8">
        <f t="shared" si="2"/>
        <v>170.19607843137254</v>
      </c>
      <c r="T12" t="s">
        <v>45</v>
      </c>
      <c r="U12" t="s">
        <v>46</v>
      </c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31"/>
      <c r="AO12" s="31">
        <v>0</v>
      </c>
      <c r="AP12" s="31"/>
      <c r="AQ12" s="31"/>
    </row>
    <row r="13" spans="1:43" x14ac:dyDescent="0.25">
      <c r="A13" s="6" t="s">
        <v>19</v>
      </c>
      <c r="B13" s="7">
        <v>20</v>
      </c>
      <c r="C13" s="7"/>
      <c r="D13">
        <v>1011</v>
      </c>
      <c r="E13" s="6">
        <v>500</v>
      </c>
      <c r="J13" s="8"/>
      <c r="K13" s="8"/>
      <c r="M13" s="8"/>
      <c r="T13" s="1">
        <f>D3-D15</f>
        <v>109</v>
      </c>
      <c r="U13" s="1">
        <f>E15-E3</f>
        <v>706</v>
      </c>
      <c r="V13">
        <f>INT(SQRT(T13*T13+U13*U13))</f>
        <v>714</v>
      </c>
      <c r="W13" s="1">
        <v>112</v>
      </c>
      <c r="X13">
        <f>W13/V13</f>
        <v>0.15686274509803921</v>
      </c>
    </row>
    <row r="14" spans="1:43" x14ac:dyDescent="0.25">
      <c r="A14" t="s">
        <v>20</v>
      </c>
      <c r="B14" s="2">
        <v>415.4</v>
      </c>
      <c r="C14" s="2">
        <f>B14-B15</f>
        <v>-112.60000000000002</v>
      </c>
      <c r="D14">
        <v>950</v>
      </c>
      <c r="E14">
        <v>605</v>
      </c>
      <c r="H14">
        <f>ABS(D14-D12)</f>
        <v>950</v>
      </c>
      <c r="I14">
        <f>ABS(E14-E12)</f>
        <v>605</v>
      </c>
      <c r="J14" s="8">
        <f t="shared" ref="J14:K16" si="17">H14*M_per_px</f>
        <v>149.01960784313727</v>
      </c>
      <c r="K14" s="8">
        <f t="shared" si="17"/>
        <v>94.901960784313729</v>
      </c>
      <c r="L14">
        <f t="shared" si="4"/>
        <v>1126</v>
      </c>
      <c r="M14" s="8">
        <f>L14*M_per_px</f>
        <v>176.62745098039215</v>
      </c>
      <c r="AH14">
        <f>SUM(AH3:AH12)</f>
        <v>1158</v>
      </c>
      <c r="AI14">
        <f>SUM(AI3:AI12)</f>
        <v>1794</v>
      </c>
      <c r="AN14">
        <f>SUM(AN3:AN12)</f>
        <v>215.86280679187195</v>
      </c>
      <c r="AO14">
        <f>SUM(AO3:AO12)</f>
        <v>159.51976558848474</v>
      </c>
      <c r="AP14" s="31">
        <f t="shared" ref="AP14" si="18">AN14/AH14</f>
        <v>0.18641002313633157</v>
      </c>
      <c r="AQ14" s="31">
        <f t="shared" ref="AQ14" si="19">AO14/AI14</f>
        <v>8.8918486950102973E-2</v>
      </c>
    </row>
    <row r="15" spans="1:43" x14ac:dyDescent="0.25">
      <c r="A15" t="s">
        <v>21</v>
      </c>
      <c r="B15" s="2">
        <v>528</v>
      </c>
      <c r="C15" s="2">
        <f>B15-B16</f>
        <v>528</v>
      </c>
      <c r="D15">
        <v>1436</v>
      </c>
      <c r="E15">
        <v>1140</v>
      </c>
      <c r="H15">
        <f t="shared" si="15"/>
        <v>486</v>
      </c>
      <c r="I15">
        <f t="shared" si="16"/>
        <v>535</v>
      </c>
      <c r="J15" s="8">
        <f t="shared" si="17"/>
        <v>76.235294117647058</v>
      </c>
      <c r="K15" s="8">
        <f t="shared" si="17"/>
        <v>83.921568627450981</v>
      </c>
      <c r="L15">
        <f t="shared" si="4"/>
        <v>722</v>
      </c>
      <c r="M15" s="8">
        <f>L15*M_per_px</f>
        <v>113.25490196078431</v>
      </c>
    </row>
    <row r="16" spans="1:43" x14ac:dyDescent="0.25">
      <c r="A16" t="s">
        <v>24</v>
      </c>
      <c r="D16">
        <v>1421</v>
      </c>
      <c r="E16">
        <v>106</v>
      </c>
      <c r="G16" t="s">
        <v>35</v>
      </c>
      <c r="H16">
        <f>ABS(D5-D16)</f>
        <v>22</v>
      </c>
      <c r="I16">
        <f>ABS(E5-E16)</f>
        <v>52</v>
      </c>
      <c r="J16" s="8">
        <f t="shared" si="17"/>
        <v>3.4509803921568629</v>
      </c>
      <c r="K16" s="8">
        <f t="shared" si="17"/>
        <v>8.1568627450980387</v>
      </c>
      <c r="L16">
        <f t="shared" si="4"/>
        <v>56</v>
      </c>
      <c r="M16" s="8">
        <f>L16*M_per_px</f>
        <v>8.7843137254901968</v>
      </c>
    </row>
    <row r="17" spans="1:25" x14ac:dyDescent="0.25">
      <c r="A17" t="s">
        <v>29</v>
      </c>
      <c r="D17">
        <v>1502</v>
      </c>
      <c r="E17">
        <v>608</v>
      </c>
    </row>
    <row r="18" spans="1:25" x14ac:dyDescent="0.25">
      <c r="A18" t="s">
        <v>30</v>
      </c>
      <c r="D18">
        <v>1514</v>
      </c>
      <c r="E18">
        <v>500</v>
      </c>
    </row>
    <row r="19" spans="1:25" x14ac:dyDescent="0.25">
      <c r="A19" t="s">
        <v>31</v>
      </c>
      <c r="D19">
        <v>1518</v>
      </c>
      <c r="E19">
        <v>475</v>
      </c>
    </row>
    <row r="20" spans="1:25" x14ac:dyDescent="0.25">
      <c r="A20" t="s">
        <v>32</v>
      </c>
      <c r="D20">
        <v>1530</v>
      </c>
      <c r="E20">
        <v>387</v>
      </c>
      <c r="H20" s="17" t="s">
        <v>57</v>
      </c>
      <c r="I20" s="17"/>
      <c r="J20" s="17"/>
      <c r="K20" s="17"/>
      <c r="L20" s="17"/>
      <c r="M20" s="17"/>
      <c r="N20" s="17"/>
      <c r="O20" s="17"/>
      <c r="P20" s="17"/>
      <c r="Q20" s="18" t="s">
        <v>71</v>
      </c>
      <c r="R20" s="19"/>
      <c r="S20" s="19"/>
      <c r="T20" s="19"/>
      <c r="U20" s="19"/>
      <c r="V20" s="19"/>
    </row>
    <row r="21" spans="1:25" s="20" customFormat="1" x14ac:dyDescent="0.25">
      <c r="A21" s="27" t="s">
        <v>33</v>
      </c>
      <c r="D21" s="32">
        <v>1551</v>
      </c>
      <c r="E21" s="32">
        <v>202</v>
      </c>
      <c r="G21" s="20" t="s">
        <v>57</v>
      </c>
      <c r="H21" s="21" t="s">
        <v>64</v>
      </c>
      <c r="I21" s="21" t="s">
        <v>64</v>
      </c>
      <c r="J21" s="21" t="s">
        <v>60</v>
      </c>
      <c r="K21" s="21" t="s">
        <v>61</v>
      </c>
      <c r="L21" s="21" t="s">
        <v>61</v>
      </c>
      <c r="M21" s="21" t="s">
        <v>63</v>
      </c>
      <c r="N21" s="21" t="s">
        <v>63</v>
      </c>
      <c r="O21" s="21" t="s">
        <v>66</v>
      </c>
      <c r="P21" s="21" t="s">
        <v>69</v>
      </c>
      <c r="Q21" s="16" t="s">
        <v>72</v>
      </c>
      <c r="R21" s="16" t="s">
        <v>73</v>
      </c>
      <c r="S21" s="16"/>
      <c r="T21" s="16" t="s">
        <v>70</v>
      </c>
      <c r="U21" s="16" t="s">
        <v>67</v>
      </c>
      <c r="V21" s="16" t="s">
        <v>67</v>
      </c>
      <c r="W21" s="16" t="s">
        <v>23</v>
      </c>
      <c r="X21" s="16" t="s">
        <v>23</v>
      </c>
      <c r="Y21" s="22"/>
    </row>
    <row r="22" spans="1:25" s="20" customFormat="1" x14ac:dyDescent="0.25">
      <c r="A22" t="s">
        <v>34</v>
      </c>
      <c r="B22"/>
      <c r="C22"/>
      <c r="D22">
        <v>1552</v>
      </c>
      <c r="E22">
        <v>194</v>
      </c>
      <c r="H22" s="21"/>
      <c r="I22" s="21"/>
      <c r="J22" s="21"/>
      <c r="K22" s="21"/>
      <c r="L22" s="21"/>
      <c r="M22" s="21"/>
      <c r="N22" s="21"/>
      <c r="O22" s="21"/>
      <c r="P22" s="21"/>
      <c r="Q22" s="16"/>
      <c r="R22" s="16"/>
      <c r="S22" s="16"/>
      <c r="T22" s="16"/>
      <c r="U22" s="16" t="s">
        <v>81</v>
      </c>
      <c r="V22" s="12" t="s">
        <v>82</v>
      </c>
      <c r="W22" s="16" t="s">
        <v>81</v>
      </c>
      <c r="X22" s="16"/>
      <c r="Y22" s="22"/>
    </row>
    <row r="23" spans="1:25" x14ac:dyDescent="0.25">
      <c r="A23" t="s">
        <v>24</v>
      </c>
      <c r="D23">
        <v>1421</v>
      </c>
      <c r="E23">
        <v>106</v>
      </c>
      <c r="G23" t="s">
        <v>58</v>
      </c>
      <c r="H23" s="15" t="s">
        <v>59</v>
      </c>
      <c r="I23" s="15">
        <f>E16-E5</f>
        <v>52</v>
      </c>
      <c r="J23" s="15">
        <v>39</v>
      </c>
      <c r="K23" s="15" t="s">
        <v>62</v>
      </c>
      <c r="L23" s="15">
        <f>D4-D5</f>
        <v>122</v>
      </c>
      <c r="M23" s="15" t="s">
        <v>65</v>
      </c>
      <c r="N23" s="15">
        <f>ASIN(I23/L23)</f>
        <v>0.44032060181560079</v>
      </c>
      <c r="O23" s="15">
        <f>SIN(N23)</f>
        <v>0.42622950819672129</v>
      </c>
      <c r="P23" s="15">
        <f>COS(N23)</f>
        <v>0.90461505975877998</v>
      </c>
      <c r="Q23" s="11" t="s">
        <v>27</v>
      </c>
      <c r="R23" s="11" t="s">
        <v>25</v>
      </c>
      <c r="S23" s="11" t="s">
        <v>58</v>
      </c>
      <c r="T23" s="12">
        <f>J23*O23</f>
        <v>16.622950819672131</v>
      </c>
      <c r="U23" s="12" t="s">
        <v>68</v>
      </c>
      <c r="V23" s="12">
        <f>J23*P23</f>
        <v>35.279987330592419</v>
      </c>
      <c r="W23" s="11" t="s">
        <v>83</v>
      </c>
      <c r="X23" s="13">
        <f>T23*V23/2</f>
        <v>293.22874715754682</v>
      </c>
      <c r="Y23" s="10"/>
    </row>
    <row r="24" spans="1:25" x14ac:dyDescent="0.25">
      <c r="H24" s="15"/>
      <c r="I24" s="15"/>
      <c r="J24" s="15"/>
      <c r="K24" s="15"/>
      <c r="L24" s="15"/>
      <c r="M24" s="15"/>
      <c r="N24" s="15"/>
      <c r="O24" s="15"/>
      <c r="P24" s="15"/>
      <c r="Q24" s="11" t="s">
        <v>10</v>
      </c>
      <c r="R24" s="11" t="s">
        <v>28</v>
      </c>
      <c r="S24" s="11" t="s">
        <v>74</v>
      </c>
      <c r="T24" s="11"/>
      <c r="U24" s="14"/>
      <c r="V24" s="11"/>
      <c r="W24" s="11"/>
      <c r="X24" s="11"/>
    </row>
    <row r="25" spans="1:25" x14ac:dyDescent="0.25">
      <c r="H25" s="15"/>
      <c r="I25" s="15"/>
      <c r="J25" s="15"/>
      <c r="K25" s="15"/>
      <c r="L25" s="15"/>
      <c r="M25" s="15"/>
      <c r="N25" s="15"/>
      <c r="O25" s="15"/>
      <c r="P25" s="15"/>
      <c r="Q25" s="11" t="s">
        <v>11</v>
      </c>
      <c r="R25" s="11" t="s">
        <v>28</v>
      </c>
      <c r="S25" s="11" t="s">
        <v>75</v>
      </c>
      <c r="T25" s="11"/>
      <c r="U25" s="14"/>
      <c r="V25" s="11"/>
      <c r="W25" s="11"/>
      <c r="X25" s="11"/>
    </row>
    <row r="26" spans="1:25" x14ac:dyDescent="0.25">
      <c r="A26" s="28" t="s">
        <v>108</v>
      </c>
      <c r="B26" s="29"/>
      <c r="C26" s="29"/>
      <c r="D26" s="29"/>
      <c r="H26" s="15"/>
      <c r="I26" s="15"/>
      <c r="J26" s="15"/>
      <c r="K26" s="15"/>
      <c r="L26" s="15"/>
      <c r="M26" s="15"/>
      <c r="N26" s="15"/>
      <c r="O26" s="15"/>
      <c r="P26" s="15"/>
      <c r="Q26" s="11" t="s">
        <v>12</v>
      </c>
      <c r="R26" s="11" t="s">
        <v>28</v>
      </c>
      <c r="S26" s="11" t="s">
        <v>76</v>
      </c>
      <c r="T26" s="11"/>
      <c r="U26" s="14"/>
      <c r="V26" s="11"/>
      <c r="W26" s="11"/>
      <c r="X26" s="11"/>
    </row>
    <row r="27" spans="1:25" x14ac:dyDescent="0.25">
      <c r="A27" s="29" t="s">
        <v>86</v>
      </c>
      <c r="B27" s="28" t="s">
        <v>87</v>
      </c>
      <c r="C27" s="28" t="s">
        <v>88</v>
      </c>
      <c r="D27" s="28" t="s">
        <v>109</v>
      </c>
      <c r="H27" s="15"/>
      <c r="I27" s="15"/>
      <c r="J27" s="15"/>
      <c r="K27" s="15"/>
      <c r="L27" s="15"/>
      <c r="M27" s="15"/>
      <c r="N27" s="15"/>
      <c r="O27" s="15"/>
      <c r="P27" s="15"/>
      <c r="Q27" s="11" t="s">
        <v>13</v>
      </c>
      <c r="R27" s="11" t="s">
        <v>28</v>
      </c>
      <c r="S27" s="11" t="s">
        <v>77</v>
      </c>
      <c r="T27" s="11"/>
      <c r="U27" s="14"/>
      <c r="V27" s="11"/>
      <c r="W27" s="11"/>
      <c r="X27" s="11"/>
    </row>
    <row r="28" spans="1:25" x14ac:dyDescent="0.25">
      <c r="A28" s="29" t="s">
        <v>98</v>
      </c>
      <c r="B28" s="29" t="str">
        <f>MID($A28,1,1)</f>
        <v>A</v>
      </c>
      <c r="C28" s="29" t="str">
        <f>MID(A28,2,1)</f>
        <v>B</v>
      </c>
      <c r="D28" s="29">
        <v>50</v>
      </c>
      <c r="H28" s="15"/>
      <c r="I28" s="15"/>
      <c r="J28" s="15"/>
      <c r="K28" s="15"/>
      <c r="L28" s="15"/>
      <c r="M28" s="15"/>
      <c r="N28" s="15"/>
      <c r="O28" s="15"/>
      <c r="P28" s="15"/>
      <c r="Q28" s="11" t="s">
        <v>14</v>
      </c>
      <c r="R28" s="11" t="s">
        <v>28</v>
      </c>
      <c r="S28" s="11" t="s">
        <v>78</v>
      </c>
      <c r="T28" s="11"/>
      <c r="U28" s="14"/>
      <c r="V28" s="11"/>
      <c r="W28" s="11"/>
      <c r="X28" s="11"/>
    </row>
    <row r="29" spans="1:25" x14ac:dyDescent="0.25">
      <c r="A29" s="29" t="s">
        <v>99</v>
      </c>
      <c r="B29" s="29" t="str">
        <f t="shared" ref="B29:B34" si="20">MID($A29,1,1)</f>
        <v>A</v>
      </c>
      <c r="C29" s="29" t="str">
        <f t="shared" ref="C29:C34" si="21">MID(A29,2,1)</f>
        <v>M</v>
      </c>
      <c r="D29" s="29">
        <v>112</v>
      </c>
      <c r="H29" s="15"/>
      <c r="I29" s="15"/>
      <c r="J29" s="15"/>
      <c r="K29" s="15"/>
      <c r="L29" s="15"/>
      <c r="M29" s="15"/>
      <c r="N29" s="15"/>
      <c r="O29" s="15"/>
      <c r="P29" s="15"/>
      <c r="Q29" s="11" t="s">
        <v>15</v>
      </c>
      <c r="R29" s="11" t="s">
        <v>28</v>
      </c>
      <c r="S29" s="11" t="s">
        <v>79</v>
      </c>
      <c r="T29" s="11"/>
      <c r="U29" s="14"/>
      <c r="V29" s="11"/>
      <c r="W29" s="11"/>
      <c r="X29" s="11"/>
    </row>
    <row r="30" spans="1:25" x14ac:dyDescent="0.25">
      <c r="A30" s="29" t="s">
        <v>97</v>
      </c>
      <c r="B30" s="29" t="str">
        <f t="shared" si="20"/>
        <v>B</v>
      </c>
      <c r="C30" s="29" t="str">
        <f t="shared" si="21"/>
        <v>C</v>
      </c>
      <c r="D30" s="29">
        <v>39</v>
      </c>
      <c r="H30" s="15"/>
      <c r="I30" s="15"/>
      <c r="J30" s="15"/>
      <c r="K30" s="15"/>
      <c r="L30" s="15"/>
      <c r="M30" s="15"/>
      <c r="N30" s="15"/>
      <c r="O30" s="15"/>
      <c r="P30" s="15"/>
      <c r="Q30" s="11" t="s">
        <v>16</v>
      </c>
      <c r="R30" s="11" t="s">
        <v>25</v>
      </c>
      <c r="S30" s="11" t="s">
        <v>80</v>
      </c>
      <c r="T30" s="11"/>
      <c r="U30" s="14"/>
      <c r="V30" s="11"/>
      <c r="W30" s="11"/>
      <c r="X30" s="11"/>
    </row>
    <row r="31" spans="1:25" x14ac:dyDescent="0.25">
      <c r="A31" s="29" t="s">
        <v>100</v>
      </c>
      <c r="B31" s="29" t="str">
        <f t="shared" si="20"/>
        <v>C</v>
      </c>
      <c r="C31" s="29" t="str">
        <f t="shared" si="21"/>
        <v>D</v>
      </c>
      <c r="D31" s="29">
        <v>65</v>
      </c>
    </row>
    <row r="32" spans="1:25" ht="18.75" x14ac:dyDescent="0.3">
      <c r="A32" s="29" t="s">
        <v>101</v>
      </c>
      <c r="B32" s="29" t="str">
        <f t="shared" si="20"/>
        <v>D</v>
      </c>
      <c r="C32" s="29" t="str">
        <f t="shared" si="21"/>
        <v>E</v>
      </c>
      <c r="D32" s="29">
        <v>14</v>
      </c>
      <c r="H32" s="25" t="s">
        <v>84</v>
      </c>
      <c r="I32" s="25"/>
      <c r="J32" s="25"/>
      <c r="K32" s="25"/>
      <c r="L32" s="25"/>
      <c r="M32" s="25"/>
      <c r="N32" s="25"/>
      <c r="O32" s="25"/>
      <c r="P32" s="25"/>
      <c r="Q32" s="26"/>
      <c r="R32" s="26"/>
    </row>
    <row r="33" spans="1:18" x14ac:dyDescent="0.25">
      <c r="A33" s="29" t="s">
        <v>102</v>
      </c>
      <c r="B33" s="29" t="str">
        <f t="shared" si="20"/>
        <v>H</v>
      </c>
      <c r="C33" s="29" t="str">
        <f t="shared" si="21"/>
        <v>K</v>
      </c>
      <c r="D33" s="29">
        <v>20</v>
      </c>
      <c r="H33" s="26" t="s">
        <v>86</v>
      </c>
      <c r="I33" s="26" t="s">
        <v>87</v>
      </c>
      <c r="J33" s="26" t="s">
        <v>88</v>
      </c>
      <c r="K33" s="26" t="s">
        <v>89</v>
      </c>
      <c r="L33" s="26" t="s">
        <v>90</v>
      </c>
      <c r="M33" s="26" t="s">
        <v>91</v>
      </c>
      <c r="N33" s="26" t="s">
        <v>92</v>
      </c>
      <c r="O33" s="26" t="s">
        <v>93</v>
      </c>
      <c r="P33" s="26" t="s">
        <v>94</v>
      </c>
      <c r="Q33" s="26" t="s">
        <v>95</v>
      </c>
      <c r="R33" s="26"/>
    </row>
    <row r="34" spans="1:18" x14ac:dyDescent="0.25">
      <c r="A34" s="29" t="s">
        <v>103</v>
      </c>
      <c r="B34" s="29" t="str">
        <f t="shared" si="20"/>
        <v>L</v>
      </c>
      <c r="C34" s="29" t="str">
        <f t="shared" si="21"/>
        <v>M</v>
      </c>
      <c r="D34" s="29">
        <v>123</v>
      </c>
      <c r="H34" s="26" t="s">
        <v>85</v>
      </c>
      <c r="I34" s="26" t="s">
        <v>10</v>
      </c>
      <c r="J34" s="26" t="s">
        <v>24</v>
      </c>
      <c r="K34" s="26">
        <f>VLOOKUP($I34,VertexTable, 4, FALSE)</f>
        <v>1565</v>
      </c>
      <c r="L34" s="26">
        <f>VLOOKUP($J34,VertexTable, 4, FALSE)</f>
        <v>1421</v>
      </c>
      <c r="M34" s="26">
        <f>VLOOKUP($I34,VertexTable, 5, FALSE)</f>
        <v>106</v>
      </c>
      <c r="N34" s="26">
        <f>VLOOKUP($I34,VertexTable, 5, FALSE)</f>
        <v>106</v>
      </c>
      <c r="O34" s="26"/>
      <c r="P34" s="26"/>
      <c r="Q34" s="26"/>
      <c r="R34" s="26"/>
    </row>
    <row r="35" spans="1:18" x14ac:dyDescent="0.25"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1:18" x14ac:dyDescent="0.25"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</row>
    <row r="37" spans="1:18" x14ac:dyDescent="0.25"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</row>
    <row r="38" spans="1:18" x14ac:dyDescent="0.25"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5"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</row>
    <row r="40" spans="1:18" x14ac:dyDescent="0.25"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</row>
    <row r="41" spans="1:18" x14ac:dyDescent="0.25"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</row>
    <row r="42" spans="1:18" x14ac:dyDescent="0.25"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</row>
    <row r="43" spans="1:18" x14ac:dyDescent="0.25"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</row>
    <row r="44" spans="1:18" x14ac:dyDescent="0.25"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</row>
    <row r="45" spans="1:18" x14ac:dyDescent="0.25"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</row>
  </sheetData>
  <sortState xmlns:xlrd2="http://schemas.microsoft.com/office/spreadsheetml/2017/richdata2" ref="A3:L15">
    <sortCondition ref="A3:A15"/>
  </sortState>
  <mergeCells count="3">
    <mergeCell ref="H20:P20"/>
    <mergeCell ref="Q20:V20"/>
    <mergeCell ref="H32:P32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Weed Control</vt:lpstr>
      <vt:lpstr>Sheet1</vt:lpstr>
      <vt:lpstr>M_per_px</vt:lpstr>
      <vt:lpstr>MeasuredLengths</vt:lpstr>
      <vt:lpstr>theta</vt:lpstr>
      <vt:lpstr>VertexTable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Watts</dc:creator>
  <cp:lastModifiedBy>Terry Watts</cp:lastModifiedBy>
  <dcterms:created xsi:type="dcterms:W3CDTF">2023-06-26T05:43:45Z</dcterms:created>
  <dcterms:modified xsi:type="dcterms:W3CDTF">2024-01-01T08:15:35Z</dcterms:modified>
</cp:coreProperties>
</file>